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filterPrivacy="1"/>
  <xr:revisionPtr revIDLastSave="0" documentId="13_ncr:1_{5A57DFAB-2EB0-49A2-82C0-34343B41E3B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20.05.31." sheetId="14" r:id="rId1"/>
  </sheets>
  <definedNames>
    <definedName name="_xlnm._FilterDatabase" localSheetId="0" hidden="1">'2020.05.31.'!$A$4:$P$4</definedName>
    <definedName name="_xlnm.Print_Titles" localSheetId="0">'2020.05.31.'!$3:$4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94" i="14" l="1"/>
  <c r="F877" i="14" l="1"/>
  <c r="F932" i="14" s="1"/>
  <c r="F893" i="14"/>
  <c r="F948" i="14" s="1"/>
  <c r="F892" i="14"/>
  <c r="F876" i="14"/>
  <c r="F875" i="14"/>
  <c r="F952" i="14"/>
  <c r="F951" i="14"/>
  <c r="F950" i="14"/>
  <c r="F946" i="14"/>
  <c r="F938" i="14"/>
  <c r="F936" i="14"/>
  <c r="F935" i="14"/>
  <c r="F934" i="14"/>
  <c r="F937" i="14"/>
  <c r="F933" i="14"/>
  <c r="F931" i="14"/>
  <c r="F884" i="14" l="1"/>
  <c r="F898" i="14"/>
  <c r="F949" i="14"/>
  <c r="F930" i="14"/>
  <c r="F939" i="14" s="1"/>
  <c r="F910" i="14"/>
  <c r="F924" i="14"/>
  <c r="F947" i="14"/>
  <c r="F953" i="14" l="1"/>
  <c r="G835" i="14" l="1"/>
  <c r="E22" i="14" l="1"/>
  <c r="E21" i="14"/>
  <c r="E678" i="14" l="1"/>
  <c r="E671" i="14"/>
  <c r="E734" i="14"/>
  <c r="E745" i="14"/>
  <c r="E209" i="14"/>
  <c r="E186" i="14"/>
  <c r="E80" i="14"/>
  <c r="E78" i="14"/>
  <c r="E212" i="14"/>
  <c r="D849" i="14" l="1"/>
  <c r="E849" i="14"/>
  <c r="F849" i="14"/>
  <c r="G849" i="14"/>
  <c r="H849" i="14"/>
  <c r="I849" i="14"/>
  <c r="J849" i="14"/>
  <c r="K849" i="14"/>
  <c r="L849" i="14"/>
  <c r="N849" i="14"/>
  <c r="M185" i="14"/>
  <c r="D192" i="14"/>
  <c r="E192" i="14"/>
  <c r="F192" i="14"/>
  <c r="G192" i="14"/>
  <c r="H192" i="14"/>
  <c r="I192" i="14"/>
  <c r="J192" i="14"/>
  <c r="K192" i="14"/>
  <c r="L192" i="14"/>
  <c r="N192" i="14"/>
  <c r="O185" i="14" l="1"/>
  <c r="E720" i="14"/>
  <c r="E850" i="14" l="1"/>
  <c r="F850" i="14"/>
  <c r="G850" i="14"/>
  <c r="H850" i="14"/>
  <c r="I850" i="14"/>
  <c r="J850" i="14"/>
  <c r="K850" i="14"/>
  <c r="L850" i="14"/>
  <c r="N840" i="14" l="1"/>
  <c r="N850" i="14"/>
  <c r="N851" i="14"/>
  <c r="M463" i="14"/>
  <c r="O463" i="14" s="1"/>
  <c r="F843" i="14"/>
  <c r="G843" i="14"/>
  <c r="H843" i="14"/>
  <c r="I843" i="14"/>
  <c r="J843" i="14"/>
  <c r="K843" i="14"/>
  <c r="D843" i="14"/>
  <c r="D141" i="14"/>
  <c r="D223" i="14"/>
  <c r="D201" i="14"/>
  <c r="D183" i="14"/>
  <c r="D163" i="14"/>
  <c r="D121" i="14"/>
  <c r="D107" i="14"/>
  <c r="D233" i="14"/>
  <c r="D220" i="14"/>
  <c r="D216" i="14"/>
  <c r="D177" i="14"/>
  <c r="D156" i="14"/>
  <c r="D134" i="14"/>
  <c r="D113" i="14"/>
  <c r="D625" i="14"/>
  <c r="D637" i="14"/>
  <c r="D642" i="14"/>
  <c r="D726" i="14"/>
  <c r="D719" i="14"/>
  <c r="D713" i="14"/>
  <c r="D743" i="14"/>
  <c r="D740" i="14"/>
  <c r="D748" i="14"/>
  <c r="D371" i="14"/>
  <c r="D358" i="14"/>
  <c r="D338" i="14"/>
  <c r="D329" i="14"/>
  <c r="D324" i="14"/>
  <c r="D368" i="14"/>
  <c r="D352" i="14"/>
  <c r="D763" i="14"/>
  <c r="D779" i="14"/>
  <c r="D776" i="14"/>
  <c r="D789" i="14"/>
  <c r="D300" i="14"/>
  <c r="D313" i="14"/>
  <c r="D310" i="14"/>
  <c r="D318" i="14"/>
  <c r="D513" i="14"/>
  <c r="D529" i="14"/>
  <c r="D526" i="14"/>
  <c r="D535" i="14"/>
  <c r="D799" i="14"/>
  <c r="D810" i="14"/>
  <c r="D544" i="14"/>
  <c r="D551" i="14"/>
  <c r="D567" i="14"/>
  <c r="D564" i="14"/>
  <c r="D572" i="14"/>
  <c r="D416" i="14"/>
  <c r="D413" i="14"/>
  <c r="D400" i="14"/>
  <c r="D394" i="14"/>
  <c r="D388" i="14"/>
  <c r="D679" i="14"/>
  <c r="D673" i="14"/>
  <c r="D662" i="14"/>
  <c r="D655" i="14"/>
  <c r="D649" i="14"/>
  <c r="D503" i="14"/>
  <c r="D491" i="14"/>
  <c r="D449" i="14"/>
  <c r="D436" i="14"/>
  <c r="D429" i="14"/>
  <c r="D423" i="14"/>
  <c r="D283" i="14"/>
  <c r="D258" i="14"/>
  <c r="D264" i="14"/>
  <c r="D271" i="14"/>
  <c r="D840" i="14"/>
  <c r="D706" i="14"/>
  <c r="D695" i="14"/>
  <c r="D693" i="14"/>
  <c r="D688" i="14"/>
  <c r="D479" i="14"/>
  <c r="D468" i="14"/>
  <c r="D456" i="14"/>
  <c r="D461" i="14"/>
  <c r="D608" i="14"/>
  <c r="D595" i="14"/>
  <c r="D581" i="14"/>
  <c r="D587" i="14"/>
  <c r="D104" i="14"/>
  <c r="J104" i="14"/>
  <c r="K104" i="14"/>
  <c r="J107" i="14"/>
  <c r="K107" i="14"/>
  <c r="J113" i="14"/>
  <c r="K113" i="14"/>
  <c r="J121" i="14"/>
  <c r="K121" i="14"/>
  <c r="J134" i="14"/>
  <c r="K134" i="14"/>
  <c r="J141" i="14"/>
  <c r="K141" i="14"/>
  <c r="J156" i="14"/>
  <c r="K156" i="14"/>
  <c r="J163" i="14"/>
  <c r="K163" i="14"/>
  <c r="J177" i="14"/>
  <c r="K177" i="14"/>
  <c r="J183" i="14"/>
  <c r="K183" i="14"/>
  <c r="J201" i="14"/>
  <c r="K201" i="14"/>
  <c r="J216" i="14"/>
  <c r="K216" i="14"/>
  <c r="J220" i="14"/>
  <c r="K220" i="14"/>
  <c r="J223" i="14"/>
  <c r="K223" i="14"/>
  <c r="J233" i="14"/>
  <c r="K233" i="14"/>
  <c r="J258" i="14"/>
  <c r="K258" i="14"/>
  <c r="J264" i="14"/>
  <c r="K264" i="14"/>
  <c r="J271" i="14"/>
  <c r="K271" i="14"/>
  <c r="J283" i="14"/>
  <c r="K283" i="14"/>
  <c r="J290" i="14"/>
  <c r="K290" i="14"/>
  <c r="J294" i="14"/>
  <c r="K294" i="14"/>
  <c r="J300" i="14"/>
  <c r="K300" i="14"/>
  <c r="J310" i="14"/>
  <c r="K310" i="14"/>
  <c r="J313" i="14"/>
  <c r="K313" i="14"/>
  <c r="J318" i="14"/>
  <c r="K318" i="14"/>
  <c r="J324" i="14"/>
  <c r="K324" i="14"/>
  <c r="J329" i="14"/>
  <c r="K329" i="14"/>
  <c r="J338" i="14"/>
  <c r="K338" i="14"/>
  <c r="J352" i="14"/>
  <c r="K352" i="14"/>
  <c r="J358" i="14"/>
  <c r="K358" i="14"/>
  <c r="J368" i="14"/>
  <c r="K368" i="14"/>
  <c r="J371" i="14"/>
  <c r="K371" i="14"/>
  <c r="J377" i="14"/>
  <c r="K377" i="14"/>
  <c r="J388" i="14"/>
  <c r="K388" i="14"/>
  <c r="J394" i="14"/>
  <c r="K394" i="14"/>
  <c r="J400" i="14"/>
  <c r="K400" i="14"/>
  <c r="J413" i="14"/>
  <c r="K413" i="14"/>
  <c r="J416" i="14"/>
  <c r="K416" i="14"/>
  <c r="J423" i="14"/>
  <c r="K423" i="14"/>
  <c r="J429" i="14"/>
  <c r="K429" i="14"/>
  <c r="J436" i="14"/>
  <c r="K436" i="14"/>
  <c r="J449" i="14"/>
  <c r="K449" i="14"/>
  <c r="J456" i="14"/>
  <c r="K456" i="14"/>
  <c r="J461" i="14"/>
  <c r="K461" i="14"/>
  <c r="J468" i="14"/>
  <c r="K468" i="14"/>
  <c r="J479" i="14"/>
  <c r="K479" i="14"/>
  <c r="J491" i="14"/>
  <c r="K491" i="14"/>
  <c r="J503" i="14"/>
  <c r="K503" i="14"/>
  <c r="J513" i="14"/>
  <c r="K513" i="14"/>
  <c r="J526" i="14"/>
  <c r="K526" i="14"/>
  <c r="J529" i="14"/>
  <c r="K529" i="14"/>
  <c r="J535" i="14"/>
  <c r="K535" i="14"/>
  <c r="J544" i="14"/>
  <c r="K544" i="14"/>
  <c r="J551" i="14"/>
  <c r="K551" i="14"/>
  <c r="J564" i="14"/>
  <c r="K564" i="14"/>
  <c r="J567" i="14"/>
  <c r="K567" i="14"/>
  <c r="J572" i="14"/>
  <c r="K572" i="14"/>
  <c r="J581" i="14"/>
  <c r="K581" i="14"/>
  <c r="J587" i="14"/>
  <c r="K587" i="14"/>
  <c r="J595" i="14"/>
  <c r="K595" i="14"/>
  <c r="J608" i="14"/>
  <c r="K608" i="14"/>
  <c r="J613" i="14"/>
  <c r="K613" i="14"/>
  <c r="K838" i="14" s="1"/>
  <c r="J617" i="14"/>
  <c r="K617" i="14"/>
  <c r="J625" i="14"/>
  <c r="K625" i="14"/>
  <c r="J637" i="14"/>
  <c r="K637" i="14"/>
  <c r="J642" i="14"/>
  <c r="K642" i="14"/>
  <c r="J649" i="14"/>
  <c r="K649" i="14"/>
  <c r="J655" i="14"/>
  <c r="K655" i="14"/>
  <c r="J662" i="14"/>
  <c r="K662" i="14"/>
  <c r="J673" i="14"/>
  <c r="K673" i="14"/>
  <c r="J679" i="14"/>
  <c r="K679" i="14"/>
  <c r="J688" i="14"/>
  <c r="K688" i="14"/>
  <c r="J693" i="14"/>
  <c r="K693" i="14"/>
  <c r="J695" i="14"/>
  <c r="K695" i="14"/>
  <c r="J706" i="14"/>
  <c r="K706" i="14"/>
  <c r="J713" i="14"/>
  <c r="K713" i="14"/>
  <c r="J719" i="14"/>
  <c r="K719" i="14"/>
  <c r="J726" i="14"/>
  <c r="K726" i="14"/>
  <c r="J740" i="14"/>
  <c r="K740" i="14"/>
  <c r="J743" i="14"/>
  <c r="K743" i="14"/>
  <c r="J748" i="14"/>
  <c r="K748" i="14"/>
  <c r="J756" i="14"/>
  <c r="K756" i="14"/>
  <c r="J763" i="14"/>
  <c r="K763" i="14"/>
  <c r="J776" i="14"/>
  <c r="K776" i="14"/>
  <c r="J779" i="14"/>
  <c r="K779" i="14"/>
  <c r="J789" i="14"/>
  <c r="K789" i="14"/>
  <c r="J799" i="14"/>
  <c r="K799" i="14"/>
  <c r="J810" i="14"/>
  <c r="K810" i="14"/>
  <c r="J824" i="14"/>
  <c r="K824" i="14"/>
  <c r="J825" i="14"/>
  <c r="K825" i="14"/>
  <c r="J826" i="14"/>
  <c r="K826" i="14"/>
  <c r="J827" i="14"/>
  <c r="K827" i="14"/>
  <c r="J828" i="14"/>
  <c r="K828" i="14"/>
  <c r="J829" i="14"/>
  <c r="K829" i="14"/>
  <c r="J830" i="14"/>
  <c r="K830" i="14"/>
  <c r="J831" i="14"/>
  <c r="K831" i="14"/>
  <c r="J832" i="14"/>
  <c r="K832" i="14"/>
  <c r="J833" i="14"/>
  <c r="K833" i="14"/>
  <c r="J834" i="14"/>
  <c r="K834" i="14"/>
  <c r="J835" i="14"/>
  <c r="K835" i="14"/>
  <c r="J836" i="14"/>
  <c r="K836" i="14"/>
  <c r="J837" i="14"/>
  <c r="K837" i="14"/>
  <c r="J839" i="14"/>
  <c r="K839" i="14"/>
  <c r="J840" i="14"/>
  <c r="K840" i="14"/>
  <c r="J841" i="14"/>
  <c r="K841" i="14"/>
  <c r="J842" i="14"/>
  <c r="K842" i="14"/>
  <c r="J844" i="14"/>
  <c r="K844" i="14"/>
  <c r="J845" i="14"/>
  <c r="K845" i="14"/>
  <c r="J846" i="14"/>
  <c r="K846" i="14"/>
  <c r="J848" i="14"/>
  <c r="K848" i="14"/>
  <c r="J851" i="14"/>
  <c r="K851" i="14"/>
  <c r="J852" i="14"/>
  <c r="K852" i="14"/>
  <c r="J853" i="14"/>
  <c r="K853" i="14"/>
  <c r="J854" i="14"/>
  <c r="K854" i="14"/>
  <c r="J855" i="14"/>
  <c r="K855" i="14"/>
  <c r="J856" i="14"/>
  <c r="K856" i="14"/>
  <c r="J857" i="14"/>
  <c r="K857" i="14"/>
  <c r="J858" i="14"/>
  <c r="K858" i="14"/>
  <c r="J859" i="14"/>
  <c r="K859" i="14"/>
  <c r="J860" i="14"/>
  <c r="K860" i="14"/>
  <c r="J861" i="14"/>
  <c r="K861" i="14"/>
  <c r="J862" i="14"/>
  <c r="K862" i="14"/>
  <c r="J863" i="14"/>
  <c r="K863" i="14"/>
  <c r="J865" i="14"/>
  <c r="K865" i="14"/>
  <c r="J866" i="14"/>
  <c r="K866" i="14"/>
  <c r="J867" i="14"/>
  <c r="K867" i="14"/>
  <c r="J868" i="14"/>
  <c r="K868" i="14"/>
  <c r="J869" i="14"/>
  <c r="K869" i="14"/>
  <c r="D824" i="14"/>
  <c r="D825" i="14"/>
  <c r="D826" i="14"/>
  <c r="D827" i="14"/>
  <c r="D828" i="14"/>
  <c r="D829" i="14"/>
  <c r="D830" i="14"/>
  <c r="D831" i="14"/>
  <c r="D832" i="14"/>
  <c r="D833" i="14"/>
  <c r="D834" i="14"/>
  <c r="D835" i="14"/>
  <c r="D836" i="14"/>
  <c r="D837" i="14"/>
  <c r="D838" i="14"/>
  <c r="D839" i="14"/>
  <c r="D841" i="14"/>
  <c r="D842" i="14"/>
  <c r="D844" i="14"/>
  <c r="D845" i="14"/>
  <c r="D846" i="14"/>
  <c r="D848" i="14"/>
  <c r="D850" i="14"/>
  <c r="D851" i="14"/>
  <c r="D852" i="14"/>
  <c r="D853" i="14"/>
  <c r="D854" i="14"/>
  <c r="D855" i="14"/>
  <c r="D856" i="14"/>
  <c r="D857" i="14"/>
  <c r="D858" i="14"/>
  <c r="D859" i="14"/>
  <c r="D860" i="14"/>
  <c r="D861" i="14"/>
  <c r="D862" i="14"/>
  <c r="D863" i="14"/>
  <c r="D865" i="14"/>
  <c r="D866" i="14"/>
  <c r="D867" i="14"/>
  <c r="D868" i="14"/>
  <c r="D869" i="14"/>
  <c r="J254" i="14" l="1"/>
  <c r="K540" i="14"/>
  <c r="K254" i="14"/>
  <c r="K611" i="14"/>
  <c r="J864" i="14"/>
  <c r="J506" i="14"/>
  <c r="K709" i="14"/>
  <c r="K864" i="14"/>
  <c r="K847" i="14"/>
  <c r="K682" i="14"/>
  <c r="K645" i="14"/>
  <c r="J847" i="14"/>
  <c r="K506" i="14"/>
  <c r="D847" i="14"/>
  <c r="J611" i="14"/>
  <c r="J682" i="14"/>
  <c r="J645" i="14"/>
  <c r="J838" i="14"/>
  <c r="J709" i="14"/>
  <c r="J540" i="14"/>
  <c r="J751" i="14"/>
  <c r="J321" i="14"/>
  <c r="K751" i="14"/>
  <c r="K321" i="14"/>
  <c r="J792" i="14"/>
  <c r="J452" i="14"/>
  <c r="K792" i="14"/>
  <c r="K452" i="14"/>
  <c r="K816" i="14"/>
  <c r="K577" i="14"/>
  <c r="K484" i="14"/>
  <c r="K384" i="14"/>
  <c r="J419" i="14"/>
  <c r="J286" i="14"/>
  <c r="K419" i="14"/>
  <c r="K286" i="14"/>
  <c r="J816" i="14"/>
  <c r="J577" i="14"/>
  <c r="J484" i="14"/>
  <c r="J384" i="14"/>
  <c r="D254" i="14"/>
  <c r="D751" i="14"/>
  <c r="D384" i="14"/>
  <c r="D792" i="14"/>
  <c r="D321" i="14"/>
  <c r="D540" i="14"/>
  <c r="D816" i="14"/>
  <c r="D577" i="14"/>
  <c r="D419" i="14"/>
  <c r="D682" i="14"/>
  <c r="D506" i="14"/>
  <c r="D452" i="14"/>
  <c r="D286" i="14"/>
  <c r="D709" i="14"/>
  <c r="D484" i="14"/>
  <c r="D611" i="14"/>
  <c r="J817" i="14" l="1"/>
  <c r="K817" i="14"/>
  <c r="K870" i="14"/>
  <c r="J870" i="14"/>
  <c r="E592" i="14" l="1"/>
  <c r="E843" i="14" s="1"/>
  <c r="N848" i="14" l="1"/>
  <c r="M494" i="14" l="1"/>
  <c r="L445" i="14" l="1"/>
  <c r="N810" i="14" l="1"/>
  <c r="M135" i="14" l="1"/>
  <c r="M804" i="14" l="1"/>
  <c r="O804" i="14" s="1"/>
  <c r="M558" i="14"/>
  <c r="O558" i="14" s="1"/>
  <c r="L843" i="14" l="1"/>
  <c r="N843" i="14"/>
  <c r="L848" i="14"/>
  <c r="L824" i="14"/>
  <c r="L825" i="14"/>
  <c r="L826" i="14"/>
  <c r="L827" i="14"/>
  <c r="L829" i="14"/>
  <c r="L830" i="14"/>
  <c r="L831" i="14"/>
  <c r="L832" i="14"/>
  <c r="L834" i="14"/>
  <c r="L835" i="14"/>
  <c r="L836" i="14"/>
  <c r="L839" i="14"/>
  <c r="L840" i="14"/>
  <c r="L841" i="14"/>
  <c r="L842" i="14"/>
  <c r="L844" i="14"/>
  <c r="L845" i="14"/>
  <c r="L846" i="14"/>
  <c r="L865" i="14"/>
  <c r="L866" i="14"/>
  <c r="L867" i="14"/>
  <c r="L868" i="14"/>
  <c r="L869" i="14"/>
  <c r="L857" i="14"/>
  <c r="L858" i="14"/>
  <c r="L859" i="14"/>
  <c r="L860" i="14"/>
  <c r="L861" i="14"/>
  <c r="L862" i="14"/>
  <c r="L863" i="14"/>
  <c r="L851" i="14"/>
  <c r="L852" i="14"/>
  <c r="L853" i="14"/>
  <c r="L854" i="14"/>
  <c r="L855" i="14"/>
  <c r="L856" i="14"/>
  <c r="I856" i="14"/>
  <c r="H856" i="14"/>
  <c r="G856" i="14"/>
  <c r="F856" i="14"/>
  <c r="E856" i="14"/>
  <c r="N856" i="14"/>
  <c r="N844" i="14"/>
  <c r="E844" i="14"/>
  <c r="F844" i="14"/>
  <c r="G844" i="14"/>
  <c r="H844" i="14"/>
  <c r="I844" i="14"/>
  <c r="M600" i="14"/>
  <c r="M568" i="14"/>
  <c r="M521" i="14"/>
  <c r="M501" i="14"/>
  <c r="M499" i="14"/>
  <c r="M495" i="14"/>
  <c r="M234" i="14"/>
  <c r="L810" i="14"/>
  <c r="L799" i="14"/>
  <c r="L789" i="14"/>
  <c r="L779" i="14"/>
  <c r="L776" i="14"/>
  <c r="L763" i="14"/>
  <c r="L756" i="14"/>
  <c r="L748" i="14"/>
  <c r="L743" i="14"/>
  <c r="L740" i="14"/>
  <c r="L726" i="14"/>
  <c r="L719" i="14"/>
  <c r="L713" i="14"/>
  <c r="L706" i="14"/>
  <c r="L695" i="14"/>
  <c r="L693" i="14"/>
  <c r="L688" i="14"/>
  <c r="L679" i="14"/>
  <c r="L673" i="14"/>
  <c r="L662" i="14"/>
  <c r="L655" i="14"/>
  <c r="L649" i="14"/>
  <c r="L642" i="14"/>
  <c r="L637" i="14"/>
  <c r="L625" i="14"/>
  <c r="L617" i="14"/>
  <c r="L613" i="14"/>
  <c r="L608" i="14"/>
  <c r="L595" i="14"/>
  <c r="L587" i="14"/>
  <c r="L581" i="14"/>
  <c r="L572" i="14"/>
  <c r="L567" i="14"/>
  <c r="L564" i="14"/>
  <c r="L551" i="14"/>
  <c r="L544" i="14"/>
  <c r="L535" i="14"/>
  <c r="L529" i="14"/>
  <c r="L526" i="14"/>
  <c r="L513" i="14"/>
  <c r="L503" i="14"/>
  <c r="L491" i="14"/>
  <c r="L479" i="14"/>
  <c r="L468" i="14"/>
  <c r="L461" i="14"/>
  <c r="L456" i="14"/>
  <c r="L449" i="14"/>
  <c r="L436" i="14"/>
  <c r="L429" i="14"/>
  <c r="L423" i="14"/>
  <c r="L416" i="14"/>
  <c r="L413" i="14"/>
  <c r="L400" i="14"/>
  <c r="L394" i="14"/>
  <c r="L388" i="14"/>
  <c r="L377" i="14"/>
  <c r="L371" i="14"/>
  <c r="L368" i="14"/>
  <c r="L358" i="14"/>
  <c r="L352" i="14"/>
  <c r="L338" i="14"/>
  <c r="L329" i="14"/>
  <c r="L324" i="14"/>
  <c r="L318" i="14"/>
  <c r="L313" i="14"/>
  <c r="L310" i="14"/>
  <c r="L300" i="14"/>
  <c r="L294" i="14"/>
  <c r="L290" i="14"/>
  <c r="L283" i="14"/>
  <c r="L271" i="14"/>
  <c r="L264" i="14"/>
  <c r="L258" i="14"/>
  <c r="L233" i="14"/>
  <c r="L223" i="14"/>
  <c r="L220" i="14"/>
  <c r="L216" i="14"/>
  <c r="L201" i="14"/>
  <c r="L183" i="14"/>
  <c r="L177" i="14"/>
  <c r="L163" i="14"/>
  <c r="L156" i="14"/>
  <c r="L141" i="14"/>
  <c r="L134" i="14"/>
  <c r="L121" i="14"/>
  <c r="L113" i="14"/>
  <c r="L107" i="14"/>
  <c r="M610" i="14"/>
  <c r="M235" i="14"/>
  <c r="M237" i="14"/>
  <c r="M239" i="14"/>
  <c r="M241" i="14"/>
  <c r="M242" i="14"/>
  <c r="M243" i="14"/>
  <c r="M245" i="14"/>
  <c r="M253" i="14"/>
  <c r="M284" i="14"/>
  <c r="M285" i="14"/>
  <c r="M319" i="14"/>
  <c r="M320" i="14"/>
  <c r="M379" i="14"/>
  <c r="M380" i="14"/>
  <c r="M381" i="14"/>
  <c r="M383" i="14"/>
  <c r="M417" i="14"/>
  <c r="M418" i="14"/>
  <c r="M450" i="14"/>
  <c r="M451" i="14"/>
  <c r="M480" i="14"/>
  <c r="M481" i="14"/>
  <c r="M483" i="14"/>
  <c r="M504" i="14"/>
  <c r="M536" i="14"/>
  <c r="M537" i="14"/>
  <c r="M576" i="14"/>
  <c r="M609" i="14"/>
  <c r="M644" i="14"/>
  <c r="M681" i="14"/>
  <c r="M791" i="14"/>
  <c r="M786" i="14"/>
  <c r="M773" i="14"/>
  <c r="M668" i="14"/>
  <c r="M634" i="14"/>
  <c r="M598" i="14"/>
  <c r="M471" i="14"/>
  <c r="M305" i="14"/>
  <c r="M103" i="14"/>
  <c r="M102" i="14"/>
  <c r="M99" i="14"/>
  <c r="M98" i="14"/>
  <c r="M97" i="14"/>
  <c r="M96" i="14"/>
  <c r="M95" i="14"/>
  <c r="M80" i="14"/>
  <c r="M75" i="14"/>
  <c r="M71" i="14"/>
  <c r="M56" i="14"/>
  <c r="M33" i="14"/>
  <c r="M306" i="14"/>
  <c r="M307" i="14"/>
  <c r="M308" i="14"/>
  <c r="M309" i="14"/>
  <c r="M302" i="14"/>
  <c r="M303" i="14"/>
  <c r="M304" i="14"/>
  <c r="M74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4" i="14"/>
  <c r="M35" i="14"/>
  <c r="M36" i="14"/>
  <c r="M37" i="14"/>
  <c r="M38" i="14"/>
  <c r="M39" i="14"/>
  <c r="M40" i="14"/>
  <c r="M41" i="14"/>
  <c r="M42" i="14"/>
  <c r="M43" i="14"/>
  <c r="M44" i="14"/>
  <c r="O44" i="14" s="1"/>
  <c r="M45" i="14"/>
  <c r="M46" i="14"/>
  <c r="M47" i="14"/>
  <c r="M48" i="14"/>
  <c r="M49" i="14"/>
  <c r="M50" i="14"/>
  <c r="M51" i="14"/>
  <c r="M52" i="14"/>
  <c r="M53" i="14"/>
  <c r="M54" i="14"/>
  <c r="M55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2" i="14"/>
  <c r="M73" i="14"/>
  <c r="M76" i="14"/>
  <c r="M77" i="14"/>
  <c r="M79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100" i="14"/>
  <c r="M101" i="14"/>
  <c r="M5" i="14"/>
  <c r="M105" i="14"/>
  <c r="M106" i="14"/>
  <c r="M108" i="14"/>
  <c r="M109" i="14"/>
  <c r="M110" i="14"/>
  <c r="M111" i="14"/>
  <c r="M112" i="14"/>
  <c r="M114" i="14"/>
  <c r="M115" i="14"/>
  <c r="M116" i="14"/>
  <c r="M117" i="14"/>
  <c r="M118" i="14"/>
  <c r="M119" i="14"/>
  <c r="M120" i="14"/>
  <c r="M122" i="14"/>
  <c r="M123" i="14"/>
  <c r="M124" i="14"/>
  <c r="M125" i="14"/>
  <c r="M126" i="14"/>
  <c r="M127" i="14"/>
  <c r="M128" i="14"/>
  <c r="M129" i="14"/>
  <c r="M130" i="14"/>
  <c r="M131" i="14"/>
  <c r="M132" i="14"/>
  <c r="M133" i="14"/>
  <c r="M136" i="14"/>
  <c r="M137" i="14"/>
  <c r="M138" i="14"/>
  <c r="M139" i="14"/>
  <c r="M140" i="14"/>
  <c r="M142" i="14"/>
  <c r="M143" i="14"/>
  <c r="M144" i="14"/>
  <c r="M145" i="14"/>
  <c r="M146" i="14"/>
  <c r="M147" i="14"/>
  <c r="M148" i="14"/>
  <c r="M149" i="14"/>
  <c r="M150" i="14"/>
  <c r="M151" i="14"/>
  <c r="M152" i="14"/>
  <c r="M153" i="14"/>
  <c r="M154" i="14"/>
  <c r="M155" i="14"/>
  <c r="M157" i="14"/>
  <c r="M158" i="14"/>
  <c r="M159" i="14"/>
  <c r="M160" i="14"/>
  <c r="M161" i="14"/>
  <c r="M162" i="14"/>
  <c r="M164" i="14"/>
  <c r="M165" i="14"/>
  <c r="M166" i="14"/>
  <c r="M167" i="14"/>
  <c r="M168" i="14"/>
  <c r="M169" i="14"/>
  <c r="M170" i="14"/>
  <c r="M171" i="14"/>
  <c r="M172" i="14"/>
  <c r="M173" i="14"/>
  <c r="M174" i="14"/>
  <c r="M175" i="14"/>
  <c r="M176" i="14"/>
  <c r="M178" i="14"/>
  <c r="M179" i="14"/>
  <c r="M180" i="14"/>
  <c r="M181" i="14"/>
  <c r="M182" i="14"/>
  <c r="M184" i="14"/>
  <c r="M186" i="14"/>
  <c r="M187" i="14"/>
  <c r="M188" i="14"/>
  <c r="M189" i="14"/>
  <c r="M190" i="14"/>
  <c r="M191" i="14"/>
  <c r="M193" i="14"/>
  <c r="M194" i="14"/>
  <c r="M195" i="14"/>
  <c r="M196" i="14"/>
  <c r="M197" i="14"/>
  <c r="M198" i="14"/>
  <c r="M199" i="14"/>
  <c r="M200" i="14"/>
  <c r="M202" i="14"/>
  <c r="M203" i="14"/>
  <c r="M204" i="14"/>
  <c r="M205" i="14"/>
  <c r="M206" i="14"/>
  <c r="M207" i="14"/>
  <c r="M208" i="14"/>
  <c r="M209" i="14"/>
  <c r="M210" i="14"/>
  <c r="M211" i="14"/>
  <c r="M212" i="14"/>
  <c r="M213" i="14"/>
  <c r="M214" i="14"/>
  <c r="M215" i="14"/>
  <c r="M217" i="14"/>
  <c r="M218" i="14"/>
  <c r="M219" i="14"/>
  <c r="M221" i="14"/>
  <c r="M222" i="14"/>
  <c r="M224" i="14"/>
  <c r="M225" i="14"/>
  <c r="M226" i="14"/>
  <c r="M227" i="14"/>
  <c r="M228" i="14"/>
  <c r="M229" i="14"/>
  <c r="M230" i="14"/>
  <c r="M231" i="14"/>
  <c r="M232" i="14"/>
  <c r="M236" i="14"/>
  <c r="M238" i="14"/>
  <c r="M240" i="14"/>
  <c r="M244" i="14"/>
  <c r="M246" i="14"/>
  <c r="M247" i="14"/>
  <c r="M248" i="14"/>
  <c r="M249" i="14"/>
  <c r="M250" i="14"/>
  <c r="M251" i="14"/>
  <c r="M252" i="14"/>
  <c r="M255" i="14"/>
  <c r="M256" i="14"/>
  <c r="M257" i="14"/>
  <c r="M259" i="14"/>
  <c r="M260" i="14"/>
  <c r="M261" i="14"/>
  <c r="M262" i="14"/>
  <c r="M263" i="14"/>
  <c r="M265" i="14"/>
  <c r="M266" i="14"/>
  <c r="M267" i="14"/>
  <c r="M268" i="14"/>
  <c r="M269" i="14"/>
  <c r="M270" i="14"/>
  <c r="M272" i="14"/>
  <c r="M273" i="14"/>
  <c r="M274" i="14"/>
  <c r="M275" i="14"/>
  <c r="M276" i="14"/>
  <c r="M277" i="14"/>
  <c r="M278" i="14"/>
  <c r="M279" i="14"/>
  <c r="M280" i="14"/>
  <c r="M281" i="14"/>
  <c r="M282" i="14"/>
  <c r="M287" i="14"/>
  <c r="M288" i="14"/>
  <c r="M289" i="14"/>
  <c r="M291" i="14"/>
  <c r="M292" i="14"/>
  <c r="M293" i="14"/>
  <c r="M295" i="14"/>
  <c r="M296" i="14"/>
  <c r="M297" i="14"/>
  <c r="M298" i="14"/>
  <c r="M299" i="14"/>
  <c r="M301" i="14"/>
  <c r="M311" i="14"/>
  <c r="M312" i="14"/>
  <c r="M314" i="14"/>
  <c r="M315" i="14"/>
  <c r="M316" i="14"/>
  <c r="M317" i="14"/>
  <c r="M322" i="14"/>
  <c r="M323" i="14"/>
  <c r="M325" i="14"/>
  <c r="M326" i="14"/>
  <c r="M327" i="14"/>
  <c r="M328" i="14"/>
  <c r="M330" i="14"/>
  <c r="M331" i="14"/>
  <c r="M332" i="14"/>
  <c r="M333" i="14"/>
  <c r="M334" i="14"/>
  <c r="M335" i="14"/>
  <c r="M336" i="14"/>
  <c r="M337" i="14"/>
  <c r="M339" i="14"/>
  <c r="M340" i="14"/>
  <c r="M341" i="14"/>
  <c r="M342" i="14"/>
  <c r="M343" i="14"/>
  <c r="M344" i="14"/>
  <c r="M345" i="14"/>
  <c r="M346" i="14"/>
  <c r="M347" i="14"/>
  <c r="M348" i="14"/>
  <c r="M349" i="14"/>
  <c r="M350" i="14"/>
  <c r="M351" i="14"/>
  <c r="M353" i="14"/>
  <c r="M354" i="14"/>
  <c r="M355" i="14"/>
  <c r="M356" i="14"/>
  <c r="M357" i="14"/>
  <c r="M359" i="14"/>
  <c r="M360" i="14"/>
  <c r="M361" i="14"/>
  <c r="M362" i="14"/>
  <c r="M363" i="14"/>
  <c r="M364" i="14"/>
  <c r="M365" i="14"/>
  <c r="M366" i="14"/>
  <c r="M367" i="14"/>
  <c r="M369" i="14"/>
  <c r="M370" i="14"/>
  <c r="M372" i="14"/>
  <c r="M373" i="14"/>
  <c r="M374" i="14"/>
  <c r="M375" i="14"/>
  <c r="M376" i="14"/>
  <c r="M378" i="14"/>
  <c r="M382" i="14"/>
  <c r="M385" i="14"/>
  <c r="M386" i="14"/>
  <c r="M387" i="14"/>
  <c r="M389" i="14"/>
  <c r="M390" i="14"/>
  <c r="M391" i="14"/>
  <c r="M392" i="14"/>
  <c r="M393" i="14"/>
  <c r="M395" i="14"/>
  <c r="M396" i="14"/>
  <c r="M397" i="14"/>
  <c r="M398" i="14"/>
  <c r="M399" i="14"/>
  <c r="M401" i="14"/>
  <c r="M402" i="14"/>
  <c r="M403" i="14"/>
  <c r="M404" i="14"/>
  <c r="M405" i="14"/>
  <c r="M406" i="14"/>
  <c r="M407" i="14"/>
  <c r="M408" i="14"/>
  <c r="M409" i="14"/>
  <c r="M410" i="14"/>
  <c r="M411" i="14"/>
  <c r="M412" i="14"/>
  <c r="M414" i="14"/>
  <c r="M415" i="14"/>
  <c r="M420" i="14"/>
  <c r="M421" i="14"/>
  <c r="M422" i="14"/>
  <c r="M425" i="14"/>
  <c r="M426" i="14"/>
  <c r="M427" i="14"/>
  <c r="M428" i="14"/>
  <c r="M431" i="14"/>
  <c r="M432" i="14"/>
  <c r="M433" i="14"/>
  <c r="M434" i="14"/>
  <c r="M435" i="14"/>
  <c r="M437" i="14"/>
  <c r="M438" i="14"/>
  <c r="M439" i="14"/>
  <c r="M440" i="14"/>
  <c r="M441" i="14"/>
  <c r="M442" i="14"/>
  <c r="M443" i="14"/>
  <c r="M444" i="14"/>
  <c r="M445" i="14"/>
  <c r="M446" i="14"/>
  <c r="M447" i="14"/>
  <c r="M448" i="14"/>
  <c r="M453" i="14"/>
  <c r="M454" i="14"/>
  <c r="M455" i="14"/>
  <c r="M457" i="14"/>
  <c r="M458" i="14"/>
  <c r="M459" i="14"/>
  <c r="M460" i="14"/>
  <c r="M462" i="14"/>
  <c r="M464" i="14"/>
  <c r="M465" i="14"/>
  <c r="M466" i="14"/>
  <c r="M467" i="14"/>
  <c r="M469" i="14"/>
  <c r="M470" i="14"/>
  <c r="M472" i="14"/>
  <c r="M473" i="14"/>
  <c r="M474" i="14"/>
  <c r="M476" i="14"/>
  <c r="M477" i="14"/>
  <c r="M478" i="14"/>
  <c r="M482" i="14"/>
  <c r="M485" i="14"/>
  <c r="M486" i="14"/>
  <c r="M487" i="14"/>
  <c r="M488" i="14"/>
  <c r="M489" i="14"/>
  <c r="M490" i="14"/>
  <c r="M492" i="14"/>
  <c r="M493" i="14"/>
  <c r="M496" i="14"/>
  <c r="M497" i="14"/>
  <c r="M498" i="14"/>
  <c r="M500" i="14"/>
  <c r="M502" i="14"/>
  <c r="M505" i="14"/>
  <c r="M507" i="14"/>
  <c r="M508" i="14"/>
  <c r="M509" i="14"/>
  <c r="M510" i="14"/>
  <c r="M511" i="14"/>
  <c r="M512" i="14"/>
  <c r="M514" i="14"/>
  <c r="M515" i="14"/>
  <c r="M516" i="14"/>
  <c r="M517" i="14"/>
  <c r="M518" i="14"/>
  <c r="M519" i="14"/>
  <c r="M520" i="14"/>
  <c r="M522" i="14"/>
  <c r="M523" i="14"/>
  <c r="M524" i="14"/>
  <c r="M525" i="14"/>
  <c r="M527" i="14"/>
  <c r="M528" i="14"/>
  <c r="M530" i="14"/>
  <c r="M531" i="14"/>
  <c r="M532" i="14"/>
  <c r="M533" i="14"/>
  <c r="M534" i="14"/>
  <c r="M538" i="14"/>
  <c r="M539" i="14"/>
  <c r="M541" i="14"/>
  <c r="M542" i="14"/>
  <c r="M543" i="14"/>
  <c r="M545" i="14"/>
  <c r="M546" i="14"/>
  <c r="M547" i="14"/>
  <c r="M548" i="14"/>
  <c r="M549" i="14"/>
  <c r="M550" i="14"/>
  <c r="M552" i="14"/>
  <c r="M553" i="14"/>
  <c r="M554" i="14"/>
  <c r="M555" i="14"/>
  <c r="M556" i="14"/>
  <c r="M557" i="14"/>
  <c r="M559" i="14"/>
  <c r="M560" i="14"/>
  <c r="M561" i="14"/>
  <c r="M562" i="14"/>
  <c r="M563" i="14"/>
  <c r="M565" i="14"/>
  <c r="M566" i="14"/>
  <c r="M569" i="14"/>
  <c r="M570" i="14"/>
  <c r="M571" i="14"/>
  <c r="M573" i="14"/>
  <c r="M574" i="14"/>
  <c r="M575" i="14"/>
  <c r="M578" i="14"/>
  <c r="M579" i="14"/>
  <c r="M580" i="14"/>
  <c r="M582" i="14"/>
  <c r="M583" i="14"/>
  <c r="M584" i="14"/>
  <c r="M585" i="14"/>
  <c r="M586" i="14"/>
  <c r="M588" i="14"/>
  <c r="M589" i="14"/>
  <c r="M590" i="14"/>
  <c r="M591" i="14"/>
  <c r="M592" i="14"/>
  <c r="M593" i="14"/>
  <c r="M594" i="14"/>
  <c r="M596" i="14"/>
  <c r="M597" i="14"/>
  <c r="M599" i="14"/>
  <c r="M601" i="14"/>
  <c r="M602" i="14"/>
  <c r="M603" i="14"/>
  <c r="M604" i="14"/>
  <c r="M605" i="14"/>
  <c r="M606" i="14"/>
  <c r="M607" i="14"/>
  <c r="M612" i="14"/>
  <c r="M613" i="14" s="1"/>
  <c r="M614" i="14"/>
  <c r="M615" i="14"/>
  <c r="M616" i="14"/>
  <c r="M618" i="14"/>
  <c r="M619" i="14"/>
  <c r="M620" i="14"/>
  <c r="M621" i="14"/>
  <c r="M622" i="14"/>
  <c r="M623" i="14"/>
  <c r="M624" i="14"/>
  <c r="M626" i="14"/>
  <c r="M627" i="14"/>
  <c r="M628" i="14"/>
  <c r="M629" i="14"/>
  <c r="M630" i="14"/>
  <c r="M631" i="14"/>
  <c r="M632" i="14"/>
  <c r="M633" i="14"/>
  <c r="M635" i="14"/>
  <c r="M636" i="14"/>
  <c r="M638" i="14"/>
  <c r="M639" i="14"/>
  <c r="M640" i="14"/>
  <c r="M641" i="14"/>
  <c r="M643" i="14"/>
  <c r="M646" i="14"/>
  <c r="M647" i="14"/>
  <c r="M648" i="14"/>
  <c r="M650" i="14"/>
  <c r="M651" i="14"/>
  <c r="M652" i="14"/>
  <c r="M653" i="14"/>
  <c r="M654" i="14"/>
  <c r="M656" i="14"/>
  <c r="M657" i="14"/>
  <c r="M658" i="14"/>
  <c r="M659" i="14"/>
  <c r="M660" i="14"/>
  <c r="M661" i="14"/>
  <c r="M663" i="14"/>
  <c r="M664" i="14"/>
  <c r="M665" i="14"/>
  <c r="M666" i="14"/>
  <c r="M667" i="14"/>
  <c r="M669" i="14"/>
  <c r="M670" i="14"/>
  <c r="M671" i="14"/>
  <c r="M672" i="14"/>
  <c r="M674" i="14"/>
  <c r="M675" i="14"/>
  <c r="M676" i="14"/>
  <c r="M677" i="14"/>
  <c r="M678" i="14"/>
  <c r="M680" i="14"/>
  <c r="M683" i="14"/>
  <c r="M684" i="14"/>
  <c r="M685" i="14"/>
  <c r="M686" i="14"/>
  <c r="M687" i="14"/>
  <c r="M689" i="14"/>
  <c r="M690" i="14"/>
  <c r="M691" i="14"/>
  <c r="M692" i="14"/>
  <c r="M694" i="14"/>
  <c r="M695" i="14" s="1"/>
  <c r="M696" i="14"/>
  <c r="M697" i="14"/>
  <c r="M698" i="14"/>
  <c r="M699" i="14"/>
  <c r="M700" i="14"/>
  <c r="M701" i="14"/>
  <c r="M702" i="14"/>
  <c r="M703" i="14"/>
  <c r="M704" i="14"/>
  <c r="M705" i="14"/>
  <c r="M707" i="14"/>
  <c r="M708" i="14"/>
  <c r="M710" i="14"/>
  <c r="M711" i="14"/>
  <c r="M712" i="14"/>
  <c r="M714" i="14"/>
  <c r="M715" i="14"/>
  <c r="M716" i="14"/>
  <c r="M717" i="14"/>
  <c r="M718" i="14"/>
  <c r="M720" i="14"/>
  <c r="M721" i="14"/>
  <c r="M722" i="14"/>
  <c r="M723" i="14"/>
  <c r="M724" i="14"/>
  <c r="M725" i="14"/>
  <c r="M727" i="14"/>
  <c r="M728" i="14"/>
  <c r="M729" i="14"/>
  <c r="M730" i="14"/>
  <c r="M731" i="14"/>
  <c r="M732" i="14"/>
  <c r="M733" i="14"/>
  <c r="M734" i="14"/>
  <c r="M735" i="14"/>
  <c r="M736" i="14"/>
  <c r="M737" i="14"/>
  <c r="M738" i="14"/>
  <c r="M739" i="14"/>
  <c r="M741" i="14"/>
  <c r="M742" i="14"/>
  <c r="M744" i="14"/>
  <c r="M745" i="14"/>
  <c r="M746" i="14"/>
  <c r="M747" i="14"/>
  <c r="M749" i="14"/>
  <c r="M750" i="14"/>
  <c r="O750" i="14" s="1"/>
  <c r="M752" i="14"/>
  <c r="M753" i="14"/>
  <c r="M754" i="14"/>
  <c r="M755" i="14"/>
  <c r="M757" i="14"/>
  <c r="M758" i="14"/>
  <c r="M759" i="14"/>
  <c r="M760" i="14"/>
  <c r="M761" i="14"/>
  <c r="M762" i="14"/>
  <c r="M764" i="14"/>
  <c r="M765" i="14"/>
  <c r="M766" i="14"/>
  <c r="M767" i="14"/>
  <c r="M768" i="14"/>
  <c r="M769" i="14"/>
  <c r="M770" i="14"/>
  <c r="M771" i="14"/>
  <c r="M772" i="14"/>
  <c r="M774" i="14"/>
  <c r="M775" i="14"/>
  <c r="M777" i="14"/>
  <c r="M778" i="14"/>
  <c r="M780" i="14"/>
  <c r="M781" i="14"/>
  <c r="M782" i="14"/>
  <c r="M783" i="14"/>
  <c r="M784" i="14"/>
  <c r="M785" i="14"/>
  <c r="M787" i="14"/>
  <c r="M788" i="14"/>
  <c r="M790" i="14"/>
  <c r="M793" i="14"/>
  <c r="M795" i="14"/>
  <c r="M796" i="14"/>
  <c r="M797" i="14"/>
  <c r="M798" i="14"/>
  <c r="M800" i="14"/>
  <c r="M801" i="14"/>
  <c r="M803" i="14"/>
  <c r="M805" i="14"/>
  <c r="M806" i="14"/>
  <c r="M807" i="14"/>
  <c r="M808" i="14"/>
  <c r="M809" i="14"/>
  <c r="M811" i="14"/>
  <c r="M812" i="14"/>
  <c r="M813" i="14"/>
  <c r="M814" i="14"/>
  <c r="M815" i="14"/>
  <c r="M430" i="14"/>
  <c r="M424" i="14"/>
  <c r="M475" i="14"/>
  <c r="M849" i="14" l="1"/>
  <c r="M192" i="14"/>
  <c r="M840" i="14"/>
  <c r="L682" i="14"/>
  <c r="L577" i="14"/>
  <c r="M794" i="14"/>
  <c r="M838" i="14" s="1"/>
  <c r="L816" i="14"/>
  <c r="M802" i="14"/>
  <c r="M810" i="14" s="1"/>
  <c r="L286" i="14"/>
  <c r="L384" i="14"/>
  <c r="L419" i="14"/>
  <c r="L864" i="14"/>
  <c r="M839" i="14"/>
  <c r="L828" i="14"/>
  <c r="L104" i="14"/>
  <c r="M78" i="14"/>
  <c r="L611" i="14"/>
  <c r="L645" i="14"/>
  <c r="L709" i="14"/>
  <c r="L751" i="14"/>
  <c r="L792" i="14"/>
  <c r="L837" i="14"/>
  <c r="L833" i="14"/>
  <c r="L506" i="14"/>
  <c r="M841" i="14"/>
  <c r="M856" i="14"/>
  <c r="M845" i="14"/>
  <c r="M842" i="14"/>
  <c r="M843" i="14"/>
  <c r="M844" i="14"/>
  <c r="M846" i="14"/>
  <c r="L847" i="14"/>
  <c r="L838" i="14"/>
  <c r="L254" i="14"/>
  <c r="L452" i="14"/>
  <c r="L321" i="14"/>
  <c r="L484" i="14"/>
  <c r="L540" i="14"/>
  <c r="M726" i="14"/>
  <c r="M740" i="14"/>
  <c r="M756" i="14"/>
  <c r="M743" i="14"/>
  <c r="M713" i="14"/>
  <c r="M416" i="14"/>
  <c r="M107" i="14"/>
  <c r="M491" i="14"/>
  <c r="M121" i="14"/>
  <c r="M503" i="14"/>
  <c r="M113" i="14"/>
  <c r="M564" i="14"/>
  <c r="M535" i="14"/>
  <c r="M368" i="14"/>
  <c r="M352" i="14"/>
  <c r="M264" i="14"/>
  <c r="M177" i="14"/>
  <c r="M776" i="14"/>
  <c r="M642" i="14"/>
  <c r="M551" i="14"/>
  <c r="M529" i="14"/>
  <c r="M358" i="14"/>
  <c r="M324" i="14"/>
  <c r="M313" i="14"/>
  <c r="M294" i="14"/>
  <c r="M258" i="14"/>
  <c r="M183" i="14"/>
  <c r="M163" i="14"/>
  <c r="M748" i="14"/>
  <c r="M688" i="14"/>
  <c r="M513" i="14"/>
  <c r="M436" i="14"/>
  <c r="M394" i="14"/>
  <c r="M318" i="14"/>
  <c r="M220" i="14"/>
  <c r="M141" i="14"/>
  <c r="M779" i="14"/>
  <c r="M706" i="14"/>
  <c r="M662" i="14"/>
  <c r="M617" i="14"/>
  <c r="M572" i="14"/>
  <c r="M567" i="14"/>
  <c r="M456" i="14"/>
  <c r="M400" i="14"/>
  <c r="M388" i="14"/>
  <c r="M371" i="14"/>
  <c r="M300" i="14"/>
  <c r="M290" i="14"/>
  <c r="M216" i="14"/>
  <c r="M608" i="14"/>
  <c r="M799" i="14"/>
  <c r="M763" i="14"/>
  <c r="M655" i="14"/>
  <c r="M637" i="14"/>
  <c r="M595" i="14"/>
  <c r="M581" i="14"/>
  <c r="M468" i="14"/>
  <c r="M429" i="14"/>
  <c r="M329" i="14"/>
  <c r="M271" i="14"/>
  <c r="M233" i="14"/>
  <c r="M201" i="14"/>
  <c r="M134" i="14"/>
  <c r="M789" i="14"/>
  <c r="M719" i="14"/>
  <c r="M693" i="14"/>
  <c r="M679" i="14"/>
  <c r="M673" i="14"/>
  <c r="M649" i="14"/>
  <c r="M625" i="14"/>
  <c r="M587" i="14"/>
  <c r="M544" i="14"/>
  <c r="M526" i="14"/>
  <c r="M461" i="14"/>
  <c r="M449" i="14"/>
  <c r="M423" i="14"/>
  <c r="M413" i="14"/>
  <c r="M377" i="14"/>
  <c r="M338" i="14"/>
  <c r="M283" i="14"/>
  <c r="M223" i="14"/>
  <c r="M156" i="14"/>
  <c r="M479" i="14"/>
  <c r="M310" i="14"/>
  <c r="O334" i="14"/>
  <c r="M850" i="14" l="1"/>
  <c r="L817" i="14"/>
  <c r="M645" i="14"/>
  <c r="L870" i="14"/>
  <c r="M682" i="14"/>
  <c r="M540" i="14"/>
  <c r="M506" i="14"/>
  <c r="M419" i="14"/>
  <c r="M792" i="14"/>
  <c r="M321" i="14"/>
  <c r="M384" i="14"/>
  <c r="M484" i="14"/>
  <c r="M577" i="14"/>
  <c r="M611" i="14"/>
  <c r="M709" i="14"/>
  <c r="M751" i="14"/>
  <c r="M286" i="14"/>
  <c r="M452" i="14"/>
  <c r="M254" i="14"/>
  <c r="N869" i="14"/>
  <c r="I869" i="14"/>
  <c r="H869" i="14"/>
  <c r="G869" i="14"/>
  <c r="F869" i="14"/>
  <c r="E869" i="14"/>
  <c r="N868" i="14"/>
  <c r="I868" i="14"/>
  <c r="H868" i="14"/>
  <c r="G868" i="14"/>
  <c r="F868" i="14"/>
  <c r="E868" i="14"/>
  <c r="N867" i="14"/>
  <c r="I867" i="14"/>
  <c r="H867" i="14"/>
  <c r="G867" i="14"/>
  <c r="F867" i="14"/>
  <c r="E867" i="14"/>
  <c r="N866" i="14"/>
  <c r="I866" i="14"/>
  <c r="H866" i="14"/>
  <c r="G866" i="14"/>
  <c r="F866" i="14"/>
  <c r="E866" i="14"/>
  <c r="N865" i="14"/>
  <c r="I865" i="14"/>
  <c r="H865" i="14"/>
  <c r="G865" i="14"/>
  <c r="F865" i="14"/>
  <c r="E865" i="14"/>
  <c r="N863" i="14"/>
  <c r="I863" i="14"/>
  <c r="H863" i="14"/>
  <c r="G863" i="14"/>
  <c r="F863" i="14"/>
  <c r="E863" i="14"/>
  <c r="N862" i="14"/>
  <c r="I862" i="14"/>
  <c r="H862" i="14"/>
  <c r="G862" i="14"/>
  <c r="F862" i="14"/>
  <c r="E862" i="14"/>
  <c r="N861" i="14"/>
  <c r="I861" i="14"/>
  <c r="H861" i="14"/>
  <c r="G861" i="14"/>
  <c r="F861" i="14"/>
  <c r="E861" i="14"/>
  <c r="N860" i="14"/>
  <c r="I860" i="14"/>
  <c r="H860" i="14"/>
  <c r="G860" i="14"/>
  <c r="F860" i="14"/>
  <c r="E860" i="14"/>
  <c r="N859" i="14"/>
  <c r="I859" i="14"/>
  <c r="H859" i="14"/>
  <c r="G859" i="14"/>
  <c r="F859" i="14"/>
  <c r="E859" i="14"/>
  <c r="N858" i="14"/>
  <c r="I858" i="14"/>
  <c r="H858" i="14"/>
  <c r="G858" i="14"/>
  <c r="F858" i="14"/>
  <c r="E858" i="14"/>
  <c r="N857" i="14"/>
  <c r="I857" i="14"/>
  <c r="H857" i="14"/>
  <c r="G857" i="14"/>
  <c r="F857" i="14"/>
  <c r="E857" i="14"/>
  <c r="N855" i="14"/>
  <c r="I855" i="14"/>
  <c r="H855" i="14"/>
  <c r="G855" i="14"/>
  <c r="F855" i="14"/>
  <c r="E855" i="14"/>
  <c r="N854" i="14"/>
  <c r="I854" i="14"/>
  <c r="H854" i="14"/>
  <c r="G854" i="14"/>
  <c r="F854" i="14"/>
  <c r="E854" i="14"/>
  <c r="N853" i="14"/>
  <c r="I853" i="14"/>
  <c r="H853" i="14"/>
  <c r="G853" i="14"/>
  <c r="F853" i="14"/>
  <c r="E853" i="14"/>
  <c r="N852" i="14"/>
  <c r="I852" i="14"/>
  <c r="H852" i="14"/>
  <c r="G852" i="14"/>
  <c r="F852" i="14"/>
  <c r="E852" i="14"/>
  <c r="I851" i="14"/>
  <c r="H851" i="14"/>
  <c r="G851" i="14"/>
  <c r="F851" i="14"/>
  <c r="E851" i="14"/>
  <c r="I848" i="14"/>
  <c r="H848" i="14"/>
  <c r="G848" i="14"/>
  <c r="F848" i="14"/>
  <c r="E848" i="14"/>
  <c r="N846" i="14"/>
  <c r="I846" i="14"/>
  <c r="H846" i="14"/>
  <c r="G846" i="14"/>
  <c r="F846" i="14"/>
  <c r="E846" i="14"/>
  <c r="N845" i="14"/>
  <c r="I845" i="14"/>
  <c r="H845" i="14"/>
  <c r="G845" i="14"/>
  <c r="F845" i="14"/>
  <c r="E845" i="14"/>
  <c r="N842" i="14"/>
  <c r="I842" i="14"/>
  <c r="H842" i="14"/>
  <c r="G842" i="14"/>
  <c r="F842" i="14"/>
  <c r="E842" i="14"/>
  <c r="N841" i="14"/>
  <c r="I841" i="14"/>
  <c r="H841" i="14"/>
  <c r="G841" i="14"/>
  <c r="F841" i="14"/>
  <c r="E841" i="14"/>
  <c r="I840" i="14"/>
  <c r="H840" i="14"/>
  <c r="G840" i="14"/>
  <c r="F840" i="14"/>
  <c r="E840" i="14"/>
  <c r="N839" i="14"/>
  <c r="I839" i="14"/>
  <c r="H839" i="14"/>
  <c r="G839" i="14"/>
  <c r="F839" i="14"/>
  <c r="E839" i="14"/>
  <c r="N838" i="14"/>
  <c r="N837" i="14"/>
  <c r="I837" i="14"/>
  <c r="H837" i="14"/>
  <c r="G837" i="14"/>
  <c r="F837" i="14"/>
  <c r="E837" i="14"/>
  <c r="N836" i="14"/>
  <c r="I836" i="14"/>
  <c r="H836" i="14"/>
  <c r="G836" i="14"/>
  <c r="F836" i="14"/>
  <c r="E836" i="14"/>
  <c r="N835" i="14"/>
  <c r="I835" i="14"/>
  <c r="H835" i="14"/>
  <c r="F835" i="14"/>
  <c r="E835" i="14"/>
  <c r="N834" i="14"/>
  <c r="I834" i="14"/>
  <c r="H834" i="14"/>
  <c r="G834" i="14"/>
  <c r="F834" i="14"/>
  <c r="E834" i="14"/>
  <c r="N833" i="14"/>
  <c r="I833" i="14"/>
  <c r="H833" i="14"/>
  <c r="G833" i="14"/>
  <c r="F833" i="14"/>
  <c r="E833" i="14"/>
  <c r="N832" i="14"/>
  <c r="I832" i="14"/>
  <c r="H832" i="14"/>
  <c r="G832" i="14"/>
  <c r="F832" i="14"/>
  <c r="E832" i="14"/>
  <c r="N831" i="14"/>
  <c r="I831" i="14"/>
  <c r="H831" i="14"/>
  <c r="G831" i="14"/>
  <c r="F831" i="14"/>
  <c r="E831" i="14"/>
  <c r="N830" i="14"/>
  <c r="I830" i="14"/>
  <c r="H830" i="14"/>
  <c r="G830" i="14"/>
  <c r="F830" i="14"/>
  <c r="E830" i="14"/>
  <c r="N829" i="14"/>
  <c r="I829" i="14"/>
  <c r="H829" i="14"/>
  <c r="G829" i="14"/>
  <c r="F829" i="14"/>
  <c r="E829" i="14"/>
  <c r="N828" i="14"/>
  <c r="I828" i="14"/>
  <c r="H828" i="14"/>
  <c r="G828" i="14"/>
  <c r="F828" i="14"/>
  <c r="E828" i="14"/>
  <c r="N827" i="14"/>
  <c r="I827" i="14"/>
  <c r="H827" i="14"/>
  <c r="G827" i="14"/>
  <c r="F827" i="14"/>
  <c r="E827" i="14"/>
  <c r="N826" i="14"/>
  <c r="I826" i="14"/>
  <c r="H826" i="14"/>
  <c r="G826" i="14"/>
  <c r="F826" i="14"/>
  <c r="E826" i="14"/>
  <c r="I825" i="14"/>
  <c r="H825" i="14"/>
  <c r="G825" i="14"/>
  <c r="F825" i="14"/>
  <c r="E825" i="14"/>
  <c r="N824" i="14"/>
  <c r="I824" i="14"/>
  <c r="H824" i="14"/>
  <c r="G824" i="14"/>
  <c r="F824" i="14"/>
  <c r="E824" i="14"/>
  <c r="O815" i="14"/>
  <c r="O814" i="14"/>
  <c r="O813" i="14"/>
  <c r="O812" i="14"/>
  <c r="O811" i="14"/>
  <c r="I810" i="14"/>
  <c r="H810" i="14"/>
  <c r="G810" i="14"/>
  <c r="F810" i="14"/>
  <c r="E810" i="14"/>
  <c r="O809" i="14"/>
  <c r="O808" i="14"/>
  <c r="O807" i="14"/>
  <c r="O806" i="14"/>
  <c r="O805" i="14"/>
  <c r="O803" i="14"/>
  <c r="O802" i="14"/>
  <c r="O800" i="14"/>
  <c r="N799" i="14"/>
  <c r="I799" i="14"/>
  <c r="H799" i="14"/>
  <c r="G799" i="14"/>
  <c r="F799" i="14"/>
  <c r="E799" i="14"/>
  <c r="O798" i="14"/>
  <c r="O797" i="14"/>
  <c r="O796" i="14"/>
  <c r="O795" i="14"/>
  <c r="O793" i="14"/>
  <c r="O791" i="14"/>
  <c r="O790" i="14"/>
  <c r="N789" i="14"/>
  <c r="I789" i="14"/>
  <c r="H789" i="14"/>
  <c r="G789" i="14"/>
  <c r="F789" i="14"/>
  <c r="E789" i="14"/>
  <c r="O788" i="14"/>
  <c r="O786" i="14"/>
  <c r="O784" i="14"/>
  <c r="O782" i="14"/>
  <c r="O780" i="14"/>
  <c r="N779" i="14"/>
  <c r="I779" i="14"/>
  <c r="H779" i="14"/>
  <c r="G779" i="14"/>
  <c r="F779" i="14"/>
  <c r="E779" i="14"/>
  <c r="O778" i="14"/>
  <c r="N776" i="14"/>
  <c r="I776" i="14"/>
  <c r="H776" i="14"/>
  <c r="G776" i="14"/>
  <c r="F776" i="14"/>
  <c r="E776" i="14"/>
  <c r="O774" i="14"/>
  <c r="O772" i="14"/>
  <c r="O771" i="14"/>
  <c r="O770" i="14"/>
  <c r="O769" i="14"/>
  <c r="O768" i="14"/>
  <c r="O766" i="14"/>
  <c r="O764" i="14"/>
  <c r="N763" i="14"/>
  <c r="I763" i="14"/>
  <c r="H763" i="14"/>
  <c r="G763" i="14"/>
  <c r="F763" i="14"/>
  <c r="E763" i="14"/>
  <c r="O762" i="14"/>
  <c r="O761" i="14"/>
  <c r="O760" i="14"/>
  <c r="O759" i="14"/>
  <c r="O758" i="14"/>
  <c r="N756" i="14"/>
  <c r="I756" i="14"/>
  <c r="H756" i="14"/>
  <c r="G756" i="14"/>
  <c r="F756" i="14"/>
  <c r="E756" i="14"/>
  <c r="O755" i="14"/>
  <c r="O753" i="14"/>
  <c r="O752" i="14"/>
  <c r="O749" i="14"/>
  <c r="N748" i="14"/>
  <c r="I748" i="14"/>
  <c r="H748" i="14"/>
  <c r="G748" i="14"/>
  <c r="F748" i="14"/>
  <c r="E748" i="14"/>
  <c r="O747" i="14"/>
  <c r="O746" i="14"/>
  <c r="O745" i="14"/>
  <c r="N743" i="14"/>
  <c r="I743" i="14"/>
  <c r="H743" i="14"/>
  <c r="G743" i="14"/>
  <c r="F743" i="14"/>
  <c r="E743" i="14"/>
  <c r="O742" i="14"/>
  <c r="N740" i="14"/>
  <c r="I740" i="14"/>
  <c r="H740" i="14"/>
  <c r="G740" i="14"/>
  <c r="F740" i="14"/>
  <c r="E740" i="14"/>
  <c r="O739" i="14"/>
  <c r="O738" i="14"/>
  <c r="O737" i="14"/>
  <c r="O736" i="14"/>
  <c r="O735" i="14"/>
  <c r="O734" i="14"/>
  <c r="O733" i="14"/>
  <c r="O732" i="14"/>
  <c r="O731" i="14"/>
  <c r="O730" i="14"/>
  <c r="O728" i="14"/>
  <c r="O727" i="14"/>
  <c r="N726" i="14"/>
  <c r="I726" i="14"/>
  <c r="H726" i="14"/>
  <c r="G726" i="14"/>
  <c r="F726" i="14"/>
  <c r="E726" i="14"/>
  <c r="O725" i="14"/>
  <c r="O724" i="14"/>
  <c r="O723" i="14"/>
  <c r="O722" i="14"/>
  <c r="O721" i="14"/>
  <c r="N719" i="14"/>
  <c r="I719" i="14"/>
  <c r="H719" i="14"/>
  <c r="G719" i="14"/>
  <c r="F719" i="14"/>
  <c r="E719" i="14"/>
  <c r="O718" i="14"/>
  <c r="O717" i="14"/>
  <c r="O716" i="14"/>
  <c r="O714" i="14"/>
  <c r="N713" i="14"/>
  <c r="I713" i="14"/>
  <c r="H713" i="14"/>
  <c r="G713" i="14"/>
  <c r="F713" i="14"/>
  <c r="E713" i="14"/>
  <c r="O712" i="14"/>
  <c r="O710" i="14"/>
  <c r="O708" i="14"/>
  <c r="O707" i="14"/>
  <c r="N706" i="14"/>
  <c r="I706" i="14"/>
  <c r="H706" i="14"/>
  <c r="G706" i="14"/>
  <c r="F706" i="14"/>
  <c r="E706" i="14"/>
  <c r="O705" i="14"/>
  <c r="O704" i="14"/>
  <c r="O703" i="14"/>
  <c r="O702" i="14"/>
  <c r="O701" i="14"/>
  <c r="O700" i="14"/>
  <c r="O699" i="14"/>
  <c r="O698" i="14"/>
  <c r="N695" i="14"/>
  <c r="I695" i="14"/>
  <c r="H695" i="14"/>
  <c r="G695" i="14"/>
  <c r="F695" i="14"/>
  <c r="E695" i="14"/>
  <c r="N693" i="14"/>
  <c r="I693" i="14"/>
  <c r="H693" i="14"/>
  <c r="G693" i="14"/>
  <c r="F693" i="14"/>
  <c r="E693" i="14"/>
  <c r="O691" i="14"/>
  <c r="O689" i="14"/>
  <c r="N688" i="14"/>
  <c r="I688" i="14"/>
  <c r="H688" i="14"/>
  <c r="G688" i="14"/>
  <c r="F688" i="14"/>
  <c r="E688" i="14"/>
  <c r="O687" i="14"/>
  <c r="O686" i="14"/>
  <c r="O685" i="14"/>
  <c r="O684" i="14"/>
  <c r="O681" i="14"/>
  <c r="O680" i="14"/>
  <c r="N679" i="14"/>
  <c r="I679" i="14"/>
  <c r="H679" i="14"/>
  <c r="G679" i="14"/>
  <c r="F679" i="14"/>
  <c r="E679" i="14"/>
  <c r="O678" i="14"/>
  <c r="O677" i="14"/>
  <c r="O676" i="14"/>
  <c r="O675" i="14"/>
  <c r="N673" i="14"/>
  <c r="I673" i="14"/>
  <c r="H673" i="14"/>
  <c r="G673" i="14"/>
  <c r="F673" i="14"/>
  <c r="E673" i="14"/>
  <c r="O672" i="14"/>
  <c r="O671" i="14"/>
  <c r="O670" i="14"/>
  <c r="O669" i="14"/>
  <c r="O668" i="14"/>
  <c r="O667" i="14"/>
  <c r="O666" i="14"/>
  <c r="O665" i="14"/>
  <c r="O663" i="14"/>
  <c r="N662" i="14"/>
  <c r="I662" i="14"/>
  <c r="H662" i="14"/>
  <c r="G662" i="14"/>
  <c r="F662" i="14"/>
  <c r="E662" i="14"/>
  <c r="O661" i="14"/>
  <c r="O660" i="14"/>
  <c r="O659" i="14"/>
  <c r="O658" i="14"/>
  <c r="O657" i="14"/>
  <c r="N655" i="14"/>
  <c r="I655" i="14"/>
  <c r="H655" i="14"/>
  <c r="G655" i="14"/>
  <c r="F655" i="14"/>
  <c r="E655" i="14"/>
  <c r="O654" i="14"/>
  <c r="O653" i="14"/>
  <c r="O652" i="14"/>
  <c r="O650" i="14"/>
  <c r="N649" i="14"/>
  <c r="I649" i="14"/>
  <c r="H649" i="14"/>
  <c r="G649" i="14"/>
  <c r="F649" i="14"/>
  <c r="E649" i="14"/>
  <c r="O648" i="14"/>
  <c r="O647" i="14"/>
  <c r="O644" i="14"/>
  <c r="O643" i="14"/>
  <c r="N642" i="14"/>
  <c r="I642" i="14"/>
  <c r="H642" i="14"/>
  <c r="G642" i="14"/>
  <c r="F642" i="14"/>
  <c r="E642" i="14"/>
  <c r="O641" i="14"/>
  <c r="O640" i="14"/>
  <c r="O639" i="14"/>
  <c r="N637" i="14"/>
  <c r="I637" i="14"/>
  <c r="H637" i="14"/>
  <c r="G637" i="14"/>
  <c r="F637" i="14"/>
  <c r="E637" i="14"/>
  <c r="O636" i="14"/>
  <c r="O635" i="14"/>
  <c r="O634" i="14"/>
  <c r="O633" i="14"/>
  <c r="O632" i="14"/>
  <c r="O631" i="14"/>
  <c r="O630" i="14"/>
  <c r="O629" i="14"/>
  <c r="O628" i="14"/>
  <c r="O626" i="14"/>
  <c r="N625" i="14"/>
  <c r="I625" i="14"/>
  <c r="H625" i="14"/>
  <c r="G625" i="14"/>
  <c r="F625" i="14"/>
  <c r="E625" i="14"/>
  <c r="O624" i="14"/>
  <c r="O623" i="14"/>
  <c r="O622" i="14"/>
  <c r="O621" i="14"/>
  <c r="O620" i="14"/>
  <c r="O619" i="14"/>
  <c r="N617" i="14"/>
  <c r="I617" i="14"/>
  <c r="H617" i="14"/>
  <c r="G617" i="14"/>
  <c r="F617" i="14"/>
  <c r="E617" i="14"/>
  <c r="O616" i="14"/>
  <c r="O614" i="14"/>
  <c r="I613" i="14"/>
  <c r="I838" i="14" s="1"/>
  <c r="H613" i="14"/>
  <c r="H838" i="14" s="1"/>
  <c r="G613" i="14"/>
  <c r="G838" i="14" s="1"/>
  <c r="F613" i="14"/>
  <c r="F838" i="14" s="1"/>
  <c r="E613" i="14"/>
  <c r="O610" i="14"/>
  <c r="O609" i="14"/>
  <c r="N608" i="14"/>
  <c r="I608" i="14"/>
  <c r="H608" i="14"/>
  <c r="G608" i="14"/>
  <c r="F608" i="14"/>
  <c r="E608" i="14"/>
  <c r="O607" i="14"/>
  <c r="O606" i="14"/>
  <c r="O605" i="14"/>
  <c r="O604" i="14"/>
  <c r="O603" i="14"/>
  <c r="O602" i="14"/>
  <c r="O601" i="14"/>
  <c r="O600" i="14"/>
  <c r="O599" i="14"/>
  <c r="O598" i="14"/>
  <c r="O596" i="14"/>
  <c r="N595" i="14"/>
  <c r="I595" i="14"/>
  <c r="H595" i="14"/>
  <c r="G595" i="14"/>
  <c r="F595" i="14"/>
  <c r="E595" i="14"/>
  <c r="O594" i="14"/>
  <c r="O593" i="14"/>
  <c r="O592" i="14"/>
  <c r="O591" i="14"/>
  <c r="O590" i="14"/>
  <c r="O589" i="14"/>
  <c r="N587" i="14"/>
  <c r="I587" i="14"/>
  <c r="H587" i="14"/>
  <c r="G587" i="14"/>
  <c r="F587" i="14"/>
  <c r="E587" i="14"/>
  <c r="O586" i="14"/>
  <c r="O585" i="14"/>
  <c r="O584" i="14"/>
  <c r="O582" i="14"/>
  <c r="N581" i="14"/>
  <c r="I581" i="14"/>
  <c r="H581" i="14"/>
  <c r="G581" i="14"/>
  <c r="F581" i="14"/>
  <c r="E581" i="14"/>
  <c r="O580" i="14"/>
  <c r="O579" i="14"/>
  <c r="O576" i="14"/>
  <c r="O575" i="14"/>
  <c r="O574" i="14"/>
  <c r="O573" i="14"/>
  <c r="N572" i="14"/>
  <c r="I572" i="14"/>
  <c r="H572" i="14"/>
  <c r="G572" i="14"/>
  <c r="F572" i="14"/>
  <c r="E572" i="14"/>
  <c r="O571" i="14"/>
  <c r="O570" i="14"/>
  <c r="O569" i="14"/>
  <c r="N567" i="14"/>
  <c r="I567" i="14"/>
  <c r="H567" i="14"/>
  <c r="G567" i="14"/>
  <c r="F567" i="14"/>
  <c r="E567" i="14"/>
  <c r="N564" i="14"/>
  <c r="I564" i="14"/>
  <c r="H564" i="14"/>
  <c r="G564" i="14"/>
  <c r="F564" i="14"/>
  <c r="E564" i="14"/>
  <c r="O563" i="14"/>
  <c r="O562" i="14"/>
  <c r="O561" i="14"/>
  <c r="O560" i="14"/>
  <c r="O559" i="14"/>
  <c r="O557" i="14"/>
  <c r="O556" i="14"/>
  <c r="O555" i="14"/>
  <c r="O554" i="14"/>
  <c r="O552" i="14"/>
  <c r="N551" i="14"/>
  <c r="I551" i="14"/>
  <c r="H551" i="14"/>
  <c r="G551" i="14"/>
  <c r="F551" i="14"/>
  <c r="E551" i="14"/>
  <c r="O550" i="14"/>
  <c r="O549" i="14"/>
  <c r="O548" i="14"/>
  <c r="O547" i="14"/>
  <c r="O545" i="14"/>
  <c r="N544" i="14"/>
  <c r="I544" i="14"/>
  <c r="H544" i="14"/>
  <c r="G544" i="14"/>
  <c r="F544" i="14"/>
  <c r="E544" i="14"/>
  <c r="O543" i="14"/>
  <c r="O541" i="14"/>
  <c r="O538" i="14"/>
  <c r="O537" i="14"/>
  <c r="O536" i="14"/>
  <c r="N535" i="14"/>
  <c r="I535" i="14"/>
  <c r="H535" i="14"/>
  <c r="G535" i="14"/>
  <c r="F535" i="14"/>
  <c r="E535" i="14"/>
  <c r="O534" i="14"/>
  <c r="O533" i="14"/>
  <c r="O532" i="14"/>
  <c r="O531" i="14"/>
  <c r="N529" i="14"/>
  <c r="I529" i="14"/>
  <c r="H529" i="14"/>
  <c r="G529" i="14"/>
  <c r="F529" i="14"/>
  <c r="E529" i="14"/>
  <c r="O528" i="14"/>
  <c r="N526" i="14"/>
  <c r="I526" i="14"/>
  <c r="H526" i="14"/>
  <c r="G526" i="14"/>
  <c r="F526" i="14"/>
  <c r="E526" i="14"/>
  <c r="O525" i="14"/>
  <c r="O524" i="14"/>
  <c r="O523" i="14"/>
  <c r="O522" i="14"/>
  <c r="O521" i="14"/>
  <c r="O520" i="14"/>
  <c r="O519" i="14"/>
  <c r="O518" i="14"/>
  <c r="O517" i="14"/>
  <c r="O516" i="14"/>
  <c r="O514" i="14"/>
  <c r="N513" i="14"/>
  <c r="I513" i="14"/>
  <c r="H513" i="14"/>
  <c r="G513" i="14"/>
  <c r="F513" i="14"/>
  <c r="E513" i="14"/>
  <c r="O512" i="14"/>
  <c r="O511" i="14"/>
  <c r="O510" i="14"/>
  <c r="O509" i="14"/>
  <c r="O507" i="14"/>
  <c r="O505" i="14"/>
  <c r="O504" i="14"/>
  <c r="N503" i="14"/>
  <c r="I503" i="14"/>
  <c r="H503" i="14"/>
  <c r="G503" i="14"/>
  <c r="F503" i="14"/>
  <c r="E503" i="14"/>
  <c r="O502" i="14"/>
  <c r="O501" i="14"/>
  <c r="O500" i="14"/>
  <c r="O499" i="14"/>
  <c r="O498" i="14"/>
  <c r="O497" i="14"/>
  <c r="O496" i="14"/>
  <c r="O495" i="14"/>
  <c r="O494" i="14"/>
  <c r="O492" i="14"/>
  <c r="N491" i="14"/>
  <c r="I491" i="14"/>
  <c r="H491" i="14"/>
  <c r="G491" i="14"/>
  <c r="F491" i="14"/>
  <c r="E491" i="14"/>
  <c r="O490" i="14"/>
  <c r="O489" i="14"/>
  <c r="O488" i="14"/>
  <c r="O487" i="14"/>
  <c r="O485" i="14"/>
  <c r="O483" i="14"/>
  <c r="O482" i="14"/>
  <c r="O481" i="14"/>
  <c r="O480" i="14"/>
  <c r="N479" i="14"/>
  <c r="I479" i="14"/>
  <c r="H479" i="14"/>
  <c r="G479" i="14"/>
  <c r="F479" i="14"/>
  <c r="E479" i="14"/>
  <c r="O478" i="14"/>
  <c r="O477" i="14"/>
  <c r="O476" i="14"/>
  <c r="O475" i="14"/>
  <c r="O474" i="14"/>
  <c r="O473" i="14"/>
  <c r="O472" i="14"/>
  <c r="O471" i="14"/>
  <c r="O469" i="14"/>
  <c r="N468" i="14"/>
  <c r="I468" i="14"/>
  <c r="H468" i="14"/>
  <c r="G468" i="14"/>
  <c r="F468" i="14"/>
  <c r="E468" i="14"/>
  <c r="O467" i="14"/>
  <c r="O466" i="14"/>
  <c r="O465" i="14"/>
  <c r="O464" i="14"/>
  <c r="N461" i="14"/>
  <c r="I461" i="14"/>
  <c r="H461" i="14"/>
  <c r="G461" i="14"/>
  <c r="F461" i="14"/>
  <c r="E461" i="14"/>
  <c r="O460" i="14"/>
  <c r="O459" i="14"/>
  <c r="O457" i="14"/>
  <c r="N456" i="14"/>
  <c r="I456" i="14"/>
  <c r="H456" i="14"/>
  <c r="G456" i="14"/>
  <c r="F456" i="14"/>
  <c r="E456" i="14"/>
  <c r="O454" i="14"/>
  <c r="O453" i="14"/>
  <c r="O451" i="14"/>
  <c r="O450" i="14"/>
  <c r="N449" i="14"/>
  <c r="I449" i="14"/>
  <c r="H449" i="14"/>
  <c r="G449" i="14"/>
  <c r="F449" i="14"/>
  <c r="E449" i="14"/>
  <c r="O448" i="14"/>
  <c r="O447" i="14"/>
  <c r="O446" i="14"/>
  <c r="O445" i="14"/>
  <c r="O444" i="14"/>
  <c r="O443" i="14"/>
  <c r="O442" i="14"/>
  <c r="O441" i="14"/>
  <c r="O440" i="14"/>
  <c r="O439" i="14"/>
  <c r="O437" i="14"/>
  <c r="N436" i="14"/>
  <c r="I436" i="14"/>
  <c r="H436" i="14"/>
  <c r="G436" i="14"/>
  <c r="F436" i="14"/>
  <c r="E436" i="14"/>
  <c r="O435" i="14"/>
  <c r="O434" i="14"/>
  <c r="O433" i="14"/>
  <c r="O432" i="14"/>
  <c r="O431" i="14"/>
  <c r="N429" i="14"/>
  <c r="I429" i="14"/>
  <c r="H429" i="14"/>
  <c r="G429" i="14"/>
  <c r="F429" i="14"/>
  <c r="E429" i="14"/>
  <c r="O428" i="14"/>
  <c r="O427" i="14"/>
  <c r="O426" i="14"/>
  <c r="O424" i="14"/>
  <c r="N423" i="14"/>
  <c r="I423" i="14"/>
  <c r="H423" i="14"/>
  <c r="G423" i="14"/>
  <c r="F423" i="14"/>
  <c r="E423" i="14"/>
  <c r="O422" i="14"/>
  <c r="O421" i="14"/>
  <c r="O418" i="14"/>
  <c r="O417" i="14"/>
  <c r="N416" i="14"/>
  <c r="I416" i="14"/>
  <c r="H416" i="14"/>
  <c r="G416" i="14"/>
  <c r="F416" i="14"/>
  <c r="E416" i="14"/>
  <c r="O415" i="14"/>
  <c r="N413" i="14"/>
  <c r="I413" i="14"/>
  <c r="H413" i="14"/>
  <c r="G413" i="14"/>
  <c r="F413" i="14"/>
  <c r="E413" i="14"/>
  <c r="O412" i="14"/>
  <c r="O411" i="14"/>
  <c r="O410" i="14"/>
  <c r="O409" i="14"/>
  <c r="O408" i="14"/>
  <c r="O407" i="14"/>
  <c r="O406" i="14"/>
  <c r="O405" i="14"/>
  <c r="O404" i="14"/>
  <c r="O403" i="14"/>
  <c r="O401" i="14"/>
  <c r="N400" i="14"/>
  <c r="I400" i="14"/>
  <c r="H400" i="14"/>
  <c r="G400" i="14"/>
  <c r="F400" i="14"/>
  <c r="E400" i="14"/>
  <c r="O399" i="14"/>
  <c r="O398" i="14"/>
  <c r="O397" i="14"/>
  <c r="O396" i="14"/>
  <c r="N394" i="14"/>
  <c r="I394" i="14"/>
  <c r="H394" i="14"/>
  <c r="G394" i="14"/>
  <c r="F394" i="14"/>
  <c r="E394" i="14"/>
  <c r="O393" i="14"/>
  <c r="O392" i="14"/>
  <c r="O391" i="14"/>
  <c r="O389" i="14"/>
  <c r="N388" i="14"/>
  <c r="I388" i="14"/>
  <c r="H388" i="14"/>
  <c r="G388" i="14"/>
  <c r="F388" i="14"/>
  <c r="E388" i="14"/>
  <c r="O387" i="14"/>
  <c r="O385" i="14"/>
  <c r="O383" i="14"/>
  <c r="O382" i="14"/>
  <c r="O381" i="14"/>
  <c r="O380" i="14"/>
  <c r="O379" i="14"/>
  <c r="O378" i="14"/>
  <c r="N377" i="14"/>
  <c r="I377" i="14"/>
  <c r="H377" i="14"/>
  <c r="G377" i="14"/>
  <c r="F377" i="14"/>
  <c r="E377" i="14"/>
  <c r="O376" i="14"/>
  <c r="O375" i="14"/>
  <c r="O374" i="14"/>
  <c r="O373" i="14"/>
  <c r="N371" i="14"/>
  <c r="I371" i="14"/>
  <c r="H371" i="14"/>
  <c r="G371" i="14"/>
  <c r="F371" i="14"/>
  <c r="E371" i="14"/>
  <c r="O370" i="14"/>
  <c r="N368" i="14"/>
  <c r="I368" i="14"/>
  <c r="H368" i="14"/>
  <c r="G368" i="14"/>
  <c r="F368" i="14"/>
  <c r="E368" i="14"/>
  <c r="O367" i="14"/>
  <c r="O366" i="14"/>
  <c r="O365" i="14"/>
  <c r="O364" i="14"/>
  <c r="O363" i="14"/>
  <c r="O362" i="14"/>
  <c r="O361" i="14"/>
  <c r="O359" i="14"/>
  <c r="N358" i="14"/>
  <c r="I358" i="14"/>
  <c r="H358" i="14"/>
  <c r="G358" i="14"/>
  <c r="F358" i="14"/>
  <c r="E358" i="14"/>
  <c r="O357" i="14"/>
  <c r="O356" i="14"/>
  <c r="O355" i="14"/>
  <c r="O354" i="14"/>
  <c r="N352" i="14"/>
  <c r="I352" i="14"/>
  <c r="H352" i="14"/>
  <c r="G352" i="14"/>
  <c r="F352" i="14"/>
  <c r="E352" i="14"/>
  <c r="O351" i="14"/>
  <c r="O350" i="14"/>
  <c r="O349" i="14"/>
  <c r="O348" i="14"/>
  <c r="O347" i="14"/>
  <c r="O346" i="14"/>
  <c r="O345" i="14"/>
  <c r="O344" i="14"/>
  <c r="O343" i="14"/>
  <c r="O342" i="14"/>
  <c r="O341" i="14"/>
  <c r="O339" i="14"/>
  <c r="N338" i="14"/>
  <c r="I338" i="14"/>
  <c r="H338" i="14"/>
  <c r="G338" i="14"/>
  <c r="F338" i="14"/>
  <c r="E338" i="14"/>
  <c r="O337" i="14"/>
  <c r="O336" i="14"/>
  <c r="O335" i="14"/>
  <c r="O333" i="14"/>
  <c r="O332" i="14"/>
  <c r="O331" i="14"/>
  <c r="N329" i="14"/>
  <c r="I329" i="14"/>
  <c r="H329" i="14"/>
  <c r="G329" i="14"/>
  <c r="F329" i="14"/>
  <c r="E329" i="14"/>
  <c r="O328" i="14"/>
  <c r="O327" i="14"/>
  <c r="O325" i="14"/>
  <c r="N324" i="14"/>
  <c r="I324" i="14"/>
  <c r="H324" i="14"/>
  <c r="G324" i="14"/>
  <c r="F324" i="14"/>
  <c r="E324" i="14"/>
  <c r="O323" i="14"/>
  <c r="O320" i="14"/>
  <c r="O319" i="14"/>
  <c r="N318" i="14"/>
  <c r="I318" i="14"/>
  <c r="H318" i="14"/>
  <c r="G318" i="14"/>
  <c r="F318" i="14"/>
  <c r="E318" i="14"/>
  <c r="O317" i="14"/>
  <c r="O316" i="14"/>
  <c r="O315" i="14"/>
  <c r="N313" i="14"/>
  <c r="I313" i="14"/>
  <c r="H313" i="14"/>
  <c r="G313" i="14"/>
  <c r="F313" i="14"/>
  <c r="E313" i="14"/>
  <c r="O312" i="14"/>
  <c r="N310" i="14"/>
  <c r="I310" i="14"/>
  <c r="H310" i="14"/>
  <c r="G310" i="14"/>
  <c r="F310" i="14"/>
  <c r="E310" i="14"/>
  <c r="O309" i="14"/>
  <c r="O308" i="14"/>
  <c r="O307" i="14"/>
  <c r="O306" i="14"/>
  <c r="O305" i="14"/>
  <c r="O304" i="14"/>
  <c r="O303" i="14"/>
  <c r="O301" i="14"/>
  <c r="N300" i="14"/>
  <c r="I300" i="14"/>
  <c r="H300" i="14"/>
  <c r="G300" i="14"/>
  <c r="F300" i="14"/>
  <c r="E300" i="14"/>
  <c r="O299" i="14"/>
  <c r="O298" i="14"/>
  <c r="O297" i="14"/>
  <c r="O296" i="14"/>
  <c r="N294" i="14"/>
  <c r="I294" i="14"/>
  <c r="H294" i="14"/>
  <c r="G294" i="14"/>
  <c r="F294" i="14"/>
  <c r="E294" i="14"/>
  <c r="O293" i="14"/>
  <c r="O291" i="14"/>
  <c r="N290" i="14"/>
  <c r="I290" i="14"/>
  <c r="H290" i="14"/>
  <c r="G290" i="14"/>
  <c r="F290" i="14"/>
  <c r="E290" i="14"/>
  <c r="O289" i="14"/>
  <c r="O285" i="14"/>
  <c r="O284" i="14"/>
  <c r="N283" i="14"/>
  <c r="I283" i="14"/>
  <c r="H283" i="14"/>
  <c r="G283" i="14"/>
  <c r="F283" i="14"/>
  <c r="E283" i="14"/>
  <c r="O282" i="14"/>
  <c r="O281" i="14"/>
  <c r="O280" i="14"/>
  <c r="O279" i="14"/>
  <c r="O278" i="14"/>
  <c r="O277" i="14"/>
  <c r="O276" i="14"/>
  <c r="O275" i="14"/>
  <c r="O274" i="14"/>
  <c r="O272" i="14"/>
  <c r="N271" i="14"/>
  <c r="I271" i="14"/>
  <c r="H271" i="14"/>
  <c r="G271" i="14"/>
  <c r="F271" i="14"/>
  <c r="E271" i="14"/>
  <c r="O270" i="14"/>
  <c r="O269" i="14"/>
  <c r="O268" i="14"/>
  <c r="O267" i="14"/>
  <c r="O266" i="14"/>
  <c r="N264" i="14"/>
  <c r="I264" i="14"/>
  <c r="H264" i="14"/>
  <c r="G264" i="14"/>
  <c r="F264" i="14"/>
  <c r="E264" i="14"/>
  <c r="O263" i="14"/>
  <c r="O262" i="14"/>
  <c r="O261" i="14"/>
  <c r="O259" i="14"/>
  <c r="N258" i="14"/>
  <c r="I258" i="14"/>
  <c r="H258" i="14"/>
  <c r="G258" i="14"/>
  <c r="F258" i="14"/>
  <c r="E258" i="14"/>
  <c r="O257" i="14"/>
  <c r="O255" i="14"/>
  <c r="O253" i="14"/>
  <c r="O252" i="14"/>
  <c r="O251" i="14"/>
  <c r="O250" i="14"/>
  <c r="O249" i="14"/>
  <c r="O248" i="14"/>
  <c r="O247" i="14"/>
  <c r="O246" i="14"/>
  <c r="O245" i="14"/>
  <c r="O244" i="14"/>
  <c r="O243" i="14"/>
  <c r="O242" i="14"/>
  <c r="O241" i="14"/>
  <c r="O240" i="14"/>
  <c r="O239" i="14"/>
  <c r="O238" i="14"/>
  <c r="O237" i="14"/>
  <c r="O236" i="14"/>
  <c r="O235" i="14"/>
  <c r="O234" i="14"/>
  <c r="N233" i="14"/>
  <c r="I233" i="14"/>
  <c r="H233" i="14"/>
  <c r="G233" i="14"/>
  <c r="F233" i="14"/>
  <c r="E233" i="14"/>
  <c r="O232" i="14"/>
  <c r="O231" i="14"/>
  <c r="O230" i="14"/>
  <c r="O229" i="14"/>
  <c r="O228" i="14"/>
  <c r="O227" i="14"/>
  <c r="O226" i="14"/>
  <c r="O224" i="14"/>
  <c r="N223" i="14"/>
  <c r="I223" i="14"/>
  <c r="H223" i="14"/>
  <c r="G223" i="14"/>
  <c r="F223" i="14"/>
  <c r="E223" i="14"/>
  <c r="O222" i="14"/>
  <c r="N220" i="14"/>
  <c r="I220" i="14"/>
  <c r="H220" i="14"/>
  <c r="G220" i="14"/>
  <c r="F220" i="14"/>
  <c r="E220" i="14"/>
  <c r="O219" i="14"/>
  <c r="O218" i="14"/>
  <c r="N216" i="14"/>
  <c r="I216" i="14"/>
  <c r="H216" i="14"/>
  <c r="G216" i="14"/>
  <c r="F216" i="14"/>
  <c r="E216" i="14"/>
  <c r="O215" i="14"/>
  <c r="O214" i="14"/>
  <c r="O213" i="14"/>
  <c r="O212" i="14"/>
  <c r="O211" i="14"/>
  <c r="O210" i="14"/>
  <c r="O209" i="14"/>
  <c r="O208" i="14"/>
  <c r="O207" i="14"/>
  <c r="O206" i="14"/>
  <c r="O205" i="14"/>
  <c r="O204" i="14"/>
  <c r="O202" i="14"/>
  <c r="N201" i="14"/>
  <c r="I201" i="14"/>
  <c r="H201" i="14"/>
  <c r="G201" i="14"/>
  <c r="F201" i="14"/>
  <c r="E201" i="14"/>
  <c r="O200" i="14"/>
  <c r="O199" i="14"/>
  <c r="O198" i="14"/>
  <c r="O197" i="14"/>
  <c r="O196" i="14"/>
  <c r="O195" i="14"/>
  <c r="O194" i="14"/>
  <c r="O190" i="14"/>
  <c r="O189" i="14"/>
  <c r="O188" i="14"/>
  <c r="O187" i="14"/>
  <c r="O184" i="14"/>
  <c r="N183" i="14"/>
  <c r="I183" i="14"/>
  <c r="H183" i="14"/>
  <c r="G183" i="14"/>
  <c r="F183" i="14"/>
  <c r="E183" i="14"/>
  <c r="O182" i="14"/>
  <c r="O181" i="14"/>
  <c r="O180" i="14"/>
  <c r="O179" i="14"/>
  <c r="N177" i="14"/>
  <c r="I177" i="14"/>
  <c r="H177" i="14"/>
  <c r="G177" i="14"/>
  <c r="F177" i="14"/>
  <c r="E177" i="14"/>
  <c r="O176" i="14"/>
  <c r="O175" i="14"/>
  <c r="O174" i="14"/>
  <c r="O173" i="14"/>
  <c r="O172" i="14"/>
  <c r="O171" i="14"/>
  <c r="O170" i="14"/>
  <c r="O169" i="14"/>
  <c r="O168" i="14"/>
  <c r="O167" i="14"/>
  <c r="O166" i="14"/>
  <c r="O164" i="14"/>
  <c r="N163" i="14"/>
  <c r="I163" i="14"/>
  <c r="H163" i="14"/>
  <c r="G163" i="14"/>
  <c r="F163" i="14"/>
  <c r="E163" i="14"/>
  <c r="O161" i="14"/>
  <c r="O160" i="14"/>
  <c r="O159" i="14"/>
  <c r="O158" i="14"/>
  <c r="O157" i="14"/>
  <c r="N156" i="14"/>
  <c r="I156" i="14"/>
  <c r="H156" i="14"/>
  <c r="G156" i="14"/>
  <c r="F156" i="14"/>
  <c r="E156" i="14"/>
  <c r="O155" i="14"/>
  <c r="O154" i="14"/>
  <c r="O153" i="14"/>
  <c r="O152" i="14"/>
  <c r="O151" i="14"/>
  <c r="O150" i="14"/>
  <c r="O149" i="14"/>
  <c r="O148" i="14"/>
  <c r="O147" i="14"/>
  <c r="O146" i="14"/>
  <c r="O145" i="14"/>
  <c r="O144" i="14"/>
  <c r="O142" i="14"/>
  <c r="N141" i="14"/>
  <c r="I141" i="14"/>
  <c r="H141" i="14"/>
  <c r="G141" i="14"/>
  <c r="F141" i="14"/>
  <c r="E141" i="14"/>
  <c r="O140" i="14"/>
  <c r="O139" i="14"/>
  <c r="O138" i="14"/>
  <c r="O137" i="14"/>
  <c r="O136" i="14"/>
  <c r="N134" i="14"/>
  <c r="I134" i="14"/>
  <c r="H134" i="14"/>
  <c r="G134" i="14"/>
  <c r="F134" i="14"/>
  <c r="E134" i="14"/>
  <c r="O133" i="14"/>
  <c r="O132" i="14"/>
  <c r="O131" i="14"/>
  <c r="O130" i="14"/>
  <c r="O129" i="14"/>
  <c r="O128" i="14"/>
  <c r="O127" i="14"/>
  <c r="O126" i="14"/>
  <c r="O125" i="14"/>
  <c r="O124" i="14"/>
  <c r="O122" i="14"/>
  <c r="N121" i="14"/>
  <c r="I121" i="14"/>
  <c r="H121" i="14"/>
  <c r="G121" i="14"/>
  <c r="F121" i="14"/>
  <c r="E121" i="14"/>
  <c r="O120" i="14"/>
  <c r="O119" i="14"/>
  <c r="O118" i="14"/>
  <c r="O117" i="14"/>
  <c r="O116" i="14"/>
  <c r="O115" i="14"/>
  <c r="N113" i="14"/>
  <c r="I113" i="14"/>
  <c r="H113" i="14"/>
  <c r="G113" i="14"/>
  <c r="F113" i="14"/>
  <c r="E113" i="14"/>
  <c r="O112" i="14"/>
  <c r="O111" i="14"/>
  <c r="O110" i="14"/>
  <c r="O108" i="14"/>
  <c r="N107" i="14"/>
  <c r="I107" i="14"/>
  <c r="H107" i="14"/>
  <c r="G107" i="14"/>
  <c r="F107" i="14"/>
  <c r="E107" i="14"/>
  <c r="O106" i="14"/>
  <c r="N104" i="14"/>
  <c r="I104" i="14"/>
  <c r="H104" i="14"/>
  <c r="G104" i="14"/>
  <c r="F104" i="14"/>
  <c r="E104" i="14"/>
  <c r="O103" i="14"/>
  <c r="O102" i="14"/>
  <c r="O101" i="14"/>
  <c r="O100" i="14"/>
  <c r="O99" i="14"/>
  <c r="O98" i="14"/>
  <c r="O97" i="14"/>
  <c r="O96" i="14"/>
  <c r="O95" i="14"/>
  <c r="O94" i="14"/>
  <c r="O93" i="14"/>
  <c r="O92" i="14"/>
  <c r="O91" i="14"/>
  <c r="O90" i="14"/>
  <c r="O89" i="14"/>
  <c r="O88" i="14"/>
  <c r="O87" i="14"/>
  <c r="O86" i="14"/>
  <c r="O85" i="14"/>
  <c r="O84" i="14"/>
  <c r="O83" i="14"/>
  <c r="O82" i="14"/>
  <c r="O81" i="14"/>
  <c r="O80" i="14"/>
  <c r="O79" i="14"/>
  <c r="O78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1" i="14"/>
  <c r="O60" i="14"/>
  <c r="O59" i="14"/>
  <c r="O58" i="14"/>
  <c r="O57" i="14"/>
  <c r="O56" i="14"/>
  <c r="O55" i="14"/>
  <c r="O54" i="14"/>
  <c r="O53" i="14"/>
  <c r="O52" i="14"/>
  <c r="O51" i="14"/>
  <c r="O50" i="14"/>
  <c r="O49" i="14"/>
  <c r="O48" i="14"/>
  <c r="O47" i="14"/>
  <c r="O46" i="14"/>
  <c r="O45" i="14"/>
  <c r="O43" i="14"/>
  <c r="O42" i="14"/>
  <c r="O41" i="14"/>
  <c r="O40" i="14"/>
  <c r="O39" i="14"/>
  <c r="O38" i="14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7" i="14"/>
  <c r="O6" i="14"/>
  <c r="O5" i="14"/>
  <c r="E847" i="14" l="1"/>
  <c r="I847" i="14"/>
  <c r="H847" i="14"/>
  <c r="G847" i="14"/>
  <c r="F847" i="14"/>
  <c r="E816" i="14"/>
  <c r="F864" i="14"/>
  <c r="G864" i="14"/>
  <c r="N864" i="14"/>
  <c r="H864" i="14"/>
  <c r="E864" i="14"/>
  <c r="I864" i="14"/>
  <c r="N254" i="14"/>
  <c r="M852" i="14"/>
  <c r="M854" i="14"/>
  <c r="M858" i="14"/>
  <c r="M860" i="14"/>
  <c r="M862" i="14"/>
  <c r="M851" i="14"/>
  <c r="M853" i="14"/>
  <c r="M855" i="14"/>
  <c r="M857" i="14"/>
  <c r="M859" i="14"/>
  <c r="M861" i="14"/>
  <c r="M863" i="14"/>
  <c r="M848" i="14"/>
  <c r="M866" i="14"/>
  <c r="M868" i="14"/>
  <c r="M826" i="14"/>
  <c r="M828" i="14"/>
  <c r="M830" i="14"/>
  <c r="M832" i="14"/>
  <c r="M834" i="14"/>
  <c r="M836" i="14"/>
  <c r="M824" i="14"/>
  <c r="M825" i="14"/>
  <c r="M827" i="14"/>
  <c r="M829" i="14"/>
  <c r="M831" i="14"/>
  <c r="M833" i="14"/>
  <c r="M835" i="14"/>
  <c r="M837" i="14"/>
  <c r="M865" i="14"/>
  <c r="M867" i="14"/>
  <c r="M869" i="14"/>
  <c r="M104" i="14"/>
  <c r="E838" i="14"/>
  <c r="I384" i="14"/>
  <c r="E484" i="14"/>
  <c r="I484" i="14"/>
  <c r="H484" i="14"/>
  <c r="I506" i="14"/>
  <c r="F540" i="14"/>
  <c r="H540" i="14"/>
  <c r="H577" i="14"/>
  <c r="E577" i="14"/>
  <c r="G577" i="14"/>
  <c r="E611" i="14"/>
  <c r="G611" i="14"/>
  <c r="I611" i="14"/>
  <c r="F751" i="14"/>
  <c r="G484" i="14"/>
  <c r="I286" i="14"/>
  <c r="H321" i="14"/>
  <c r="I792" i="14"/>
  <c r="G286" i="14"/>
  <c r="E384" i="14"/>
  <c r="E419" i="14"/>
  <c r="G419" i="14"/>
  <c r="I419" i="14"/>
  <c r="F484" i="14"/>
  <c r="F506" i="14"/>
  <c r="H506" i="14"/>
  <c r="E506" i="14"/>
  <c r="G506" i="14"/>
  <c r="I577" i="14"/>
  <c r="H682" i="14"/>
  <c r="E709" i="14"/>
  <c r="G709" i="14"/>
  <c r="I709" i="14"/>
  <c r="G792" i="14"/>
  <c r="F816" i="14"/>
  <c r="H816" i="14"/>
  <c r="G452" i="14"/>
  <c r="I452" i="14"/>
  <c r="O114" i="14"/>
  <c r="O121" i="14" s="1"/>
  <c r="O105" i="14"/>
  <c r="O107" i="14" s="1"/>
  <c r="G645" i="14"/>
  <c r="H254" i="14"/>
  <c r="E286" i="14"/>
  <c r="E321" i="14"/>
  <c r="G321" i="14"/>
  <c r="I321" i="14"/>
  <c r="F321" i="14"/>
  <c r="G384" i="14"/>
  <c r="F419" i="14"/>
  <c r="H419" i="14"/>
  <c r="O530" i="14"/>
  <c r="O535" i="14" s="1"/>
  <c r="F611" i="14"/>
  <c r="H611" i="14"/>
  <c r="E682" i="14"/>
  <c r="G682" i="14"/>
  <c r="I682" i="14"/>
  <c r="E751" i="14"/>
  <c r="G751" i="14"/>
  <c r="I751" i="14"/>
  <c r="O715" i="14"/>
  <c r="O719" i="14" s="1"/>
  <c r="H751" i="14"/>
  <c r="E792" i="14"/>
  <c r="G816" i="14"/>
  <c r="O674" i="14"/>
  <c r="O679" i="14" s="1"/>
  <c r="N816" i="14"/>
  <c r="N792" i="14"/>
  <c r="O193" i="14"/>
  <c r="O201" i="14" s="1"/>
  <c r="O225" i="14"/>
  <c r="O233" i="14" s="1"/>
  <c r="O292" i="14"/>
  <c r="O294" i="14" s="1"/>
  <c r="O302" i="14"/>
  <c r="O310" i="14" s="1"/>
  <c r="O135" i="14"/>
  <c r="O141" i="14" s="1"/>
  <c r="O217" i="14"/>
  <c r="O220" i="14" s="1"/>
  <c r="O314" i="14"/>
  <c r="O318" i="14" s="1"/>
  <c r="N286" i="14"/>
  <c r="N321" i="14"/>
  <c r="N384" i="14"/>
  <c r="N419" i="14"/>
  <c r="E452" i="14"/>
  <c r="N484" i="14"/>
  <c r="N540" i="14"/>
  <c r="F577" i="14"/>
  <c r="N645" i="14"/>
  <c r="N682" i="14"/>
  <c r="F682" i="14"/>
  <c r="N709" i="14"/>
  <c r="O729" i="14"/>
  <c r="O740" i="14" s="1"/>
  <c r="N751" i="14"/>
  <c r="O801" i="14"/>
  <c r="O810" i="14" s="1"/>
  <c r="O794" i="14"/>
  <c r="O799" i="14" s="1"/>
  <c r="O744" i="14"/>
  <c r="O748" i="14" s="1"/>
  <c r="O711" i="14"/>
  <c r="O713" i="14" s="1"/>
  <c r="O720" i="14"/>
  <c r="O726" i="14" s="1"/>
  <c r="O741" i="14"/>
  <c r="O743" i="14" s="1"/>
  <c r="O646" i="14"/>
  <c r="O649" i="14" s="1"/>
  <c r="O656" i="14"/>
  <c r="O662" i="14" s="1"/>
  <c r="O651" i="14"/>
  <c r="O655" i="14" s="1"/>
  <c r="O664" i="14"/>
  <c r="O673" i="14" s="1"/>
  <c r="O612" i="14"/>
  <c r="O613" i="14" s="1"/>
  <c r="O583" i="14"/>
  <c r="O587" i="14" s="1"/>
  <c r="O578" i="14"/>
  <c r="O581" i="14" s="1"/>
  <c r="O588" i="14"/>
  <c r="O595" i="14" s="1"/>
  <c r="O515" i="14"/>
  <c r="O526" i="14" s="1"/>
  <c r="O508" i="14"/>
  <c r="O513" i="14" s="1"/>
  <c r="O527" i="14"/>
  <c r="O529" i="14" s="1"/>
  <c r="O539" i="14"/>
  <c r="O458" i="14"/>
  <c r="O461" i="14" s="1"/>
  <c r="O470" i="14"/>
  <c r="O479" i="14" s="1"/>
  <c r="O455" i="14"/>
  <c r="O456" i="14" s="1"/>
  <c r="O462" i="14"/>
  <c r="O468" i="14" s="1"/>
  <c r="O386" i="14"/>
  <c r="O388" i="14" s="1"/>
  <c r="O395" i="14"/>
  <c r="O400" i="14" s="1"/>
  <c r="O414" i="14"/>
  <c r="O416" i="14" s="1"/>
  <c r="O390" i="14"/>
  <c r="O394" i="14" s="1"/>
  <c r="O402" i="14"/>
  <c r="O413" i="14" s="1"/>
  <c r="O287" i="14"/>
  <c r="O288" i="14"/>
  <c r="O290" i="14" s="1"/>
  <c r="O295" i="14"/>
  <c r="O300" i="14" s="1"/>
  <c r="O311" i="14"/>
  <c r="O313" i="14" s="1"/>
  <c r="O178" i="14"/>
  <c r="O183" i="14" s="1"/>
  <c r="O162" i="14"/>
  <c r="O163" i="14" s="1"/>
  <c r="F254" i="14"/>
  <c r="O143" i="14"/>
  <c r="O156" i="14" s="1"/>
  <c r="O109" i="14"/>
  <c r="O113" i="14" s="1"/>
  <c r="O123" i="14"/>
  <c r="O134" i="14" s="1"/>
  <c r="O165" i="14"/>
  <c r="O177" i="14" s="1"/>
  <c r="O186" i="14"/>
  <c r="O191" i="14"/>
  <c r="O203" i="14"/>
  <c r="O216" i="14" s="1"/>
  <c r="O221" i="14"/>
  <c r="O223" i="14" s="1"/>
  <c r="O104" i="14"/>
  <c r="E254" i="14"/>
  <c r="G254" i="14"/>
  <c r="I254" i="14"/>
  <c r="O260" i="14"/>
  <c r="O264" i="14" s="1"/>
  <c r="O265" i="14"/>
  <c r="O271" i="14" s="1"/>
  <c r="O326" i="14"/>
  <c r="O329" i="14" s="1"/>
  <c r="O420" i="14"/>
  <c r="O423" i="14" s="1"/>
  <c r="O425" i="14"/>
  <c r="O429" i="14" s="1"/>
  <c r="O430" i="14"/>
  <c r="O436" i="14" s="1"/>
  <c r="F452" i="14"/>
  <c r="H452" i="14"/>
  <c r="O542" i="14"/>
  <c r="O544" i="14" s="1"/>
  <c r="O566" i="14"/>
  <c r="O694" i="14"/>
  <c r="O695" i="14" s="1"/>
  <c r="O697" i="14"/>
  <c r="O706" i="14" s="1"/>
  <c r="O765" i="14"/>
  <c r="O767" i="14"/>
  <c r="O773" i="14"/>
  <c r="O775" i="14"/>
  <c r="O781" i="14"/>
  <c r="O783" i="14"/>
  <c r="O785" i="14"/>
  <c r="O787" i="14"/>
  <c r="O256" i="14"/>
  <c r="O258" i="14" s="1"/>
  <c r="F286" i="14"/>
  <c r="H286" i="14"/>
  <c r="O273" i="14"/>
  <c r="O283" i="14" s="1"/>
  <c r="O322" i="14"/>
  <c r="O324" i="14" s="1"/>
  <c r="F384" i="14"/>
  <c r="H384" i="14"/>
  <c r="O330" i="14"/>
  <c r="O338" i="14" s="1"/>
  <c r="O340" i="14"/>
  <c r="O352" i="14" s="1"/>
  <c r="O353" i="14"/>
  <c r="O358" i="14" s="1"/>
  <c r="O360" i="14"/>
  <c r="O368" i="14" s="1"/>
  <c r="O369" i="14"/>
  <c r="O371" i="14" s="1"/>
  <c r="O372" i="14"/>
  <c r="O377" i="14" s="1"/>
  <c r="O438" i="14"/>
  <c r="O449" i="14" s="1"/>
  <c r="N452" i="14"/>
  <c r="O486" i="14"/>
  <c r="O491" i="14" s="1"/>
  <c r="N506" i="14"/>
  <c r="O493" i="14"/>
  <c r="O503" i="14" s="1"/>
  <c r="E540" i="14"/>
  <c r="G540" i="14"/>
  <c r="I540" i="14"/>
  <c r="N577" i="14"/>
  <c r="O546" i="14"/>
  <c r="O551" i="14" s="1"/>
  <c r="O553" i="14"/>
  <c r="O564" i="14" s="1"/>
  <c r="O565" i="14"/>
  <c r="O568" i="14"/>
  <c r="O572" i="14" s="1"/>
  <c r="O597" i="14"/>
  <c r="O608" i="14" s="1"/>
  <c r="N611" i="14"/>
  <c r="O615" i="14"/>
  <c r="O617" i="14" s="1"/>
  <c r="O618" i="14"/>
  <c r="O625" i="14" s="1"/>
  <c r="O627" i="14"/>
  <c r="O637" i="14" s="1"/>
  <c r="O638" i="14"/>
  <c r="O642" i="14" s="1"/>
  <c r="E645" i="14"/>
  <c r="I645" i="14"/>
  <c r="O683" i="14"/>
  <c r="O688" i="14" s="1"/>
  <c r="O690" i="14"/>
  <c r="O692" i="14"/>
  <c r="F709" i="14"/>
  <c r="H709" i="14"/>
  <c r="O696" i="14"/>
  <c r="I816" i="14"/>
  <c r="F645" i="14"/>
  <c r="H645" i="14"/>
  <c r="O754" i="14"/>
  <c r="O756" i="14" s="1"/>
  <c r="F792" i="14"/>
  <c r="H792" i="14"/>
  <c r="O757" i="14"/>
  <c r="O763" i="14" s="1"/>
  <c r="O777" i="14"/>
  <c r="O779" i="14" s="1"/>
  <c r="N847" i="14"/>
  <c r="O192" i="14" l="1"/>
  <c r="O254" i="14" s="1"/>
  <c r="I817" i="14"/>
  <c r="E817" i="14"/>
  <c r="H817" i="14"/>
  <c r="G817" i="14"/>
  <c r="F817" i="14"/>
  <c r="M847" i="14"/>
  <c r="O452" i="14"/>
  <c r="M816" i="14"/>
  <c r="M817" i="14" s="1"/>
  <c r="O484" i="14"/>
  <c r="O567" i="14"/>
  <c r="O577" i="14" s="1"/>
  <c r="H870" i="14"/>
  <c r="G870" i="14"/>
  <c r="O286" i="14"/>
  <c r="O321" i="14"/>
  <c r="O419" i="14"/>
  <c r="N870" i="14"/>
  <c r="N817" i="14"/>
  <c r="O751" i="14"/>
  <c r="O816" i="14"/>
  <c r="O682" i="14"/>
  <c r="O645" i="14"/>
  <c r="O611" i="14"/>
  <c r="O540" i="14"/>
  <c r="O506" i="14"/>
  <c r="O384" i="14"/>
  <c r="F870" i="14"/>
  <c r="I870" i="14"/>
  <c r="O693" i="14"/>
  <c r="O709" i="14" s="1"/>
  <c r="E870" i="14"/>
  <c r="O789" i="14"/>
  <c r="O776" i="14"/>
  <c r="O792" i="14" l="1"/>
  <c r="O817" i="14" s="1"/>
  <c r="D864" i="14"/>
  <c r="M864" i="14" s="1"/>
  <c r="D645" i="14"/>
  <c r="D870" i="14" s="1"/>
  <c r="M870" i="14" s="1"/>
  <c r="D817" i="14" l="1"/>
</calcChain>
</file>

<file path=xl/sharedStrings.xml><?xml version="1.0" encoding="utf-8"?>
<sst xmlns="http://schemas.openxmlformats.org/spreadsheetml/2006/main" count="1148" uniqueCount="192">
  <si>
    <t>Részletező</t>
  </si>
  <si>
    <t>COFOG</t>
  </si>
  <si>
    <t>Rovat</t>
  </si>
  <si>
    <t>Eredeti ei.</t>
  </si>
  <si>
    <t>Átcsoportosítás</t>
  </si>
  <si>
    <t>1121 - Komló</t>
  </si>
  <si>
    <t>018030</t>
  </si>
  <si>
    <t>B16</t>
  </si>
  <si>
    <t>B8131</t>
  </si>
  <si>
    <t>B816</t>
  </si>
  <si>
    <t>102031</t>
  </si>
  <si>
    <t>B405</t>
  </si>
  <si>
    <t>102032</t>
  </si>
  <si>
    <t>107013</t>
  </si>
  <si>
    <t>B406</t>
  </si>
  <si>
    <t>B411</t>
  </si>
  <si>
    <t>107051</t>
  </si>
  <si>
    <t>B407</t>
  </si>
  <si>
    <t>107052</t>
  </si>
  <si>
    <t>B403</t>
  </si>
  <si>
    <t>B4082</t>
  </si>
  <si>
    <t>107053</t>
  </si>
  <si>
    <t>1122- Bikal</t>
  </si>
  <si>
    <t>1123 - Bodolyabér</t>
  </si>
  <si>
    <t>108030</t>
  </si>
  <si>
    <t>1124 - Egyházaskozár</t>
  </si>
  <si>
    <t>1125 - Hegyhátmaróc</t>
  </si>
  <si>
    <t>1127 - Kárász</t>
  </si>
  <si>
    <t>1128 - Köblény</t>
  </si>
  <si>
    <t>1129 - Liget</t>
  </si>
  <si>
    <t>1130 - Magyaregregy</t>
  </si>
  <si>
    <t>1131 - Magyarhertelend</t>
  </si>
  <si>
    <t>1132 - Magyarszék</t>
  </si>
  <si>
    <t>1133 - Mánfa</t>
  </si>
  <si>
    <t>1135 - Mecsekpölöske</t>
  </si>
  <si>
    <t>1136 - Oroszló</t>
  </si>
  <si>
    <t>1137 - Szalatnak</t>
  </si>
  <si>
    <t>1138 - Szászvár</t>
  </si>
  <si>
    <t>1141 - Vékény</t>
  </si>
  <si>
    <t>041233</t>
  </si>
  <si>
    <t>K1101</t>
  </si>
  <si>
    <t>K1</t>
  </si>
  <si>
    <t>K2</t>
  </si>
  <si>
    <t>K311</t>
  </si>
  <si>
    <t>K336</t>
  </si>
  <si>
    <t>K351</t>
  </si>
  <si>
    <t>K3</t>
  </si>
  <si>
    <t>K1107</t>
  </si>
  <si>
    <t>K1108</t>
  </si>
  <si>
    <t>K1109</t>
  </si>
  <si>
    <t>K1110</t>
  </si>
  <si>
    <t>K1113</t>
  </si>
  <si>
    <t>K123</t>
  </si>
  <si>
    <t>K312</t>
  </si>
  <si>
    <t>K321</t>
  </si>
  <si>
    <t>K322</t>
  </si>
  <si>
    <t>K331</t>
  </si>
  <si>
    <t>K334</t>
  </si>
  <si>
    <t>K337</t>
  </si>
  <si>
    <t>K341</t>
  </si>
  <si>
    <t>K355</t>
  </si>
  <si>
    <t>K332</t>
  </si>
  <si>
    <t>K333</t>
  </si>
  <si>
    <t>K1106</t>
  </si>
  <si>
    <t>K335</t>
  </si>
  <si>
    <t>K1104</t>
  </si>
  <si>
    <t>5122 - Bikal</t>
  </si>
  <si>
    <t>K506</t>
  </si>
  <si>
    <t>5123 - Bodolyabér</t>
  </si>
  <si>
    <t>5124 - Egyházaskozár</t>
  </si>
  <si>
    <t>5127 - Kárász</t>
  </si>
  <si>
    <t>014233</t>
  </si>
  <si>
    <t>5128 - Köblény</t>
  </si>
  <si>
    <t>5129 - Liget</t>
  </si>
  <si>
    <t>5130 - Magyaregregy</t>
  </si>
  <si>
    <t>5131 - Magyarhertelend</t>
  </si>
  <si>
    <t>5132 - Magyarszék</t>
  </si>
  <si>
    <t>5133 - Mánfa</t>
  </si>
  <si>
    <t>51211 - Szoc ágazati Komló 107052</t>
  </si>
  <si>
    <t>51212 -Szoc ágazati Komló 102031</t>
  </si>
  <si>
    <t>51213 - Szoc ágazati Komló 102032</t>
  </si>
  <si>
    <t>51214 - Szoc ágazati Komló 107013</t>
  </si>
  <si>
    <t>51215 - Szoc ágazati Komló 107051</t>
  </si>
  <si>
    <t>51216 - Bérkomp. Komló 107052</t>
  </si>
  <si>
    <t>51217 - Bérkomp. Komló 102031</t>
  </si>
  <si>
    <t>51218 - Bérkomp. Komló 107013</t>
  </si>
  <si>
    <t>51219 - Bérkomp. Komló 107051</t>
  </si>
  <si>
    <t>51221 - Szoc ágazati Bikal 107052</t>
  </si>
  <si>
    <t>51231 - Szoc ágazati Bodolyabér 107052</t>
  </si>
  <si>
    <t>51241 - Szoc ágazati Egyházaskozár 107052</t>
  </si>
  <si>
    <t>51242 -Szoc ágazati Egyházaskozás 102031</t>
  </si>
  <si>
    <t>51243 - Bérkomp. Egyházaskozár 102031</t>
  </si>
  <si>
    <t>51251 - Szoc ágazati Hegyhátmaróc 107052</t>
  </si>
  <si>
    <t>51271 - Szoc ágazati Kárász 107052</t>
  </si>
  <si>
    <t>51281 - Szoc ágazati Köblény 107052</t>
  </si>
  <si>
    <t>51282 - Bérkomp Köblény 107052</t>
  </si>
  <si>
    <t>51301 - Szoc ágazati Magyaregregy 107052</t>
  </si>
  <si>
    <t>51302 - Bérkomp Magyaregregy 107052</t>
  </si>
  <si>
    <t>51311 - Szoc ágazati Magyarhertelend 107052</t>
  </si>
  <si>
    <t>51312 - Bérkomp Magyarhertelend 107052</t>
  </si>
  <si>
    <t>51321 - Szoc ágazati Magyarszék 107052</t>
  </si>
  <si>
    <t>51331 - Szoc ágazati Mánfa 107052</t>
  </si>
  <si>
    <t>5135 - Mecsekpölöske</t>
  </si>
  <si>
    <t>51351 - Szoc ágazati Mecsekpölöske 107052</t>
  </si>
  <si>
    <t>5136 - Oroszló</t>
  </si>
  <si>
    <t>51361 - Szoc ágazati Oroszló 107052</t>
  </si>
  <si>
    <t>5137 - Szalatnak</t>
  </si>
  <si>
    <t>51371 - Szoc ágazati Szalatnak 107052</t>
  </si>
  <si>
    <t>5138 - Szászvár</t>
  </si>
  <si>
    <t>51381 - Szoc ágazati Szászvár 107052</t>
  </si>
  <si>
    <t>5141 - Vékény</t>
  </si>
  <si>
    <t>51411 - Szoc ágazati Vékény 107052</t>
  </si>
  <si>
    <t>K64</t>
  </si>
  <si>
    <t>K67</t>
  </si>
  <si>
    <t>K6</t>
  </si>
  <si>
    <t>BEVÉTEL ÖSSZESEN</t>
  </si>
  <si>
    <t>KOMLÓ ÖSSZESEN</t>
  </si>
  <si>
    <t>BIKAL ÖSSZESEN</t>
  </si>
  <si>
    <t>BODOLYABÉR ÖSSZESEN</t>
  </si>
  <si>
    <t>EGYHÁZASKOZÁR ÖSSZESEN</t>
  </si>
  <si>
    <t>HEGYHÁTMARÓC ÖSSZESEN</t>
  </si>
  <si>
    <t>KIADÁS ÖSSZESEN</t>
  </si>
  <si>
    <t>KÁRÁSZ ÖSSZESEN</t>
  </si>
  <si>
    <t>KÖBLÉNY ÖSSZESEN</t>
  </si>
  <si>
    <t>51291 - Szoc ágazati Liget 107052</t>
  </si>
  <si>
    <t>LIGET ÖSSZESEN</t>
  </si>
  <si>
    <t>MAGYAREGREGY ÖSSZESEN</t>
  </si>
  <si>
    <t>MAGYARHERTELEND ÖSSZESEN</t>
  </si>
  <si>
    <t>MAGYARSZÉK ÖSSZESEN</t>
  </si>
  <si>
    <t>MÁNFA ÖSSZESEN</t>
  </si>
  <si>
    <t>OROSZLÓ ÖSSZESEN</t>
  </si>
  <si>
    <t>SZALATNAK ÖSSZESEN</t>
  </si>
  <si>
    <t>SZÁSZVÁR ÖSSZESEN</t>
  </si>
  <si>
    <t>VÉKÉNY ÖSSZESEN</t>
  </si>
  <si>
    <t>B25</t>
  </si>
  <si>
    <t>B402</t>
  </si>
  <si>
    <t>5121 - Komló</t>
  </si>
  <si>
    <t>PM INFO egyeztető:</t>
  </si>
  <si>
    <t>B4</t>
  </si>
  <si>
    <t>B8</t>
  </si>
  <si>
    <t>B</t>
  </si>
  <si>
    <t>K</t>
  </si>
  <si>
    <t>Szociális Szolgáltató központ</t>
  </si>
  <si>
    <t>51220-Komló 102032</t>
  </si>
  <si>
    <t>K63</t>
  </si>
  <si>
    <t>5125 - Hegyhátmaróc</t>
  </si>
  <si>
    <t>K352</t>
  </si>
  <si>
    <t>MECSELPÖLÖSKE ÖSSZESEN</t>
  </si>
  <si>
    <t>Módosítás-Működési bevételi többlet</t>
  </si>
  <si>
    <t xml:space="preserve">   </t>
  </si>
  <si>
    <t>Komló Térségi Integrált Szociális Szolgáltató Központ 2020.</t>
  </si>
  <si>
    <t>Szociális ág.p. növ. (18/2020korm.r.)</t>
  </si>
  <si>
    <t xml:space="preserve">Különbözet (módosított ei. - tény) </t>
  </si>
  <si>
    <t>Előirányzat változások 2020.01.01. - 05.31</t>
  </si>
  <si>
    <t>Módosított ei. 05.31.</t>
  </si>
  <si>
    <t>Tény 05.31.</t>
  </si>
  <si>
    <t>Zárszámadás normatívája</t>
  </si>
  <si>
    <t>Módosított bevételek</t>
  </si>
  <si>
    <t>B816 Központi irányító szervi támogatás (szoc.ág.)</t>
  </si>
  <si>
    <t>B816 Központi irányító szervi támogatás (bérkompenzáció)</t>
  </si>
  <si>
    <t>B16  Műk.c.tám.ért.bev.helyi önkormányzattól</t>
  </si>
  <si>
    <t>B16  Műk.c.tám.ért.bev. EU-s támogatás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</si>
  <si>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</si>
  <si>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</si>
  <si>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</si>
  <si>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</si>
  <si>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</si>
  <si>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</si>
  <si>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</si>
  <si>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</si>
  <si>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</si>
  <si>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</si>
  <si>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</si>
  <si>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</si>
  <si>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</si>
  <si>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</si>
  <si>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</si>
  <si>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</si>
  <si>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B816 Központi irányító szervi támogatás (bérkomp/szoc.ág.)</t>
  </si>
  <si>
    <t>B816 Központi irányító szervi támogatás (normatíva)</t>
  </si>
  <si>
    <t>B16  Műk.c.tám.ért.bev. elk.állami pénzalapoktól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</si>
  <si>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</si>
  <si>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</si>
  <si>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</si>
  <si>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</si>
  <si>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</si>
  <si>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</si>
  <si>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B816 Központi irányító szervi támogatás (szoc.ág.pótlék)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</si>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</sst>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#,##0\ &quot;Ft&quot;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9F46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3" fontId="12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22" fillId="0" borderId="0"/>
    <xf numFmtId="43" fontId="13" fillId="0" borderId="0" applyFont="0" applyFill="0" applyBorder="0" applyAlignment="0" applyProtection="0"/>
  </cellStyleXfs>
  <cellXfs count="220">
    <xf numFmtId="0" fontId="0" fillId="0" borderId="0" xfId="0"/>
    <xf numFmtId="49" fontId="0" fillId="0" borderId="0" xfId="0" applyNumberFormat="1"/>
    <xf numFmtId="0" fontId="0" fillId="0" borderId="1" xfId="0" applyBorder="1"/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0" fontId="0" fillId="0" borderId="2" xfId="0" applyBorder="1"/>
    <xf numFmtId="0" fontId="10" fillId="2" borderId="1" xfId="0" applyFont="1" applyFill="1" applyBorder="1"/>
    <xf numFmtId="0" fontId="9" fillId="0" borderId="1" xfId="0" applyFont="1" applyBorder="1"/>
    <xf numFmtId="0" fontId="0" fillId="0" borderId="3" xfId="0" applyBorder="1"/>
    <xf numFmtId="0" fontId="0" fillId="0" borderId="9" xfId="0" applyBorder="1"/>
    <xf numFmtId="0" fontId="0" fillId="0" borderId="10" xfId="0" applyBorder="1"/>
    <xf numFmtId="49" fontId="0" fillId="0" borderId="9" xfId="0" applyNumberFormat="1" applyBorder="1" applyAlignment="1">
      <alignment horizontal="center"/>
    </xf>
    <xf numFmtId="0" fontId="8" fillId="0" borderId="1" xfId="0" applyFont="1" applyBorder="1"/>
    <xf numFmtId="164" fontId="0" fillId="0" borderId="0" xfId="1" applyNumberFormat="1" applyFont="1"/>
    <xf numFmtId="165" fontId="0" fillId="0" borderId="1" xfId="1" applyNumberFormat="1" applyFont="1" applyBorder="1"/>
    <xf numFmtId="165" fontId="0" fillId="0" borderId="9" xfId="1" applyNumberFormat="1" applyFont="1" applyBorder="1"/>
    <xf numFmtId="165" fontId="0" fillId="0" borderId="3" xfId="1" applyNumberFormat="1" applyFont="1" applyBorder="1"/>
    <xf numFmtId="165" fontId="0" fillId="0" borderId="2" xfId="1" applyNumberFormat="1" applyFont="1" applyBorder="1"/>
    <xf numFmtId="165" fontId="10" fillId="2" borderId="1" xfId="1" applyNumberFormat="1" applyFont="1" applyFill="1" applyBorder="1"/>
    <xf numFmtId="0" fontId="0" fillId="0" borderId="0" xfId="0" applyFill="1"/>
    <xf numFmtId="165" fontId="0" fillId="2" borderId="1" xfId="1" applyNumberFormat="1" applyFont="1" applyFill="1" applyBorder="1"/>
    <xf numFmtId="165" fontId="0" fillId="0" borderId="1" xfId="1" applyNumberFormat="1" applyFont="1" applyFill="1" applyBorder="1"/>
    <xf numFmtId="165" fontId="0" fillId="0" borderId="9" xfId="1" applyNumberFormat="1" applyFont="1" applyFill="1" applyBorder="1"/>
    <xf numFmtId="0" fontId="14" fillId="0" borderId="0" xfId="2" applyFont="1" applyFill="1" applyProtection="1">
      <protection locked="0"/>
    </xf>
    <xf numFmtId="164" fontId="0" fillId="0" borderId="1" xfId="1" applyNumberFormat="1" applyFont="1" applyBorder="1"/>
    <xf numFmtId="165" fontId="0" fillId="0" borderId="1" xfId="1" applyNumberFormat="1" applyFont="1" applyBorder="1" applyAlignment="1">
      <alignment wrapText="1"/>
    </xf>
    <xf numFmtId="165" fontId="16" fillId="2" borderId="1" xfId="1" applyNumberFormat="1" applyFont="1" applyFill="1" applyBorder="1"/>
    <xf numFmtId="0" fontId="0" fillId="0" borderId="0" xfId="0" applyFont="1"/>
    <xf numFmtId="164" fontId="0" fillId="0" borderId="1" xfId="1" applyNumberFormat="1" applyFont="1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2" xfId="0" applyFill="1" applyBorder="1"/>
    <xf numFmtId="165" fontId="17" fillId="0" borderId="1" xfId="1" applyNumberFormat="1" applyFont="1" applyFill="1" applyBorder="1"/>
    <xf numFmtId="165" fontId="17" fillId="0" borderId="1" xfId="1" applyNumberFormat="1" applyFont="1" applyBorder="1"/>
    <xf numFmtId="165" fontId="18" fillId="2" borderId="1" xfId="1" applyNumberFormat="1" applyFont="1" applyFill="1" applyBorder="1"/>
    <xf numFmtId="0" fontId="7" fillId="0" borderId="1" xfId="0" applyFont="1" applyFill="1" applyBorder="1"/>
    <xf numFmtId="3" fontId="0" fillId="0" borderId="0" xfId="0" applyNumberFormat="1"/>
    <xf numFmtId="3" fontId="10" fillId="2" borderId="1" xfId="0" applyNumberFormat="1" applyFont="1" applyFill="1" applyBorder="1"/>
    <xf numFmtId="0" fontId="0" fillId="0" borderId="0" xfId="0" applyAlignment="1">
      <alignment wrapText="1"/>
    </xf>
    <xf numFmtId="164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Fill="1" applyBorder="1"/>
    <xf numFmtId="0" fontId="6" fillId="0" borderId="0" xfId="0" applyFont="1" applyFill="1"/>
    <xf numFmtId="3" fontId="0" fillId="0" borderId="0" xfId="0" applyNumberFormat="1" applyAlignment="1">
      <alignment wrapText="1"/>
    </xf>
    <xf numFmtId="3" fontId="6" fillId="0" borderId="0" xfId="0" applyNumberFormat="1" applyFont="1" applyFill="1"/>
    <xf numFmtId="3" fontId="0" fillId="0" borderId="0" xfId="0" applyNumberFormat="1" applyAlignment="1">
      <alignment horizontal="center" vertical="center" wrapText="1"/>
    </xf>
    <xf numFmtId="165" fontId="0" fillId="0" borderId="2" xfId="1" applyNumberFormat="1" applyFont="1" applyFill="1" applyBorder="1"/>
    <xf numFmtId="165" fontId="17" fillId="0" borderId="2" xfId="1" applyNumberFormat="1" applyFont="1" applyFill="1" applyBorder="1"/>
    <xf numFmtId="164" fontId="17" fillId="0" borderId="0" xfId="1" applyNumberFormat="1" applyFont="1"/>
    <xf numFmtId="165" fontId="19" fillId="2" borderId="1" xfId="1" applyNumberFormat="1" applyFont="1" applyFill="1" applyBorder="1"/>
    <xf numFmtId="164" fontId="17" fillId="0" borderId="1" xfId="1" applyNumberFormat="1" applyFont="1" applyBorder="1"/>
    <xf numFmtId="164" fontId="17" fillId="0" borderId="1" xfId="1" applyNumberFormat="1" applyFont="1" applyFill="1" applyBorder="1"/>
    <xf numFmtId="0" fontId="17" fillId="0" borderId="0" xfId="0" applyFont="1"/>
    <xf numFmtId="3" fontId="0" fillId="0" borderId="0" xfId="0" applyNumberFormat="1" applyFill="1"/>
    <xf numFmtId="0" fontId="5" fillId="0" borderId="1" xfId="0" applyFont="1" applyFill="1" applyBorder="1"/>
    <xf numFmtId="165" fontId="0" fillId="6" borderId="1" xfId="1" applyNumberFormat="1" applyFont="1" applyFill="1" applyBorder="1"/>
    <xf numFmtId="165" fontId="17" fillId="6" borderId="1" xfId="1" applyNumberFormat="1" applyFont="1" applyFill="1" applyBorder="1"/>
    <xf numFmtId="0" fontId="10" fillId="6" borderId="1" xfId="0" applyFont="1" applyFill="1" applyBorder="1"/>
    <xf numFmtId="165" fontId="10" fillId="7" borderId="1" xfId="1" applyNumberFormat="1" applyFont="1" applyFill="1" applyBorder="1" applyAlignment="1">
      <alignment vertical="center"/>
    </xf>
    <xf numFmtId="165" fontId="16" fillId="7" borderId="1" xfId="1" applyNumberFormat="1" applyFont="1" applyFill="1" applyBorder="1" applyAlignment="1">
      <alignment vertical="center"/>
    </xf>
    <xf numFmtId="165" fontId="10" fillId="7" borderId="1" xfId="1" applyNumberFormat="1" applyFont="1" applyFill="1" applyBorder="1"/>
    <xf numFmtId="165" fontId="16" fillId="7" borderId="1" xfId="1" applyNumberFormat="1" applyFont="1" applyFill="1" applyBorder="1"/>
    <xf numFmtId="165" fontId="16" fillId="7" borderId="1" xfId="1" applyNumberFormat="1" applyFont="1" applyFill="1" applyBorder="1" applyAlignment="1">
      <alignment horizontal="right"/>
    </xf>
    <xf numFmtId="165" fontId="19" fillId="7" borderId="2" xfId="1" applyNumberFormat="1" applyFont="1" applyFill="1" applyBorder="1"/>
    <xf numFmtId="0" fontId="4" fillId="0" borderId="1" xfId="0" applyFont="1" applyBorder="1"/>
    <xf numFmtId="165" fontId="16" fillId="5" borderId="3" xfId="1" applyNumberFormat="1" applyFont="1" applyFill="1" applyBorder="1" applyAlignment="1">
      <alignment vertical="center"/>
    </xf>
    <xf numFmtId="165" fontId="10" fillId="5" borderId="1" xfId="1" applyNumberFormat="1" applyFont="1" applyFill="1" applyBorder="1" applyAlignment="1">
      <alignment vertical="center"/>
    </xf>
    <xf numFmtId="0" fontId="3" fillId="0" borderId="1" xfId="0" applyFont="1" applyFill="1" applyBorder="1"/>
    <xf numFmtId="0" fontId="24" fillId="0" borderId="0" xfId="0" applyFont="1"/>
    <xf numFmtId="164" fontId="24" fillId="0" borderId="0" xfId="1" applyNumberFormat="1" applyFont="1"/>
    <xf numFmtId="164" fontId="25" fillId="0" borderId="0" xfId="1" applyNumberFormat="1" applyFont="1"/>
    <xf numFmtId="164" fontId="24" fillId="0" borderId="1" xfId="1" applyNumberFormat="1" applyFont="1" applyBorder="1"/>
    <xf numFmtId="164" fontId="25" fillId="0" borderId="1" xfId="1" applyNumberFormat="1" applyFont="1" applyBorder="1"/>
    <xf numFmtId="164" fontId="26" fillId="3" borderId="1" xfId="1" applyNumberFormat="1" applyFont="1" applyFill="1" applyBorder="1"/>
    <xf numFmtId="164" fontId="27" fillId="3" borderId="1" xfId="1" applyNumberFormat="1" applyFont="1" applyFill="1" applyBorder="1"/>
    <xf numFmtId="164" fontId="25" fillId="0" borderId="1" xfId="1" applyNumberFormat="1" applyFont="1" applyFill="1" applyBorder="1"/>
    <xf numFmtId="164" fontId="24" fillId="0" borderId="1" xfId="1" applyNumberFormat="1" applyFont="1" applyFill="1" applyBorder="1"/>
    <xf numFmtId="164" fontId="26" fillId="4" borderId="1" xfId="1" applyNumberFormat="1" applyFont="1" applyFill="1" applyBorder="1"/>
    <xf numFmtId="164" fontId="27" fillId="4" borderId="1" xfId="1" applyNumberFormat="1" applyFont="1" applyFill="1" applyBorder="1"/>
    <xf numFmtId="0" fontId="17" fillId="0" borderId="1" xfId="0" applyFont="1" applyBorder="1"/>
    <xf numFmtId="3" fontId="17" fillId="0" borderId="0" xfId="0" applyNumberFormat="1" applyFont="1"/>
    <xf numFmtId="0" fontId="17" fillId="0" borderId="1" xfId="0" applyFont="1" applyFill="1" applyBorder="1"/>
    <xf numFmtId="49" fontId="17" fillId="0" borderId="1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/>
    </xf>
    <xf numFmtId="0" fontId="17" fillId="0" borderId="9" xfId="0" applyFont="1" applyBorder="1"/>
    <xf numFmtId="165" fontId="17" fillId="0" borderId="9" xfId="1" applyNumberFormat="1" applyFont="1" applyFill="1" applyBorder="1"/>
    <xf numFmtId="164" fontId="23" fillId="3" borderId="3" xfId="1" applyNumberFormat="1" applyFont="1" applyFill="1" applyBorder="1" applyAlignment="1">
      <alignment horizontal="center" vertical="center" wrapText="1"/>
    </xf>
    <xf numFmtId="164" fontId="24" fillId="3" borderId="3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164" fontId="0" fillId="0" borderId="9" xfId="1" applyNumberFormat="1" applyFont="1" applyBorder="1"/>
    <xf numFmtId="164" fontId="0" fillId="0" borderId="10" xfId="1" applyNumberFormat="1" applyFont="1" applyBorder="1"/>
    <xf numFmtId="164" fontId="0" fillId="0" borderId="3" xfId="1" applyNumberFormat="1" applyFont="1" applyBorder="1"/>
    <xf numFmtId="164" fontId="0" fillId="0" borderId="2" xfId="1" applyNumberFormat="1" applyFont="1" applyBorder="1"/>
    <xf numFmtId="164" fontId="17" fillId="0" borderId="9" xfId="1" applyNumberFormat="1" applyFont="1" applyBorder="1"/>
    <xf numFmtId="164" fontId="0" fillId="0" borderId="3" xfId="1" applyNumberFormat="1" applyFont="1" applyFill="1" applyBorder="1"/>
    <xf numFmtId="164" fontId="0" fillId="0" borderId="5" xfId="1" applyNumberFormat="1" applyFont="1" applyBorder="1"/>
    <xf numFmtId="164" fontId="10" fillId="5" borderId="3" xfId="1" applyNumberFormat="1" applyFont="1" applyFill="1" applyBorder="1" applyAlignment="1">
      <alignment vertical="center"/>
    </xf>
    <xf numFmtId="164" fontId="10" fillId="2" borderId="1" xfId="1" applyNumberFormat="1" applyFont="1" applyFill="1" applyBorder="1"/>
    <xf numFmtId="164" fontId="10" fillId="6" borderId="1" xfId="1" applyNumberFormat="1" applyFont="1" applyFill="1" applyBorder="1"/>
    <xf numFmtId="164" fontId="0" fillId="6" borderId="1" xfId="1" applyNumberFormat="1" applyFont="1" applyFill="1" applyBorder="1"/>
    <xf numFmtId="164" fontId="6" fillId="0" borderId="1" xfId="1" applyNumberFormat="1" applyFont="1" applyFill="1" applyBorder="1"/>
    <xf numFmtId="164" fontId="10" fillId="7" borderId="1" xfId="1" applyNumberFormat="1" applyFont="1" applyFill="1" applyBorder="1" applyAlignment="1">
      <alignment vertical="center"/>
    </xf>
    <xf numFmtId="164" fontId="9" fillId="0" borderId="1" xfId="1" applyNumberFormat="1" applyFont="1" applyBorder="1"/>
    <xf numFmtId="164" fontId="10" fillId="7" borderId="1" xfId="1" applyNumberFormat="1" applyFont="1" applyFill="1" applyBorder="1"/>
    <xf numFmtId="164" fontId="16" fillId="2" borderId="1" xfId="1" applyNumberFormat="1" applyFont="1" applyFill="1" applyBorder="1"/>
    <xf numFmtId="164" fontId="10" fillId="7" borderId="1" xfId="1" applyNumberFormat="1" applyFont="1" applyFill="1" applyBorder="1" applyAlignment="1">
      <alignment horizontal="right"/>
    </xf>
    <xf numFmtId="164" fontId="8" fillId="0" borderId="1" xfId="1" applyNumberFormat="1" applyFont="1" applyBorder="1"/>
    <xf numFmtId="164" fontId="7" fillId="0" borderId="1" xfId="1" applyNumberFormat="1" applyFont="1" applyFill="1" applyBorder="1"/>
    <xf numFmtId="164" fontId="0" fillId="2" borderId="1" xfId="1" applyNumberFormat="1" applyFont="1" applyFill="1" applyBorder="1"/>
    <xf numFmtId="164" fontId="10" fillId="0" borderId="1" xfId="1" applyNumberFormat="1" applyFont="1" applyBorder="1"/>
    <xf numFmtId="164" fontId="3" fillId="0" borderId="1" xfId="1" applyNumberFormat="1" applyFont="1" applyFill="1" applyBorder="1"/>
    <xf numFmtId="164" fontId="19" fillId="7" borderId="2" xfId="1" applyNumberFormat="1" applyFont="1" applyFill="1" applyBorder="1"/>
    <xf numFmtId="164" fontId="10" fillId="5" borderId="1" xfId="1" applyNumberFormat="1" applyFont="1" applyFill="1" applyBorder="1" applyAlignment="1">
      <alignment vertical="center"/>
    </xf>
    <xf numFmtId="164" fontId="0" fillId="0" borderId="2" xfId="1" applyNumberFormat="1" applyFont="1" applyFill="1" applyBorder="1"/>
    <xf numFmtId="164" fontId="17" fillId="0" borderId="9" xfId="1" applyNumberFormat="1" applyFont="1" applyFill="1" applyBorder="1"/>
    <xf numFmtId="164" fontId="10" fillId="7" borderId="8" xfId="1" applyNumberFormat="1" applyFont="1" applyFill="1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164" fontId="13" fillId="3" borderId="3" xfId="1" applyNumberFormat="1" applyFont="1" applyFill="1" applyBorder="1" applyAlignment="1" applyProtection="1">
      <alignment horizontal="center" vertical="center" wrapText="1"/>
      <protection locked="0"/>
    </xf>
    <xf numFmtId="164" fontId="13" fillId="9" borderId="1" xfId="1" applyNumberFormat="1" applyFont="1" applyFill="1" applyBorder="1" applyAlignment="1" applyProtection="1">
      <alignment horizontal="center" vertical="center" wrapText="1"/>
      <protection locked="0"/>
    </xf>
    <xf numFmtId="164" fontId="28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13" fillId="9" borderId="1" xfId="2" applyFont="1" applyFill="1" applyBorder="1" applyAlignment="1" applyProtection="1">
      <alignment horizontal="center" vertical="center" wrapText="1"/>
      <protection locked="0"/>
    </xf>
    <xf numFmtId="164" fontId="29" fillId="9" borderId="1" xfId="1" applyNumberFormat="1" applyFont="1" applyFill="1" applyBorder="1" applyAlignment="1">
      <alignment horizontal="center" vertical="center" wrapText="1"/>
    </xf>
    <xf numFmtId="164" fontId="30" fillId="9" borderId="1" xfId="1" applyNumberFormat="1" applyFont="1" applyFill="1" applyBorder="1" applyAlignment="1">
      <alignment horizontal="center" vertical="center" wrapText="1"/>
    </xf>
    <xf numFmtId="165" fontId="17" fillId="0" borderId="9" xfId="1" applyNumberFormat="1" applyFont="1" applyBorder="1"/>
    <xf numFmtId="165" fontId="17" fillId="0" borderId="10" xfId="1" applyNumberFormat="1" applyFont="1" applyBorder="1"/>
    <xf numFmtId="165" fontId="17" fillId="0" borderId="3" xfId="1" applyNumberFormat="1" applyFont="1" applyBorder="1"/>
    <xf numFmtId="165" fontId="17" fillId="0" borderId="2" xfId="1" applyNumberFormat="1" applyFont="1" applyBorder="1"/>
    <xf numFmtId="165" fontId="17" fillId="0" borderId="5" xfId="1" applyNumberFormat="1" applyFont="1" applyBorder="1"/>
    <xf numFmtId="165" fontId="19" fillId="5" borderId="3" xfId="1" applyNumberFormat="1" applyFont="1" applyFill="1" applyBorder="1" applyAlignment="1">
      <alignment vertical="center"/>
    </xf>
    <xf numFmtId="165" fontId="19" fillId="6" borderId="1" xfId="1" applyNumberFormat="1" applyFont="1" applyFill="1" applyBorder="1"/>
    <xf numFmtId="165" fontId="20" fillId="0" borderId="1" xfId="1" applyNumberFormat="1" applyFont="1" applyFill="1" applyBorder="1"/>
    <xf numFmtId="165" fontId="19" fillId="7" borderId="1" xfId="1" applyNumberFormat="1" applyFont="1" applyFill="1" applyBorder="1" applyAlignment="1">
      <alignment vertical="center"/>
    </xf>
    <xf numFmtId="165" fontId="20" fillId="0" borderId="1" xfId="1" applyNumberFormat="1" applyFont="1" applyBorder="1"/>
    <xf numFmtId="165" fontId="19" fillId="7" borderId="1" xfId="1" applyNumberFormat="1" applyFont="1" applyFill="1" applyBorder="1"/>
    <xf numFmtId="165" fontId="19" fillId="7" borderId="1" xfId="1" applyNumberFormat="1" applyFont="1" applyFill="1" applyBorder="1" applyAlignment="1">
      <alignment horizontal="right"/>
    </xf>
    <xf numFmtId="0" fontId="1" fillId="0" borderId="1" xfId="0" applyFont="1" applyFill="1" applyBorder="1"/>
    <xf numFmtId="164" fontId="1" fillId="0" borderId="1" xfId="1" applyNumberFormat="1" applyFont="1" applyFill="1" applyBorder="1"/>
    <xf numFmtId="3" fontId="1" fillId="0" borderId="0" xfId="0" applyNumberFormat="1" applyFont="1" applyFill="1"/>
    <xf numFmtId="0" fontId="1" fillId="0" borderId="0" xfId="0" applyFont="1" applyFill="1"/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right" vertical="center"/>
    </xf>
    <xf numFmtId="166" fontId="31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31" fillId="0" borderId="4" xfId="0" applyFont="1" applyBorder="1" applyAlignment="1">
      <alignment horizontal="left" vertical="center"/>
    </xf>
    <xf numFmtId="166" fontId="31" fillId="0" borderId="4" xfId="0" applyNumberFormat="1" applyFont="1" applyBorder="1" applyAlignment="1">
      <alignment horizontal="right" vertical="center"/>
    </xf>
    <xf numFmtId="0" fontId="31" fillId="0" borderId="4" xfId="0" applyFont="1" applyBorder="1"/>
    <xf numFmtId="0" fontId="31" fillId="0" borderId="4" xfId="0" applyFont="1" applyBorder="1" applyAlignment="1">
      <alignment horizontal="right"/>
    </xf>
    <xf numFmtId="166" fontId="31" fillId="0" borderId="4" xfId="0" applyNumberFormat="1" applyFont="1" applyBorder="1" applyAlignment="1">
      <alignment horizontal="right"/>
    </xf>
    <xf numFmtId="49" fontId="3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166" fontId="13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166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4" xfId="0" applyFont="1" applyBorder="1" applyAlignment="1">
      <alignment horizontal="left" vertical="center"/>
    </xf>
    <xf numFmtId="166" fontId="11" fillId="0" borderId="4" xfId="0" applyNumberFormat="1" applyFont="1" applyBorder="1" applyAlignment="1">
      <alignment horizontal="right" vertical="center"/>
    </xf>
    <xf numFmtId="0" fontId="11" fillId="0" borderId="4" xfId="0" applyFont="1" applyBorder="1"/>
    <xf numFmtId="0" fontId="11" fillId="0" borderId="4" xfId="0" applyFont="1" applyBorder="1" applyAlignment="1">
      <alignment horizontal="right"/>
    </xf>
    <xf numFmtId="166" fontId="11" fillId="0" borderId="4" xfId="0" applyNumberFormat="1" applyFont="1" applyBorder="1" applyAlignment="1">
      <alignment horizontal="right"/>
    </xf>
    <xf numFmtId="164" fontId="3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1" fillId="0" borderId="18" xfId="0" applyFont="1" applyBorder="1" applyAlignment="1">
      <alignment horizontal="left" vertical="center"/>
    </xf>
    <xf numFmtId="0" fontId="31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10" fillId="8" borderId="0" xfId="0" applyFont="1" applyFill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/>
    </xf>
    <xf numFmtId="164" fontId="0" fillId="3" borderId="2" xfId="1" applyNumberFormat="1" applyFont="1" applyFill="1" applyBorder="1" applyAlignment="1">
      <alignment horizontal="center" vertical="center" wrapText="1"/>
    </xf>
    <xf numFmtId="164" fontId="0" fillId="3" borderId="3" xfId="1" applyNumberFormat="1" applyFont="1" applyFill="1" applyBorder="1" applyAlignment="1">
      <alignment horizontal="center" vertical="center" wrapText="1"/>
    </xf>
    <xf numFmtId="164" fontId="21" fillId="3" borderId="1" xfId="1" applyNumberFormat="1" applyFont="1" applyFill="1" applyBorder="1" applyAlignment="1" applyProtection="1">
      <alignment horizontal="center" vertical="center"/>
      <protection locked="0"/>
    </xf>
    <xf numFmtId="0" fontId="11" fillId="3" borderId="1" xfId="4" applyFont="1" applyFill="1" applyBorder="1" applyAlignment="1" applyProtection="1">
      <alignment horizontal="center" vertical="center" wrapText="1"/>
      <protection locked="0"/>
    </xf>
    <xf numFmtId="164" fontId="0" fillId="3" borderId="6" xfId="1" applyNumberFormat="1" applyFont="1" applyFill="1" applyBorder="1" applyAlignment="1">
      <alignment horizontal="center" vertical="center"/>
    </xf>
    <xf numFmtId="164" fontId="0" fillId="3" borderId="7" xfId="1" applyNumberFormat="1" applyFont="1" applyFill="1" applyBorder="1" applyAlignment="1">
      <alignment horizontal="center" vertical="center"/>
    </xf>
    <xf numFmtId="164" fontId="0" fillId="3" borderId="8" xfId="1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10" fillId="5" borderId="13" xfId="0" applyFont="1" applyFill="1" applyBorder="1" applyAlignment="1">
      <alignment horizontal="right" vertical="center"/>
    </xf>
    <xf numFmtId="0" fontId="10" fillId="5" borderId="4" xfId="0" applyFont="1" applyFill="1" applyBorder="1" applyAlignment="1">
      <alignment horizontal="right" vertical="center"/>
    </xf>
    <xf numFmtId="0" fontId="10" fillId="5" borderId="14" xfId="0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10" fillId="7" borderId="6" xfId="0" applyFont="1" applyFill="1" applyBorder="1" applyAlignment="1">
      <alignment horizontal="right" vertical="center"/>
    </xf>
    <xf numFmtId="0" fontId="10" fillId="7" borderId="7" xfId="0" applyFont="1" applyFill="1" applyBorder="1" applyAlignment="1">
      <alignment horizontal="right" vertical="center"/>
    </xf>
    <xf numFmtId="0" fontId="10" fillId="7" borderId="8" xfId="0" applyFont="1" applyFill="1" applyBorder="1" applyAlignment="1">
      <alignment horizontal="right" vertical="center"/>
    </xf>
    <xf numFmtId="0" fontId="10" fillId="5" borderId="6" xfId="0" applyFont="1" applyFill="1" applyBorder="1" applyAlignment="1">
      <alignment horizontal="right" vertical="center"/>
    </xf>
    <xf numFmtId="0" fontId="10" fillId="5" borderId="7" xfId="0" applyFont="1" applyFill="1" applyBorder="1" applyAlignment="1">
      <alignment horizontal="right" vertical="center"/>
    </xf>
    <xf numFmtId="0" fontId="10" fillId="5" borderId="8" xfId="0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17" xfId="0" applyFont="1" applyBorder="1" applyAlignment="1">
      <alignment horizontal="center" vertical="center"/>
    </xf>
  </cellXfs>
  <cellStyles count="6">
    <cellStyle name="Ezres" xfId="1" builtinId="3"/>
    <cellStyle name="Ezres 2" xfId="3" xr:uid="{00000000-0005-0000-0000-000001000000}"/>
    <cellStyle name="Ezres 3" xfId="5" xr:uid="{00000000-0005-0000-0000-000002000000}"/>
    <cellStyle name="Normál" xfId="0" builtinId="0"/>
    <cellStyle name="Normál 2" xfId="2" xr:uid="{00000000-0005-0000-0000-000004000000}"/>
    <cellStyle name="Normál 3" xfId="4" xr:uid="{00000000-0005-0000-0000-000005000000}"/>
  </cellStyles>
  <dxfs count="0"/>
  <tableStyles count="0" defaultTableStyle="TableStyleMedium2" defaultPivotStyle="PivotStyleLight16"/>
  <colors>
    <mruColors>
      <color rgb="FFCCFFCC"/>
      <color rgb="FFC9F468"/>
      <color rgb="FFFF99CC"/>
      <color rgb="FFEDF4AA"/>
      <color rgb="FFBACC0E"/>
      <color rgb="FFC9BA81"/>
      <color rgb="FFC2BA52"/>
      <color rgb="FFB6C33B"/>
      <color rgb="FFCCCC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53"/>
  <sheetViews>
    <sheetView tabSelected="1" view="pageBreakPreview" zoomScaleNormal="100" zoomScaleSheetLayoutView="100" workbookViewId="0">
      <pane xSplit="3" ySplit="4" topLeftCell="D918" activePane="bottomRight" state="frozen"/>
      <selection pane="topRight" activeCell="D1" sqref="D1"/>
      <selection pane="bottomLeft" activeCell="A5" sqref="A5"/>
      <selection pane="bottomRight" activeCell="F895" sqref="F895"/>
    </sheetView>
  </sheetViews>
  <sheetFormatPr defaultRowHeight="14.4" x14ac:dyDescent="0.3"/>
  <cols>
    <col min="1" max="1" width="39" customWidth="1"/>
    <col min="2" max="2" width="8.44140625" customWidth="1"/>
    <col min="3" max="3" width="6.5546875" customWidth="1"/>
    <col min="4" max="4" width="14.6640625" style="13" customWidth="1"/>
    <col min="5" max="6" width="12.5546875" style="13" customWidth="1"/>
    <col min="7" max="9" width="10.6640625" style="13" customWidth="1"/>
    <col min="10" max="10" width="9.6640625" style="13" customWidth="1"/>
    <col min="11" max="11" width="10.6640625" style="13" customWidth="1"/>
    <col min="12" max="12" width="10.6640625" style="13" hidden="1" customWidth="1"/>
    <col min="13" max="13" width="14.5546875" style="13" customWidth="1"/>
    <col min="14" max="14" width="14.6640625" style="48" customWidth="1"/>
    <col min="15" max="15" width="14.109375" style="27" customWidth="1"/>
    <col min="16" max="16" width="10.109375" style="36" bestFit="1" customWidth="1"/>
  </cols>
  <sheetData>
    <row r="1" spans="1:16" ht="15.75" customHeight="1" x14ac:dyDescent="0.3">
      <c r="A1" s="183" t="s">
        <v>150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</row>
    <row r="2" spans="1:16" x14ac:dyDescent="0.3">
      <c r="B2" s="1"/>
      <c r="O2" s="13"/>
    </row>
    <row r="3" spans="1:16" ht="15" customHeight="1" x14ac:dyDescent="0.3">
      <c r="A3" s="184" t="s">
        <v>0</v>
      </c>
      <c r="B3" s="186" t="s">
        <v>1</v>
      </c>
      <c r="C3" s="184" t="s">
        <v>2</v>
      </c>
      <c r="D3" s="188" t="s">
        <v>3</v>
      </c>
      <c r="E3" s="192" t="s">
        <v>153</v>
      </c>
      <c r="F3" s="193"/>
      <c r="G3" s="193"/>
      <c r="H3" s="193"/>
      <c r="I3" s="193"/>
      <c r="J3" s="193"/>
      <c r="K3" s="193"/>
      <c r="L3" s="194"/>
      <c r="M3" s="188" t="s">
        <v>154</v>
      </c>
      <c r="N3" s="190" t="s">
        <v>155</v>
      </c>
      <c r="O3" s="191" t="s">
        <v>152</v>
      </c>
    </row>
    <row r="4" spans="1:16" s="38" customFormat="1" ht="74.25" customHeight="1" x14ac:dyDescent="0.3">
      <c r="A4" s="185"/>
      <c r="B4" s="187"/>
      <c r="C4" s="185"/>
      <c r="D4" s="189"/>
      <c r="E4" s="121" t="s">
        <v>4</v>
      </c>
      <c r="F4" s="86" t="s">
        <v>151</v>
      </c>
      <c r="G4" s="87" t="s">
        <v>156</v>
      </c>
      <c r="H4" s="87"/>
      <c r="I4" s="87"/>
      <c r="J4" s="87"/>
      <c r="K4" s="87"/>
      <c r="L4" s="87" t="s">
        <v>148</v>
      </c>
      <c r="M4" s="189"/>
      <c r="N4" s="190"/>
      <c r="O4" s="191"/>
      <c r="P4" s="43"/>
    </row>
    <row r="5" spans="1:16" x14ac:dyDescent="0.3">
      <c r="A5" s="177" t="s">
        <v>5</v>
      </c>
      <c r="B5" s="179" t="s">
        <v>6</v>
      </c>
      <c r="C5" s="2" t="s">
        <v>7</v>
      </c>
      <c r="D5" s="24">
        <v>47088409</v>
      </c>
      <c r="E5" s="24"/>
      <c r="F5" s="24"/>
      <c r="G5" s="24"/>
      <c r="H5" s="24"/>
      <c r="I5" s="24"/>
      <c r="J5" s="28"/>
      <c r="K5" s="28"/>
      <c r="L5" s="28"/>
      <c r="M5" s="24">
        <f t="shared" ref="M5:M36" si="0">D5+E5+F5+G5+H5+J5+I5+K5+L5</f>
        <v>47088409</v>
      </c>
      <c r="N5" s="33">
        <v>8203003</v>
      </c>
      <c r="O5" s="25">
        <f>M5-N5</f>
        <v>38885406</v>
      </c>
    </row>
    <row r="6" spans="1:16" x14ac:dyDescent="0.3">
      <c r="A6" s="177"/>
      <c r="B6" s="179"/>
      <c r="C6" s="2" t="s">
        <v>134</v>
      </c>
      <c r="D6" s="24">
        <v>127000</v>
      </c>
      <c r="E6" s="24"/>
      <c r="F6" s="24"/>
      <c r="G6" s="24"/>
      <c r="H6" s="24"/>
      <c r="I6" s="24"/>
      <c r="J6" s="24"/>
      <c r="K6" s="24"/>
      <c r="L6" s="24"/>
      <c r="M6" s="24">
        <f t="shared" si="0"/>
        <v>127000</v>
      </c>
      <c r="N6" s="33">
        <v>0</v>
      </c>
      <c r="O6" s="14">
        <f t="shared" ref="O6:O71" si="1">M6-N6</f>
        <v>127000</v>
      </c>
    </row>
    <row r="7" spans="1:16" x14ac:dyDescent="0.3">
      <c r="A7" s="177"/>
      <c r="B7" s="179"/>
      <c r="C7" s="2" t="s">
        <v>8</v>
      </c>
      <c r="D7" s="24">
        <v>18984113</v>
      </c>
      <c r="E7" s="24"/>
      <c r="F7" s="24"/>
      <c r="G7" s="24"/>
      <c r="H7" s="24"/>
      <c r="I7" s="24"/>
      <c r="J7" s="24"/>
      <c r="K7" s="24"/>
      <c r="L7" s="24"/>
      <c r="M7" s="24">
        <f t="shared" si="0"/>
        <v>18984113</v>
      </c>
      <c r="N7" s="33">
        <v>18984113</v>
      </c>
      <c r="O7" s="14">
        <f t="shared" si="1"/>
        <v>0</v>
      </c>
    </row>
    <row r="8" spans="1:16" x14ac:dyDescent="0.3">
      <c r="A8" s="177"/>
      <c r="B8" s="179"/>
      <c r="C8" s="2" t="s">
        <v>9</v>
      </c>
      <c r="D8" s="24">
        <v>166222805</v>
      </c>
      <c r="E8" s="24"/>
      <c r="F8" s="51">
        <v>9936713</v>
      </c>
      <c r="G8" s="51">
        <v>627580</v>
      </c>
      <c r="H8" s="24"/>
      <c r="I8" s="24"/>
      <c r="J8" s="24"/>
      <c r="K8" s="24"/>
      <c r="L8" s="24"/>
      <c r="M8" s="24">
        <f t="shared" si="0"/>
        <v>176787098</v>
      </c>
      <c r="N8" s="33">
        <v>70269663</v>
      </c>
      <c r="O8" s="14">
        <f t="shared" si="1"/>
        <v>106517435</v>
      </c>
    </row>
    <row r="9" spans="1:16" x14ac:dyDescent="0.3">
      <c r="A9" s="177"/>
      <c r="B9" s="117" t="s">
        <v>10</v>
      </c>
      <c r="C9" s="2" t="s">
        <v>11</v>
      </c>
      <c r="D9" s="24">
        <v>180000</v>
      </c>
      <c r="E9" s="24"/>
      <c r="F9" s="24"/>
      <c r="G9" s="24"/>
      <c r="H9" s="24"/>
      <c r="I9" s="24"/>
      <c r="J9" s="24"/>
      <c r="K9" s="24"/>
      <c r="L9" s="24"/>
      <c r="M9" s="24">
        <f t="shared" si="0"/>
        <v>180000</v>
      </c>
      <c r="N9" s="33">
        <v>70450</v>
      </c>
      <c r="O9" s="14">
        <f t="shared" si="1"/>
        <v>109550</v>
      </c>
    </row>
    <row r="10" spans="1:16" x14ac:dyDescent="0.3">
      <c r="A10" s="177"/>
      <c r="B10" s="180" t="s">
        <v>12</v>
      </c>
      <c r="C10" s="2" t="s">
        <v>135</v>
      </c>
      <c r="D10" s="24">
        <v>0</v>
      </c>
      <c r="E10" s="24"/>
      <c r="F10" s="24"/>
      <c r="G10" s="24"/>
      <c r="H10" s="24"/>
      <c r="I10" s="24"/>
      <c r="J10" s="24"/>
      <c r="K10" s="24"/>
      <c r="L10" s="24"/>
      <c r="M10" s="24">
        <f t="shared" si="0"/>
        <v>0</v>
      </c>
      <c r="N10" s="33">
        <v>0</v>
      </c>
      <c r="O10" s="14">
        <f t="shared" si="1"/>
        <v>0</v>
      </c>
    </row>
    <row r="11" spans="1:16" x14ac:dyDescent="0.3">
      <c r="A11" s="177"/>
      <c r="B11" s="181"/>
      <c r="C11" s="2" t="s">
        <v>11</v>
      </c>
      <c r="D11" s="24">
        <v>950000</v>
      </c>
      <c r="E11" s="24"/>
      <c r="F11" s="24"/>
      <c r="G11" s="24"/>
      <c r="H11" s="24"/>
      <c r="I11" s="24"/>
      <c r="J11" s="24"/>
      <c r="K11" s="24"/>
      <c r="L11" s="24"/>
      <c r="M11" s="24">
        <f t="shared" si="0"/>
        <v>950000</v>
      </c>
      <c r="N11" s="33">
        <v>315455</v>
      </c>
      <c r="O11" s="21">
        <f t="shared" si="1"/>
        <v>634545</v>
      </c>
    </row>
    <row r="12" spans="1:16" x14ac:dyDescent="0.3">
      <c r="A12" s="177"/>
      <c r="B12" s="179" t="s">
        <v>13</v>
      </c>
      <c r="C12" s="2" t="s">
        <v>11</v>
      </c>
      <c r="D12" s="24">
        <v>3500000</v>
      </c>
      <c r="E12" s="24"/>
      <c r="F12" s="24"/>
      <c r="G12" s="24"/>
      <c r="H12" s="24"/>
      <c r="I12" s="24"/>
      <c r="J12" s="24"/>
      <c r="K12" s="24"/>
      <c r="L12" s="24"/>
      <c r="M12" s="24">
        <f t="shared" si="0"/>
        <v>3500000</v>
      </c>
      <c r="N12" s="33">
        <v>1206665</v>
      </c>
      <c r="O12" s="21">
        <f t="shared" si="1"/>
        <v>2293335</v>
      </c>
    </row>
    <row r="13" spans="1:16" x14ac:dyDescent="0.3">
      <c r="A13" s="177"/>
      <c r="B13" s="179"/>
      <c r="C13" s="2" t="s">
        <v>14</v>
      </c>
      <c r="D13" s="24">
        <v>0</v>
      </c>
      <c r="E13" s="24"/>
      <c r="F13" s="24"/>
      <c r="G13" s="24"/>
      <c r="H13" s="24"/>
      <c r="I13" s="24"/>
      <c r="J13" s="24"/>
      <c r="K13" s="24"/>
      <c r="L13" s="24"/>
      <c r="M13" s="24">
        <f t="shared" si="0"/>
        <v>0</v>
      </c>
      <c r="N13" s="33">
        <v>0</v>
      </c>
      <c r="O13" s="21">
        <f t="shared" si="1"/>
        <v>0</v>
      </c>
    </row>
    <row r="14" spans="1:16" x14ac:dyDescent="0.3">
      <c r="A14" s="177"/>
      <c r="B14" s="179"/>
      <c r="C14" s="2" t="s">
        <v>15</v>
      </c>
      <c r="D14" s="24">
        <v>0</v>
      </c>
      <c r="E14" s="24"/>
      <c r="F14" s="24"/>
      <c r="G14" s="24"/>
      <c r="H14" s="24"/>
      <c r="I14" s="24"/>
      <c r="J14" s="24"/>
      <c r="K14" s="24"/>
      <c r="L14" s="24"/>
      <c r="M14" s="24">
        <f t="shared" si="0"/>
        <v>0</v>
      </c>
      <c r="N14" s="33">
        <v>0</v>
      </c>
      <c r="O14" s="21">
        <f t="shared" si="1"/>
        <v>0</v>
      </c>
    </row>
    <row r="15" spans="1:16" x14ac:dyDescent="0.3">
      <c r="A15" s="177"/>
      <c r="B15" s="179" t="s">
        <v>16</v>
      </c>
      <c r="C15" s="2" t="s">
        <v>11</v>
      </c>
      <c r="D15" s="24">
        <v>5900000</v>
      </c>
      <c r="E15" s="24"/>
      <c r="F15" s="24"/>
      <c r="G15" s="24"/>
      <c r="H15" s="24"/>
      <c r="I15" s="24"/>
      <c r="J15" s="24"/>
      <c r="K15" s="24"/>
      <c r="L15" s="24"/>
      <c r="M15" s="24">
        <f t="shared" si="0"/>
        <v>5900000</v>
      </c>
      <c r="N15" s="33">
        <v>2575607</v>
      </c>
      <c r="O15" s="21">
        <f t="shared" si="1"/>
        <v>3324393</v>
      </c>
    </row>
    <row r="16" spans="1:16" x14ac:dyDescent="0.3">
      <c r="A16" s="177"/>
      <c r="B16" s="179"/>
      <c r="C16" s="2" t="s">
        <v>14</v>
      </c>
      <c r="D16" s="24">
        <v>1593000</v>
      </c>
      <c r="E16" s="24">
        <v>-10000</v>
      </c>
      <c r="F16" s="24"/>
      <c r="G16" s="24"/>
      <c r="H16" s="24"/>
      <c r="I16" s="24"/>
      <c r="J16" s="24"/>
      <c r="K16" s="24"/>
      <c r="L16" s="24"/>
      <c r="M16" s="24">
        <f t="shared" si="0"/>
        <v>1583000</v>
      </c>
      <c r="N16" s="33">
        <v>695413</v>
      </c>
      <c r="O16" s="21">
        <f t="shared" si="1"/>
        <v>887587</v>
      </c>
    </row>
    <row r="17" spans="1:15" x14ac:dyDescent="0.3">
      <c r="A17" s="177"/>
      <c r="B17" s="179"/>
      <c r="C17" s="2" t="s">
        <v>17</v>
      </c>
      <c r="D17" s="24">
        <v>0</v>
      </c>
      <c r="E17" s="24"/>
      <c r="F17" s="24"/>
      <c r="G17" s="24"/>
      <c r="H17" s="24"/>
      <c r="I17" s="24"/>
      <c r="J17" s="24"/>
      <c r="K17" s="24"/>
      <c r="L17" s="24"/>
      <c r="M17" s="24">
        <f t="shared" si="0"/>
        <v>0</v>
      </c>
      <c r="N17" s="33">
        <v>0</v>
      </c>
      <c r="O17" s="21">
        <f t="shared" si="1"/>
        <v>0</v>
      </c>
    </row>
    <row r="18" spans="1:15" x14ac:dyDescent="0.3">
      <c r="A18" s="177"/>
      <c r="B18" s="179" t="s">
        <v>18</v>
      </c>
      <c r="C18" s="2" t="s">
        <v>19</v>
      </c>
      <c r="D18" s="24">
        <v>10000</v>
      </c>
      <c r="E18" s="50"/>
      <c r="F18" s="24"/>
      <c r="G18" s="24"/>
      <c r="H18" s="24"/>
      <c r="I18" s="24"/>
      <c r="J18" s="24"/>
      <c r="K18" s="24"/>
      <c r="L18" s="24"/>
      <c r="M18" s="24">
        <f t="shared" si="0"/>
        <v>10000</v>
      </c>
      <c r="N18" s="33">
        <v>3305</v>
      </c>
      <c r="O18" s="21">
        <f t="shared" si="1"/>
        <v>6695</v>
      </c>
    </row>
    <row r="19" spans="1:15" x14ac:dyDescent="0.3">
      <c r="A19" s="177"/>
      <c r="B19" s="179"/>
      <c r="C19" s="2" t="s">
        <v>11</v>
      </c>
      <c r="D19" s="24">
        <v>5000000</v>
      </c>
      <c r="E19" s="50">
        <v>-7000</v>
      </c>
      <c r="F19" s="24"/>
      <c r="G19" s="24"/>
      <c r="H19" s="24"/>
      <c r="I19" s="24"/>
      <c r="J19" s="24"/>
      <c r="K19" s="24"/>
      <c r="L19" s="24"/>
      <c r="M19" s="24">
        <f t="shared" si="0"/>
        <v>4993000</v>
      </c>
      <c r="N19" s="33">
        <v>2166240</v>
      </c>
      <c r="O19" s="14">
        <f t="shared" si="1"/>
        <v>2826760</v>
      </c>
    </row>
    <row r="20" spans="1:15" x14ac:dyDescent="0.3">
      <c r="A20" s="177"/>
      <c r="B20" s="179"/>
      <c r="C20" s="2" t="s">
        <v>14</v>
      </c>
      <c r="D20" s="24">
        <v>2700</v>
      </c>
      <c r="E20" s="50">
        <v>-313</v>
      </c>
      <c r="F20" s="24"/>
      <c r="G20" s="24"/>
      <c r="H20" s="24"/>
      <c r="I20" s="24"/>
      <c r="J20" s="24"/>
      <c r="K20" s="24"/>
      <c r="L20" s="24"/>
      <c r="M20" s="24">
        <f t="shared" si="0"/>
        <v>2387</v>
      </c>
      <c r="N20" s="33">
        <v>891</v>
      </c>
      <c r="O20" s="14">
        <f t="shared" si="1"/>
        <v>1496</v>
      </c>
    </row>
    <row r="21" spans="1:15" x14ac:dyDescent="0.3">
      <c r="A21" s="177"/>
      <c r="B21" s="179"/>
      <c r="C21" s="2" t="s">
        <v>20</v>
      </c>
      <c r="D21" s="24">
        <v>2000</v>
      </c>
      <c r="E21" s="50">
        <f>-1066-102+2000</f>
        <v>832</v>
      </c>
      <c r="F21" s="24"/>
      <c r="G21" s="24"/>
      <c r="H21" s="24"/>
      <c r="I21" s="24"/>
      <c r="J21" s="24"/>
      <c r="K21" s="24"/>
      <c r="L21" s="24"/>
      <c r="M21" s="24">
        <f t="shared" si="0"/>
        <v>2832</v>
      </c>
      <c r="N21" s="33">
        <v>619</v>
      </c>
      <c r="O21" s="21">
        <f t="shared" si="1"/>
        <v>2213</v>
      </c>
    </row>
    <row r="22" spans="1:15" x14ac:dyDescent="0.3">
      <c r="A22" s="177"/>
      <c r="B22" s="179"/>
      <c r="C22" s="2" t="s">
        <v>15</v>
      </c>
      <c r="D22" s="24">
        <v>4000</v>
      </c>
      <c r="E22" s="50">
        <f>1066+102+313+5000</f>
        <v>6481</v>
      </c>
      <c r="F22" s="24"/>
      <c r="G22" s="24"/>
      <c r="H22" s="24"/>
      <c r="I22" s="24"/>
      <c r="J22" s="24"/>
      <c r="K22" s="24"/>
      <c r="L22" s="24"/>
      <c r="M22" s="24">
        <f t="shared" si="0"/>
        <v>10481</v>
      </c>
      <c r="N22" s="33">
        <v>5481</v>
      </c>
      <c r="O22" s="21">
        <f t="shared" si="1"/>
        <v>5000</v>
      </c>
    </row>
    <row r="23" spans="1:15" x14ac:dyDescent="0.3">
      <c r="A23" s="177"/>
      <c r="B23" s="179" t="s">
        <v>21</v>
      </c>
      <c r="C23" s="2" t="s">
        <v>19</v>
      </c>
      <c r="D23" s="24">
        <v>45000</v>
      </c>
      <c r="E23" s="50"/>
      <c r="F23" s="24"/>
      <c r="G23" s="24"/>
      <c r="H23" s="24"/>
      <c r="I23" s="24"/>
      <c r="J23" s="24"/>
      <c r="K23" s="24"/>
      <c r="L23" s="24"/>
      <c r="M23" s="24">
        <f t="shared" si="0"/>
        <v>45000</v>
      </c>
      <c r="N23" s="33">
        <v>16000</v>
      </c>
      <c r="O23" s="14">
        <f t="shared" si="1"/>
        <v>29000</v>
      </c>
    </row>
    <row r="24" spans="1:15" x14ac:dyDescent="0.3">
      <c r="A24" s="177"/>
      <c r="B24" s="179"/>
      <c r="C24" s="2" t="s">
        <v>11</v>
      </c>
      <c r="D24" s="24">
        <v>1400000</v>
      </c>
      <c r="E24" s="24"/>
      <c r="F24" s="24"/>
      <c r="G24" s="24"/>
      <c r="H24" s="24"/>
      <c r="I24" s="24"/>
      <c r="J24" s="24"/>
      <c r="K24" s="24"/>
      <c r="L24" s="24"/>
      <c r="M24" s="24">
        <f t="shared" si="0"/>
        <v>1400000</v>
      </c>
      <c r="N24" s="33">
        <v>635640</v>
      </c>
      <c r="O24" s="21">
        <f t="shared" si="1"/>
        <v>764360</v>
      </c>
    </row>
    <row r="25" spans="1:15" ht="15" thickBot="1" x14ac:dyDescent="0.35">
      <c r="A25" s="178"/>
      <c r="B25" s="182"/>
      <c r="C25" s="9" t="s">
        <v>14</v>
      </c>
      <c r="D25" s="89">
        <v>12150</v>
      </c>
      <c r="E25" s="89">
        <v>10000</v>
      </c>
      <c r="F25" s="89"/>
      <c r="G25" s="89"/>
      <c r="H25" s="89"/>
      <c r="I25" s="89"/>
      <c r="J25" s="89"/>
      <c r="K25" s="89"/>
      <c r="L25" s="89"/>
      <c r="M25" s="89">
        <f t="shared" si="0"/>
        <v>22150</v>
      </c>
      <c r="N25" s="127">
        <v>10260</v>
      </c>
      <c r="O25" s="22">
        <f t="shared" si="1"/>
        <v>11890</v>
      </c>
    </row>
    <row r="26" spans="1:15" ht="15" thickTop="1" x14ac:dyDescent="0.3">
      <c r="A26" s="195" t="s">
        <v>22</v>
      </c>
      <c r="B26" s="197" t="s">
        <v>6</v>
      </c>
      <c r="C26" s="10" t="s">
        <v>7</v>
      </c>
      <c r="D26" s="90">
        <v>1063967</v>
      </c>
      <c r="E26" s="90"/>
      <c r="F26" s="90"/>
      <c r="G26" s="90"/>
      <c r="H26" s="90"/>
      <c r="I26" s="91"/>
      <c r="J26" s="91"/>
      <c r="K26" s="91"/>
      <c r="L26" s="91"/>
      <c r="M26" s="91">
        <f t="shared" si="0"/>
        <v>1063967</v>
      </c>
      <c r="N26" s="128">
        <v>443320</v>
      </c>
      <c r="O26" s="16">
        <f t="shared" si="1"/>
        <v>620647</v>
      </c>
    </row>
    <row r="27" spans="1:15" x14ac:dyDescent="0.3">
      <c r="A27" s="177"/>
      <c r="B27" s="179"/>
      <c r="C27" s="2" t="s">
        <v>8</v>
      </c>
      <c r="D27" s="24">
        <v>200631</v>
      </c>
      <c r="E27" s="24"/>
      <c r="F27" s="24"/>
      <c r="G27" s="24"/>
      <c r="H27" s="24"/>
      <c r="I27" s="24"/>
      <c r="J27" s="24"/>
      <c r="K27" s="24"/>
      <c r="L27" s="24"/>
      <c r="M27" s="24">
        <f t="shared" si="0"/>
        <v>200631</v>
      </c>
      <c r="N27" s="33">
        <v>200631</v>
      </c>
      <c r="O27" s="14">
        <f t="shared" si="1"/>
        <v>0</v>
      </c>
    </row>
    <row r="28" spans="1:15" ht="15" thickBot="1" x14ac:dyDescent="0.35">
      <c r="A28" s="178"/>
      <c r="B28" s="119" t="s">
        <v>18</v>
      </c>
      <c r="C28" s="9" t="s">
        <v>11</v>
      </c>
      <c r="D28" s="89">
        <v>830000</v>
      </c>
      <c r="E28" s="89"/>
      <c r="F28" s="89"/>
      <c r="G28" s="89"/>
      <c r="H28" s="89"/>
      <c r="I28" s="89"/>
      <c r="J28" s="89"/>
      <c r="K28" s="89"/>
      <c r="L28" s="89"/>
      <c r="M28" s="89">
        <f t="shared" si="0"/>
        <v>830000</v>
      </c>
      <c r="N28" s="127">
        <v>472275</v>
      </c>
      <c r="O28" s="22">
        <f t="shared" si="1"/>
        <v>357725</v>
      </c>
    </row>
    <row r="29" spans="1:15" ht="15" thickTop="1" x14ac:dyDescent="0.3">
      <c r="A29" s="196" t="s">
        <v>23</v>
      </c>
      <c r="B29" s="181" t="s">
        <v>24</v>
      </c>
      <c r="C29" s="8" t="s">
        <v>7</v>
      </c>
      <c r="D29" s="91">
        <v>0</v>
      </c>
      <c r="E29" s="91"/>
      <c r="F29" s="91"/>
      <c r="G29" s="91"/>
      <c r="H29" s="91"/>
      <c r="I29" s="91"/>
      <c r="J29" s="91"/>
      <c r="K29" s="91"/>
      <c r="L29" s="91"/>
      <c r="M29" s="91">
        <f t="shared" si="0"/>
        <v>0</v>
      </c>
      <c r="N29" s="129">
        <v>0</v>
      </c>
      <c r="O29" s="16">
        <f t="shared" si="1"/>
        <v>0</v>
      </c>
    </row>
    <row r="30" spans="1:15" x14ac:dyDescent="0.3">
      <c r="A30" s="196"/>
      <c r="B30" s="181"/>
      <c r="C30" s="8" t="s">
        <v>134</v>
      </c>
      <c r="D30" s="91">
        <v>0</v>
      </c>
      <c r="E30" s="91"/>
      <c r="F30" s="91"/>
      <c r="G30" s="91"/>
      <c r="H30" s="91"/>
      <c r="I30" s="91"/>
      <c r="J30" s="91"/>
      <c r="K30" s="91"/>
      <c r="L30" s="91"/>
      <c r="M30" s="24">
        <f t="shared" si="0"/>
        <v>0</v>
      </c>
      <c r="N30" s="129">
        <v>0</v>
      </c>
      <c r="O30" s="14">
        <f t="shared" si="1"/>
        <v>0</v>
      </c>
    </row>
    <row r="31" spans="1:15" x14ac:dyDescent="0.3">
      <c r="A31" s="177"/>
      <c r="B31" s="179"/>
      <c r="C31" s="2" t="s">
        <v>8</v>
      </c>
      <c r="D31" s="24">
        <v>477863</v>
      </c>
      <c r="E31" s="24"/>
      <c r="F31" s="24"/>
      <c r="G31" s="24"/>
      <c r="H31" s="24"/>
      <c r="I31" s="24"/>
      <c r="J31" s="24"/>
      <c r="K31" s="24"/>
      <c r="L31" s="24"/>
      <c r="M31" s="24">
        <f t="shared" si="0"/>
        <v>477863</v>
      </c>
      <c r="N31" s="33">
        <v>477863</v>
      </c>
      <c r="O31" s="14">
        <f t="shared" si="1"/>
        <v>0</v>
      </c>
    </row>
    <row r="32" spans="1:15" x14ac:dyDescent="0.3">
      <c r="A32" s="177"/>
      <c r="B32" s="117" t="s">
        <v>18</v>
      </c>
      <c r="C32" s="2" t="s">
        <v>11</v>
      </c>
      <c r="D32" s="24">
        <v>300000</v>
      </c>
      <c r="E32" s="24">
        <v>-20000</v>
      </c>
      <c r="F32" s="24"/>
      <c r="G32" s="24"/>
      <c r="H32" s="28"/>
      <c r="I32" s="28"/>
      <c r="J32" s="24"/>
      <c r="K32" s="24"/>
      <c r="L32" s="24"/>
      <c r="M32" s="24">
        <f t="shared" si="0"/>
        <v>280000</v>
      </c>
      <c r="N32" s="33">
        <v>185230</v>
      </c>
      <c r="O32" s="14">
        <f t="shared" si="1"/>
        <v>94770</v>
      </c>
    </row>
    <row r="33" spans="1:15" ht="15" thickBot="1" x14ac:dyDescent="0.35">
      <c r="A33" s="198"/>
      <c r="B33" s="116" t="s">
        <v>21</v>
      </c>
      <c r="C33" s="5" t="s">
        <v>11</v>
      </c>
      <c r="D33" s="92">
        <v>40000</v>
      </c>
      <c r="E33" s="92">
        <v>20000</v>
      </c>
      <c r="F33" s="92"/>
      <c r="G33" s="92"/>
      <c r="H33" s="92"/>
      <c r="I33" s="92"/>
      <c r="J33" s="92"/>
      <c r="K33" s="89"/>
      <c r="L33" s="89"/>
      <c r="M33" s="89">
        <f t="shared" si="0"/>
        <v>60000</v>
      </c>
      <c r="N33" s="130">
        <v>25385</v>
      </c>
      <c r="O33" s="22">
        <f t="shared" si="1"/>
        <v>34615</v>
      </c>
    </row>
    <row r="34" spans="1:15" ht="15" thickTop="1" x14ac:dyDescent="0.3">
      <c r="A34" s="195" t="s">
        <v>25</v>
      </c>
      <c r="B34" s="197" t="s">
        <v>24</v>
      </c>
      <c r="C34" s="10" t="s">
        <v>7</v>
      </c>
      <c r="D34" s="90">
        <v>2029195</v>
      </c>
      <c r="E34" s="90"/>
      <c r="F34" s="90"/>
      <c r="G34" s="90"/>
      <c r="H34" s="90"/>
      <c r="I34" s="90"/>
      <c r="J34" s="90"/>
      <c r="K34" s="91"/>
      <c r="L34" s="91"/>
      <c r="M34" s="91">
        <f t="shared" si="0"/>
        <v>2029195</v>
      </c>
      <c r="N34" s="128">
        <v>660849</v>
      </c>
      <c r="O34" s="16">
        <f t="shared" si="1"/>
        <v>1368346</v>
      </c>
    </row>
    <row r="35" spans="1:15" x14ac:dyDescent="0.3">
      <c r="A35" s="196"/>
      <c r="B35" s="181"/>
      <c r="C35" s="8" t="s">
        <v>134</v>
      </c>
      <c r="D35" s="91">
        <v>0</v>
      </c>
      <c r="E35" s="91"/>
      <c r="F35" s="91"/>
      <c r="G35" s="91"/>
      <c r="H35" s="91"/>
      <c r="I35" s="91"/>
      <c r="J35" s="91"/>
      <c r="K35" s="91"/>
      <c r="L35" s="91"/>
      <c r="M35" s="24">
        <f t="shared" si="0"/>
        <v>0</v>
      </c>
      <c r="N35" s="129">
        <v>0</v>
      </c>
      <c r="O35" s="14">
        <f t="shared" si="1"/>
        <v>0</v>
      </c>
    </row>
    <row r="36" spans="1:15" x14ac:dyDescent="0.3">
      <c r="A36" s="177"/>
      <c r="B36" s="179"/>
      <c r="C36" s="2" t="s">
        <v>8</v>
      </c>
      <c r="D36" s="24">
        <v>1544975</v>
      </c>
      <c r="E36" s="24"/>
      <c r="F36" s="24"/>
      <c r="G36" s="24"/>
      <c r="H36" s="24"/>
      <c r="I36" s="24"/>
      <c r="J36" s="24"/>
      <c r="K36" s="24"/>
      <c r="L36" s="24"/>
      <c r="M36" s="24">
        <f t="shared" si="0"/>
        <v>1544975</v>
      </c>
      <c r="N36" s="33">
        <v>1544975</v>
      </c>
      <c r="O36" s="14">
        <f t="shared" si="1"/>
        <v>0</v>
      </c>
    </row>
    <row r="37" spans="1:15" x14ac:dyDescent="0.3">
      <c r="A37" s="177"/>
      <c r="B37" s="117" t="s">
        <v>10</v>
      </c>
      <c r="C37" s="2" t="s">
        <v>11</v>
      </c>
      <c r="D37" s="24">
        <v>360000</v>
      </c>
      <c r="E37" s="24"/>
      <c r="F37" s="24"/>
      <c r="G37" s="24"/>
      <c r="H37" s="24"/>
      <c r="I37" s="24"/>
      <c r="J37" s="24"/>
      <c r="K37" s="24"/>
      <c r="L37" s="24"/>
      <c r="M37" s="24">
        <f t="shared" ref="M37:M68" si="2">D37+E37+F37+G37+H37+J37+I37+K37+L37</f>
        <v>360000</v>
      </c>
      <c r="N37" s="33">
        <v>133540</v>
      </c>
      <c r="O37" s="21">
        <f t="shared" si="1"/>
        <v>226460</v>
      </c>
    </row>
    <row r="38" spans="1:15" x14ac:dyDescent="0.3">
      <c r="A38" s="177"/>
      <c r="B38" s="4" t="s">
        <v>18</v>
      </c>
      <c r="C38" s="2" t="s">
        <v>11</v>
      </c>
      <c r="D38" s="24">
        <v>800000</v>
      </c>
      <c r="E38" s="24"/>
      <c r="F38" s="24"/>
      <c r="G38" s="24"/>
      <c r="H38" s="24"/>
      <c r="I38" s="24"/>
      <c r="J38" s="24"/>
      <c r="K38" s="24"/>
      <c r="L38" s="24"/>
      <c r="M38" s="24">
        <f t="shared" si="2"/>
        <v>800000</v>
      </c>
      <c r="N38" s="33">
        <v>435495</v>
      </c>
      <c r="O38" s="14">
        <f t="shared" si="1"/>
        <v>364505</v>
      </c>
    </row>
    <row r="39" spans="1:15" x14ac:dyDescent="0.3">
      <c r="A39" s="177"/>
      <c r="B39" s="179" t="s">
        <v>21</v>
      </c>
      <c r="C39" s="2" t="s">
        <v>11</v>
      </c>
      <c r="D39" s="24">
        <v>0</v>
      </c>
      <c r="E39" s="24"/>
      <c r="F39" s="24"/>
      <c r="G39" s="24"/>
      <c r="H39" s="24"/>
      <c r="I39" s="24"/>
      <c r="J39" s="24"/>
      <c r="K39" s="24"/>
      <c r="L39" s="24"/>
      <c r="M39" s="24">
        <f t="shared" si="2"/>
        <v>0</v>
      </c>
      <c r="N39" s="33">
        <v>0</v>
      </c>
      <c r="O39" s="14">
        <f t="shared" si="1"/>
        <v>0</v>
      </c>
    </row>
    <row r="40" spans="1:15" ht="15" thickBot="1" x14ac:dyDescent="0.35">
      <c r="A40" s="178"/>
      <c r="B40" s="182"/>
      <c r="C40" s="9" t="s">
        <v>14</v>
      </c>
      <c r="D40" s="89">
        <v>0</v>
      </c>
      <c r="E40" s="89"/>
      <c r="F40" s="89"/>
      <c r="G40" s="89"/>
      <c r="H40" s="89"/>
      <c r="I40" s="89"/>
      <c r="J40" s="89"/>
      <c r="K40" s="89"/>
      <c r="L40" s="89"/>
      <c r="M40" s="89">
        <f t="shared" si="2"/>
        <v>0</v>
      </c>
      <c r="N40" s="127">
        <v>0</v>
      </c>
      <c r="O40" s="15">
        <f t="shared" si="1"/>
        <v>0</v>
      </c>
    </row>
    <row r="41" spans="1:15" ht="15" thickTop="1" x14ac:dyDescent="0.3">
      <c r="A41" s="195" t="s">
        <v>26</v>
      </c>
      <c r="B41" s="197" t="s">
        <v>6</v>
      </c>
      <c r="C41" s="10" t="s">
        <v>7</v>
      </c>
      <c r="D41" s="90">
        <v>1063967</v>
      </c>
      <c r="E41" s="90"/>
      <c r="F41" s="90"/>
      <c r="G41" s="90"/>
      <c r="H41" s="90"/>
      <c r="I41" s="91"/>
      <c r="J41" s="91"/>
      <c r="K41" s="91"/>
      <c r="L41" s="91"/>
      <c r="M41" s="91">
        <f t="shared" si="2"/>
        <v>1063967</v>
      </c>
      <c r="N41" s="128">
        <v>443320</v>
      </c>
      <c r="O41" s="16">
        <f t="shared" si="1"/>
        <v>620647</v>
      </c>
    </row>
    <row r="42" spans="1:15" x14ac:dyDescent="0.3">
      <c r="A42" s="196"/>
      <c r="B42" s="181"/>
      <c r="C42" s="8" t="s">
        <v>134</v>
      </c>
      <c r="D42" s="91">
        <v>0</v>
      </c>
      <c r="E42" s="91"/>
      <c r="F42" s="91"/>
      <c r="G42" s="91"/>
      <c r="H42" s="91"/>
      <c r="I42" s="91"/>
      <c r="J42" s="91"/>
      <c r="K42" s="91"/>
      <c r="L42" s="91"/>
      <c r="M42" s="24">
        <f t="shared" si="2"/>
        <v>0</v>
      </c>
      <c r="N42" s="129">
        <v>0</v>
      </c>
      <c r="O42" s="14">
        <f t="shared" si="1"/>
        <v>0</v>
      </c>
    </row>
    <row r="43" spans="1:15" x14ac:dyDescent="0.3">
      <c r="A43" s="177"/>
      <c r="B43" s="179"/>
      <c r="C43" s="2" t="s">
        <v>8</v>
      </c>
      <c r="D43" s="24">
        <v>386388</v>
      </c>
      <c r="E43" s="24"/>
      <c r="F43" s="24"/>
      <c r="G43" s="24"/>
      <c r="H43" s="24"/>
      <c r="I43" s="24"/>
      <c r="J43" s="24"/>
      <c r="K43" s="24"/>
      <c r="L43" s="24"/>
      <c r="M43" s="24">
        <f t="shared" si="2"/>
        <v>386388</v>
      </c>
      <c r="N43" s="33">
        <v>386388</v>
      </c>
      <c r="O43" s="14">
        <f t="shared" si="1"/>
        <v>0</v>
      </c>
    </row>
    <row r="44" spans="1:15" x14ac:dyDescent="0.3">
      <c r="A44" s="177"/>
      <c r="B44" s="117" t="s">
        <v>18</v>
      </c>
      <c r="C44" s="2" t="s">
        <v>11</v>
      </c>
      <c r="D44" s="24">
        <v>400000</v>
      </c>
      <c r="E44" s="24"/>
      <c r="F44" s="24"/>
      <c r="G44" s="24"/>
      <c r="H44" s="24"/>
      <c r="I44" s="24"/>
      <c r="J44" s="24"/>
      <c r="K44" s="24"/>
      <c r="L44" s="24"/>
      <c r="M44" s="24">
        <f t="shared" si="2"/>
        <v>400000</v>
      </c>
      <c r="N44" s="33">
        <v>229715</v>
      </c>
      <c r="O44" s="14">
        <f t="shared" si="1"/>
        <v>170285</v>
      </c>
    </row>
    <row r="45" spans="1:15" x14ac:dyDescent="0.3">
      <c r="A45" s="177"/>
      <c r="B45" s="179" t="s">
        <v>21</v>
      </c>
      <c r="C45" s="2" t="s">
        <v>19</v>
      </c>
      <c r="D45" s="24">
        <v>0</v>
      </c>
      <c r="E45" s="24"/>
      <c r="F45" s="24"/>
      <c r="G45" s="24"/>
      <c r="H45" s="24"/>
      <c r="I45" s="24"/>
      <c r="J45" s="24"/>
      <c r="K45" s="24"/>
      <c r="L45" s="24"/>
      <c r="M45" s="24">
        <f t="shared" si="2"/>
        <v>0</v>
      </c>
      <c r="N45" s="33">
        <v>0</v>
      </c>
      <c r="O45" s="14">
        <f t="shared" si="1"/>
        <v>0</v>
      </c>
    </row>
    <row r="46" spans="1:15" x14ac:dyDescent="0.3">
      <c r="A46" s="177"/>
      <c r="B46" s="179"/>
      <c r="C46" s="2" t="s">
        <v>11</v>
      </c>
      <c r="D46" s="24">
        <v>0</v>
      </c>
      <c r="E46" s="24"/>
      <c r="F46" s="24"/>
      <c r="G46" s="24"/>
      <c r="H46" s="24"/>
      <c r="I46" s="24"/>
      <c r="J46" s="24"/>
      <c r="K46" s="24"/>
      <c r="L46" s="24"/>
      <c r="M46" s="24">
        <f t="shared" si="2"/>
        <v>0</v>
      </c>
      <c r="N46" s="33">
        <v>0</v>
      </c>
      <c r="O46" s="14">
        <f t="shared" si="1"/>
        <v>0</v>
      </c>
    </row>
    <row r="47" spans="1:15" ht="15" thickBot="1" x14ac:dyDescent="0.35">
      <c r="A47" s="178"/>
      <c r="B47" s="182"/>
      <c r="C47" s="9" t="s">
        <v>14</v>
      </c>
      <c r="D47" s="89">
        <v>0</v>
      </c>
      <c r="E47" s="89"/>
      <c r="F47" s="89"/>
      <c r="G47" s="89"/>
      <c r="H47" s="89"/>
      <c r="I47" s="89"/>
      <c r="J47" s="89"/>
      <c r="K47" s="89"/>
      <c r="L47" s="89"/>
      <c r="M47" s="89">
        <f t="shared" si="2"/>
        <v>0</v>
      </c>
      <c r="N47" s="127">
        <v>0</v>
      </c>
      <c r="O47" s="15">
        <f t="shared" si="1"/>
        <v>0</v>
      </c>
    </row>
    <row r="48" spans="1:15" ht="15" thickTop="1" x14ac:dyDescent="0.3">
      <c r="A48" s="196" t="s">
        <v>27</v>
      </c>
      <c r="B48" s="181" t="s">
        <v>6</v>
      </c>
      <c r="C48" s="8" t="s">
        <v>7</v>
      </c>
      <c r="D48" s="91">
        <v>1135967</v>
      </c>
      <c r="E48" s="91"/>
      <c r="F48" s="91"/>
      <c r="G48" s="91"/>
      <c r="H48" s="91"/>
      <c r="I48" s="91"/>
      <c r="J48" s="91"/>
      <c r="K48" s="91"/>
      <c r="L48" s="91"/>
      <c r="M48" s="91">
        <f t="shared" si="2"/>
        <v>1135967</v>
      </c>
      <c r="N48" s="129">
        <v>461137</v>
      </c>
      <c r="O48" s="16">
        <f t="shared" si="1"/>
        <v>674830</v>
      </c>
    </row>
    <row r="49" spans="1:15" x14ac:dyDescent="0.3">
      <c r="A49" s="177"/>
      <c r="B49" s="179"/>
      <c r="C49" s="2" t="s">
        <v>8</v>
      </c>
      <c r="D49" s="24">
        <v>1047311</v>
      </c>
      <c r="E49" s="24"/>
      <c r="F49" s="24"/>
      <c r="G49" s="24"/>
      <c r="H49" s="24"/>
      <c r="I49" s="24"/>
      <c r="J49" s="24"/>
      <c r="K49" s="24"/>
      <c r="L49" s="24"/>
      <c r="M49" s="24">
        <f t="shared" si="2"/>
        <v>1047311</v>
      </c>
      <c r="N49" s="33">
        <v>1047311</v>
      </c>
      <c r="O49" s="14">
        <f t="shared" si="1"/>
        <v>0</v>
      </c>
    </row>
    <row r="50" spans="1:15" ht="15" thickBot="1" x14ac:dyDescent="0.35">
      <c r="A50" s="198"/>
      <c r="B50" s="120" t="s">
        <v>18</v>
      </c>
      <c r="C50" s="5" t="s">
        <v>11</v>
      </c>
      <c r="D50" s="92">
        <v>420000</v>
      </c>
      <c r="E50" s="92"/>
      <c r="F50" s="113"/>
      <c r="G50" s="92"/>
      <c r="H50" s="92"/>
      <c r="I50" s="92"/>
      <c r="J50" s="92"/>
      <c r="K50" s="89"/>
      <c r="L50" s="89"/>
      <c r="M50" s="89">
        <f t="shared" si="2"/>
        <v>420000</v>
      </c>
      <c r="N50" s="130">
        <v>197143</v>
      </c>
      <c r="O50" s="22">
        <f t="shared" si="1"/>
        <v>222857</v>
      </c>
    </row>
    <row r="51" spans="1:15" ht="15" thickTop="1" x14ac:dyDescent="0.3">
      <c r="A51" s="195" t="s">
        <v>28</v>
      </c>
      <c r="B51" s="197" t="s">
        <v>6</v>
      </c>
      <c r="C51" s="10" t="s">
        <v>7</v>
      </c>
      <c r="D51" s="90">
        <v>1063967</v>
      </c>
      <c r="E51" s="90"/>
      <c r="F51" s="90"/>
      <c r="G51" s="90"/>
      <c r="H51" s="90"/>
      <c r="I51" s="90"/>
      <c r="J51" s="90"/>
      <c r="K51" s="91"/>
      <c r="L51" s="91"/>
      <c r="M51" s="91">
        <f t="shared" si="2"/>
        <v>1063967</v>
      </c>
      <c r="N51" s="128">
        <v>443320</v>
      </c>
      <c r="O51" s="16">
        <f t="shared" si="1"/>
        <v>620647</v>
      </c>
    </row>
    <row r="52" spans="1:15" x14ac:dyDescent="0.3">
      <c r="A52" s="177"/>
      <c r="B52" s="179"/>
      <c r="C52" s="2" t="s">
        <v>8</v>
      </c>
      <c r="D52" s="24">
        <v>347113</v>
      </c>
      <c r="E52" s="24"/>
      <c r="F52" s="24"/>
      <c r="G52" s="24"/>
      <c r="H52" s="24"/>
      <c r="I52" s="24"/>
      <c r="J52" s="24"/>
      <c r="K52" s="24"/>
      <c r="L52" s="24"/>
      <c r="M52" s="24">
        <f t="shared" si="2"/>
        <v>347113</v>
      </c>
      <c r="N52" s="33">
        <v>347113</v>
      </c>
      <c r="O52" s="14">
        <f t="shared" si="1"/>
        <v>0</v>
      </c>
    </row>
    <row r="53" spans="1:15" ht="15" thickBot="1" x14ac:dyDescent="0.35">
      <c r="A53" s="178"/>
      <c r="B53" s="119" t="s">
        <v>18</v>
      </c>
      <c r="C53" s="9" t="s">
        <v>11</v>
      </c>
      <c r="D53" s="89">
        <v>500000</v>
      </c>
      <c r="E53" s="89"/>
      <c r="F53" s="89"/>
      <c r="G53" s="89"/>
      <c r="H53" s="89"/>
      <c r="I53" s="89"/>
      <c r="J53" s="89"/>
      <c r="K53" s="89"/>
      <c r="L53" s="89"/>
      <c r="M53" s="89">
        <f t="shared" si="2"/>
        <v>500000</v>
      </c>
      <c r="N53" s="127">
        <v>255100</v>
      </c>
      <c r="O53" s="22">
        <f t="shared" si="1"/>
        <v>244900</v>
      </c>
    </row>
    <row r="54" spans="1:15" ht="15" thickTop="1" x14ac:dyDescent="0.3">
      <c r="A54" s="196" t="s">
        <v>29</v>
      </c>
      <c r="B54" s="181" t="s">
        <v>6</v>
      </c>
      <c r="C54" s="8" t="s">
        <v>7</v>
      </c>
      <c r="D54" s="91">
        <v>0</v>
      </c>
      <c r="E54" s="91"/>
      <c r="F54" s="91"/>
      <c r="G54" s="91"/>
      <c r="H54" s="91"/>
      <c r="I54" s="91"/>
      <c r="J54" s="91"/>
      <c r="K54" s="91"/>
      <c r="L54" s="91"/>
      <c r="M54" s="91">
        <f t="shared" si="2"/>
        <v>0</v>
      </c>
      <c r="N54" s="129">
        <v>0</v>
      </c>
      <c r="O54" s="16">
        <f t="shared" si="1"/>
        <v>0</v>
      </c>
    </row>
    <row r="55" spans="1:15" x14ac:dyDescent="0.3">
      <c r="A55" s="177"/>
      <c r="B55" s="179"/>
      <c r="C55" s="2" t="s">
        <v>8</v>
      </c>
      <c r="D55" s="24">
        <v>885466</v>
      </c>
      <c r="E55" s="24"/>
      <c r="F55" s="24"/>
      <c r="G55" s="24"/>
      <c r="H55" s="24"/>
      <c r="I55" s="24"/>
      <c r="J55" s="24"/>
      <c r="K55" s="24"/>
      <c r="L55" s="24"/>
      <c r="M55" s="24">
        <f t="shared" si="2"/>
        <v>885466</v>
      </c>
      <c r="N55" s="33">
        <v>885466</v>
      </c>
      <c r="O55" s="14">
        <f t="shared" si="1"/>
        <v>0</v>
      </c>
    </row>
    <row r="56" spans="1:15" ht="15" thickBot="1" x14ac:dyDescent="0.35">
      <c r="A56" s="198"/>
      <c r="B56" s="116" t="s">
        <v>18</v>
      </c>
      <c r="C56" s="5" t="s">
        <v>11</v>
      </c>
      <c r="D56" s="92">
        <v>500000</v>
      </c>
      <c r="E56" s="92"/>
      <c r="F56" s="92"/>
      <c r="G56" s="92"/>
      <c r="H56" s="92"/>
      <c r="I56" s="92"/>
      <c r="J56" s="92"/>
      <c r="K56" s="89"/>
      <c r="L56" s="89"/>
      <c r="M56" s="89">
        <f t="shared" si="2"/>
        <v>500000</v>
      </c>
      <c r="N56" s="130">
        <v>281925</v>
      </c>
      <c r="O56" s="15">
        <f t="shared" si="1"/>
        <v>218075</v>
      </c>
    </row>
    <row r="57" spans="1:15" ht="15" thickTop="1" x14ac:dyDescent="0.3">
      <c r="A57" s="195" t="s">
        <v>30</v>
      </c>
      <c r="B57" s="197" t="s">
        <v>24</v>
      </c>
      <c r="C57" s="10" t="s">
        <v>7</v>
      </c>
      <c r="D57" s="90">
        <v>258803</v>
      </c>
      <c r="E57" s="90"/>
      <c r="F57" s="90"/>
      <c r="G57" s="90"/>
      <c r="H57" s="90"/>
      <c r="I57" s="90"/>
      <c r="J57" s="90"/>
      <c r="K57" s="91"/>
      <c r="L57" s="91"/>
      <c r="M57" s="91">
        <f t="shared" si="2"/>
        <v>258803</v>
      </c>
      <c r="N57" s="128">
        <v>64701</v>
      </c>
      <c r="O57" s="16">
        <f t="shared" si="1"/>
        <v>194102</v>
      </c>
    </row>
    <row r="58" spans="1:15" x14ac:dyDescent="0.3">
      <c r="A58" s="196"/>
      <c r="B58" s="181"/>
      <c r="C58" s="8" t="s">
        <v>134</v>
      </c>
      <c r="D58" s="91">
        <v>0</v>
      </c>
      <c r="E58" s="91"/>
      <c r="F58" s="91"/>
      <c r="G58" s="91"/>
      <c r="H58" s="91"/>
      <c r="I58" s="91"/>
      <c r="J58" s="91"/>
      <c r="K58" s="91"/>
      <c r="L58" s="91"/>
      <c r="M58" s="24">
        <f t="shared" si="2"/>
        <v>0</v>
      </c>
      <c r="N58" s="129">
        <v>0</v>
      </c>
      <c r="O58" s="14">
        <f t="shared" si="1"/>
        <v>0</v>
      </c>
    </row>
    <row r="59" spans="1:15" x14ac:dyDescent="0.3">
      <c r="A59" s="177"/>
      <c r="B59" s="179"/>
      <c r="C59" s="2" t="s">
        <v>8</v>
      </c>
      <c r="D59" s="24">
        <v>338512</v>
      </c>
      <c r="E59" s="24"/>
      <c r="F59" s="24"/>
      <c r="G59" s="24"/>
      <c r="H59" s="24"/>
      <c r="I59" s="24"/>
      <c r="J59" s="24"/>
      <c r="K59" s="24"/>
      <c r="L59" s="24"/>
      <c r="M59" s="24">
        <f t="shared" si="2"/>
        <v>338512</v>
      </c>
      <c r="N59" s="33">
        <v>338512</v>
      </c>
      <c r="O59" s="14">
        <f t="shared" si="1"/>
        <v>0</v>
      </c>
    </row>
    <row r="60" spans="1:15" x14ac:dyDescent="0.3">
      <c r="A60" s="198"/>
      <c r="B60" s="117" t="s">
        <v>18</v>
      </c>
      <c r="C60" s="2" t="s">
        <v>11</v>
      </c>
      <c r="D60" s="24">
        <v>600000</v>
      </c>
      <c r="E60" s="92"/>
      <c r="F60" s="92"/>
      <c r="G60" s="92"/>
      <c r="H60" s="92"/>
      <c r="I60" s="92"/>
      <c r="J60" s="92"/>
      <c r="K60" s="92"/>
      <c r="L60" s="92"/>
      <c r="M60" s="24">
        <f t="shared" si="2"/>
        <v>600000</v>
      </c>
      <c r="N60" s="130">
        <v>278295</v>
      </c>
      <c r="O60" s="21">
        <f t="shared" si="1"/>
        <v>321705</v>
      </c>
    </row>
    <row r="61" spans="1:15" x14ac:dyDescent="0.3">
      <c r="A61" s="198"/>
      <c r="B61" s="180" t="s">
        <v>21</v>
      </c>
      <c r="C61" s="31" t="s">
        <v>19</v>
      </c>
      <c r="D61" s="92">
        <v>0</v>
      </c>
      <c r="E61" s="92"/>
      <c r="F61" s="92"/>
      <c r="G61" s="92"/>
      <c r="H61" s="92"/>
      <c r="I61" s="92"/>
      <c r="J61" s="92"/>
      <c r="K61" s="92"/>
      <c r="L61" s="92"/>
      <c r="M61" s="24">
        <f t="shared" si="2"/>
        <v>0</v>
      </c>
      <c r="N61" s="130">
        <v>0</v>
      </c>
      <c r="O61" s="17">
        <f t="shared" si="1"/>
        <v>0</v>
      </c>
    </row>
    <row r="62" spans="1:15" x14ac:dyDescent="0.3">
      <c r="A62" s="198"/>
      <c r="B62" s="199"/>
      <c r="C62" s="31" t="s">
        <v>14</v>
      </c>
      <c r="D62" s="92">
        <v>0</v>
      </c>
      <c r="E62" s="92"/>
      <c r="F62" s="92"/>
      <c r="G62" s="92"/>
      <c r="H62" s="92"/>
      <c r="I62" s="92"/>
      <c r="J62" s="92"/>
      <c r="K62" s="92"/>
      <c r="L62" s="92"/>
      <c r="M62" s="24">
        <f t="shared" si="2"/>
        <v>0</v>
      </c>
      <c r="N62" s="130">
        <v>0</v>
      </c>
      <c r="O62" s="46">
        <f t="shared" si="1"/>
        <v>0</v>
      </c>
    </row>
    <row r="63" spans="1:15" ht="15" thickBot="1" x14ac:dyDescent="0.35">
      <c r="A63" s="178"/>
      <c r="B63" s="200"/>
      <c r="C63" s="9" t="s">
        <v>11</v>
      </c>
      <c r="D63" s="89">
        <v>25000</v>
      </c>
      <c r="E63" s="89"/>
      <c r="F63" s="89"/>
      <c r="G63" s="89"/>
      <c r="H63" s="89"/>
      <c r="I63" s="89"/>
      <c r="J63" s="89"/>
      <c r="K63" s="89"/>
      <c r="L63" s="89"/>
      <c r="M63" s="89">
        <f t="shared" si="2"/>
        <v>25000</v>
      </c>
      <c r="N63" s="127">
        <v>11705</v>
      </c>
      <c r="O63" s="22">
        <f t="shared" si="1"/>
        <v>13295</v>
      </c>
    </row>
    <row r="64" spans="1:15" ht="15" thickTop="1" x14ac:dyDescent="0.3">
      <c r="A64" s="196" t="s">
        <v>31</v>
      </c>
      <c r="B64" s="181" t="s">
        <v>6</v>
      </c>
      <c r="C64" s="8" t="s">
        <v>7</v>
      </c>
      <c r="D64" s="91">
        <v>0</v>
      </c>
      <c r="E64" s="91"/>
      <c r="F64" s="91"/>
      <c r="G64" s="91"/>
      <c r="H64" s="91"/>
      <c r="I64" s="91"/>
      <c r="J64" s="91"/>
      <c r="K64" s="91"/>
      <c r="L64" s="91"/>
      <c r="M64" s="91">
        <f t="shared" si="2"/>
        <v>0</v>
      </c>
      <c r="N64" s="129">
        <v>0</v>
      </c>
      <c r="O64" s="16">
        <f t="shared" si="1"/>
        <v>0</v>
      </c>
    </row>
    <row r="65" spans="1:16" x14ac:dyDescent="0.3">
      <c r="A65" s="196"/>
      <c r="B65" s="181"/>
      <c r="C65" s="8" t="s">
        <v>134</v>
      </c>
      <c r="D65" s="91">
        <v>0</v>
      </c>
      <c r="E65" s="91"/>
      <c r="F65" s="91"/>
      <c r="G65" s="91"/>
      <c r="H65" s="91"/>
      <c r="I65" s="91"/>
      <c r="J65" s="91"/>
      <c r="K65" s="91"/>
      <c r="L65" s="91"/>
      <c r="M65" s="24">
        <f t="shared" si="2"/>
        <v>0</v>
      </c>
      <c r="N65" s="129">
        <v>0</v>
      </c>
      <c r="O65" s="14">
        <f t="shared" si="1"/>
        <v>0</v>
      </c>
    </row>
    <row r="66" spans="1:16" x14ac:dyDescent="0.3">
      <c r="A66" s="177"/>
      <c r="B66" s="179"/>
      <c r="C66" s="2" t="s">
        <v>8</v>
      </c>
      <c r="D66" s="24">
        <v>606251</v>
      </c>
      <c r="E66" s="24"/>
      <c r="F66" s="24"/>
      <c r="G66" s="24"/>
      <c r="H66" s="24"/>
      <c r="I66" s="24"/>
      <c r="J66" s="24"/>
      <c r="K66" s="24"/>
      <c r="L66" s="24"/>
      <c r="M66" s="24">
        <f t="shared" si="2"/>
        <v>606251</v>
      </c>
      <c r="N66" s="33">
        <v>606251</v>
      </c>
      <c r="O66" s="14">
        <f t="shared" si="1"/>
        <v>0</v>
      </c>
    </row>
    <row r="67" spans="1:16" x14ac:dyDescent="0.3">
      <c r="A67" s="177"/>
      <c r="B67" s="4" t="s">
        <v>18</v>
      </c>
      <c r="C67" s="2" t="s">
        <v>11</v>
      </c>
      <c r="D67" s="24">
        <v>650000</v>
      </c>
      <c r="E67" s="24">
        <v>-20000</v>
      </c>
      <c r="F67" s="24"/>
      <c r="G67" s="24"/>
      <c r="H67" s="24"/>
      <c r="I67" s="24"/>
      <c r="J67" s="24"/>
      <c r="K67" s="24"/>
      <c r="L67" s="24"/>
      <c r="M67" s="24">
        <f t="shared" si="2"/>
        <v>630000</v>
      </c>
      <c r="N67" s="33">
        <v>346745</v>
      </c>
      <c r="O67" s="21">
        <f t="shared" si="1"/>
        <v>283255</v>
      </c>
    </row>
    <row r="68" spans="1:16" ht="15" thickBot="1" x14ac:dyDescent="0.35">
      <c r="A68" s="198"/>
      <c r="B68" s="120" t="s">
        <v>21</v>
      </c>
      <c r="C68" s="5" t="s">
        <v>11</v>
      </c>
      <c r="D68" s="92">
        <v>80000</v>
      </c>
      <c r="E68" s="92">
        <v>20000</v>
      </c>
      <c r="F68" s="92"/>
      <c r="G68" s="92"/>
      <c r="H68" s="92"/>
      <c r="I68" s="92"/>
      <c r="J68" s="92"/>
      <c r="K68" s="89"/>
      <c r="L68" s="89"/>
      <c r="M68" s="89">
        <f t="shared" si="2"/>
        <v>100000</v>
      </c>
      <c r="N68" s="130">
        <v>51265</v>
      </c>
      <c r="O68" s="15">
        <f t="shared" si="1"/>
        <v>48735</v>
      </c>
    </row>
    <row r="69" spans="1:16" ht="15" thickTop="1" x14ac:dyDescent="0.3">
      <c r="A69" s="195" t="s">
        <v>32</v>
      </c>
      <c r="B69" s="197" t="s">
        <v>6</v>
      </c>
      <c r="C69" s="10" t="s">
        <v>7</v>
      </c>
      <c r="D69" s="90">
        <v>1202431</v>
      </c>
      <c r="E69" s="90"/>
      <c r="F69" s="90"/>
      <c r="G69" s="90"/>
      <c r="H69" s="90"/>
      <c r="I69" s="90"/>
      <c r="J69" s="90"/>
      <c r="K69" s="91"/>
      <c r="L69" s="91"/>
      <c r="M69" s="91">
        <f t="shared" ref="M69:M100" si="3">D69+E69+F69+G69+H69+J69+I69+K69+L69</f>
        <v>1202431</v>
      </c>
      <c r="N69" s="128">
        <v>477756</v>
      </c>
      <c r="O69" s="16">
        <f t="shared" si="1"/>
        <v>724675</v>
      </c>
    </row>
    <row r="70" spans="1:16" x14ac:dyDescent="0.3">
      <c r="A70" s="177"/>
      <c r="B70" s="179"/>
      <c r="C70" s="2" t="s">
        <v>8</v>
      </c>
      <c r="D70" s="24">
        <v>68564</v>
      </c>
      <c r="E70" s="24"/>
      <c r="F70" s="24"/>
      <c r="G70" s="24"/>
      <c r="H70" s="24"/>
      <c r="I70" s="24"/>
      <c r="J70" s="24"/>
      <c r="K70" s="24"/>
      <c r="L70" s="24"/>
      <c r="M70" s="24">
        <f t="shared" si="3"/>
        <v>68564</v>
      </c>
      <c r="N70" s="33">
        <v>68564</v>
      </c>
      <c r="O70" s="14">
        <f t="shared" si="1"/>
        <v>0</v>
      </c>
    </row>
    <row r="71" spans="1:16" ht="15" thickBot="1" x14ac:dyDescent="0.35">
      <c r="A71" s="178"/>
      <c r="B71" s="119" t="s">
        <v>18</v>
      </c>
      <c r="C71" s="9" t="s">
        <v>11</v>
      </c>
      <c r="D71" s="89">
        <v>750000</v>
      </c>
      <c r="E71" s="89"/>
      <c r="F71" s="89"/>
      <c r="G71" s="89"/>
      <c r="H71" s="89"/>
      <c r="I71" s="89"/>
      <c r="J71" s="89"/>
      <c r="K71" s="89"/>
      <c r="L71" s="89"/>
      <c r="M71" s="89">
        <f t="shared" si="3"/>
        <v>750000</v>
      </c>
      <c r="N71" s="127">
        <v>406380</v>
      </c>
      <c r="O71" s="15">
        <f t="shared" si="1"/>
        <v>343620</v>
      </c>
    </row>
    <row r="72" spans="1:16" ht="15" thickTop="1" x14ac:dyDescent="0.3">
      <c r="A72" s="195" t="s">
        <v>33</v>
      </c>
      <c r="B72" s="197" t="s">
        <v>6</v>
      </c>
      <c r="C72" s="10" t="s">
        <v>7</v>
      </c>
      <c r="D72" s="90">
        <v>0</v>
      </c>
      <c r="E72" s="90"/>
      <c r="F72" s="90"/>
      <c r="G72" s="90"/>
      <c r="H72" s="90"/>
      <c r="I72" s="91"/>
      <c r="J72" s="91"/>
      <c r="K72" s="91"/>
      <c r="L72" s="91"/>
      <c r="M72" s="91">
        <f t="shared" si="3"/>
        <v>0</v>
      </c>
      <c r="N72" s="128">
        <v>0</v>
      </c>
      <c r="O72" s="16">
        <f t="shared" ref="O72:O142" si="4">M72-N72</f>
        <v>0</v>
      </c>
    </row>
    <row r="73" spans="1:16" x14ac:dyDescent="0.3">
      <c r="A73" s="177"/>
      <c r="B73" s="179"/>
      <c r="C73" s="2" t="s">
        <v>8</v>
      </c>
      <c r="D73" s="24">
        <v>1027979</v>
      </c>
      <c r="E73" s="24"/>
      <c r="F73" s="24"/>
      <c r="G73" s="24"/>
      <c r="H73" s="24"/>
      <c r="I73" s="24"/>
      <c r="J73" s="24"/>
      <c r="K73" s="24"/>
      <c r="L73" s="24"/>
      <c r="M73" s="24">
        <f t="shared" si="3"/>
        <v>1027979</v>
      </c>
      <c r="N73" s="33">
        <v>1027979</v>
      </c>
      <c r="O73" s="14">
        <f t="shared" si="4"/>
        <v>0</v>
      </c>
    </row>
    <row r="74" spans="1:16" s="52" customFormat="1" x14ac:dyDescent="0.3">
      <c r="A74" s="177"/>
      <c r="B74" s="82" t="s">
        <v>18</v>
      </c>
      <c r="C74" s="79" t="s">
        <v>11</v>
      </c>
      <c r="D74" s="50">
        <v>600000</v>
      </c>
      <c r="E74" s="51"/>
      <c r="F74" s="50"/>
      <c r="G74" s="50"/>
      <c r="H74" s="50"/>
      <c r="I74" s="50"/>
      <c r="J74" s="50"/>
      <c r="K74" s="50"/>
      <c r="L74" s="50"/>
      <c r="M74" s="24">
        <f t="shared" si="3"/>
        <v>600000</v>
      </c>
      <c r="N74" s="33">
        <v>308403</v>
      </c>
      <c r="O74" s="33">
        <f t="shared" si="4"/>
        <v>291597</v>
      </c>
      <c r="P74" s="80"/>
    </row>
    <row r="75" spans="1:16" s="52" customFormat="1" ht="15" thickBot="1" x14ac:dyDescent="0.35">
      <c r="A75" s="178"/>
      <c r="B75" s="83" t="s">
        <v>21</v>
      </c>
      <c r="C75" s="84" t="s">
        <v>11</v>
      </c>
      <c r="D75" s="93">
        <v>40000</v>
      </c>
      <c r="E75" s="114"/>
      <c r="F75" s="93"/>
      <c r="G75" s="93"/>
      <c r="H75" s="93"/>
      <c r="I75" s="93"/>
      <c r="J75" s="93"/>
      <c r="K75" s="93"/>
      <c r="L75" s="93"/>
      <c r="M75" s="89">
        <f t="shared" si="3"/>
        <v>40000</v>
      </c>
      <c r="N75" s="127">
        <v>15350</v>
      </c>
      <c r="O75" s="85">
        <f t="shared" si="4"/>
        <v>24650</v>
      </c>
      <c r="P75" s="80"/>
    </row>
    <row r="76" spans="1:16" ht="15" thickTop="1" x14ac:dyDescent="0.3">
      <c r="A76" s="196" t="s">
        <v>34</v>
      </c>
      <c r="B76" s="181" t="s">
        <v>6</v>
      </c>
      <c r="C76" s="8" t="s">
        <v>7</v>
      </c>
      <c r="D76" s="91">
        <v>1135967</v>
      </c>
      <c r="E76" s="91"/>
      <c r="F76" s="91"/>
      <c r="G76" s="91"/>
      <c r="H76" s="91"/>
      <c r="I76" s="91"/>
      <c r="J76" s="91"/>
      <c r="K76" s="91"/>
      <c r="L76" s="91"/>
      <c r="M76" s="91">
        <f t="shared" si="3"/>
        <v>1135967</v>
      </c>
      <c r="N76" s="129">
        <v>461140</v>
      </c>
      <c r="O76" s="16">
        <f t="shared" si="4"/>
        <v>674827</v>
      </c>
    </row>
    <row r="77" spans="1:16" x14ac:dyDescent="0.3">
      <c r="A77" s="177"/>
      <c r="B77" s="179"/>
      <c r="C77" s="2" t="s">
        <v>8</v>
      </c>
      <c r="D77" s="24">
        <v>291448</v>
      </c>
      <c r="E77" s="24"/>
      <c r="F77" s="24"/>
      <c r="G77" s="24"/>
      <c r="H77" s="24"/>
      <c r="I77" s="24"/>
      <c r="J77" s="24"/>
      <c r="K77" s="24"/>
      <c r="L77" s="24"/>
      <c r="M77" s="24">
        <f t="shared" si="3"/>
        <v>291448</v>
      </c>
      <c r="N77" s="33">
        <v>291448</v>
      </c>
      <c r="O77" s="14">
        <f t="shared" si="4"/>
        <v>0</v>
      </c>
    </row>
    <row r="78" spans="1:16" x14ac:dyDescent="0.3">
      <c r="A78" s="177"/>
      <c r="B78" s="117" t="s">
        <v>18</v>
      </c>
      <c r="C78" s="2" t="s">
        <v>11</v>
      </c>
      <c r="D78" s="24">
        <v>600000</v>
      </c>
      <c r="E78" s="24">
        <f>-1755-4185-25000</f>
        <v>-30940</v>
      </c>
      <c r="F78" s="24"/>
      <c r="G78" s="24"/>
      <c r="H78" s="24"/>
      <c r="I78" s="24"/>
      <c r="J78" s="24"/>
      <c r="K78" s="24"/>
      <c r="L78" s="24"/>
      <c r="M78" s="24">
        <f t="shared" si="3"/>
        <v>569060</v>
      </c>
      <c r="N78" s="33">
        <v>320169</v>
      </c>
      <c r="O78" s="14">
        <f t="shared" si="4"/>
        <v>248891</v>
      </c>
    </row>
    <row r="79" spans="1:16" x14ac:dyDescent="0.3">
      <c r="A79" s="198"/>
      <c r="B79" s="180" t="s">
        <v>21</v>
      </c>
      <c r="C79" s="5" t="s">
        <v>19</v>
      </c>
      <c r="D79" s="92">
        <v>0</v>
      </c>
      <c r="E79" s="92"/>
      <c r="F79" s="92"/>
      <c r="G79" s="92"/>
      <c r="H79" s="92"/>
      <c r="I79" s="92"/>
      <c r="J79" s="92"/>
      <c r="K79" s="92"/>
      <c r="L79" s="92"/>
      <c r="M79" s="24">
        <f t="shared" si="3"/>
        <v>0</v>
      </c>
      <c r="N79" s="130">
        <v>0</v>
      </c>
      <c r="O79" s="14">
        <f t="shared" si="4"/>
        <v>0</v>
      </c>
    </row>
    <row r="80" spans="1:16" x14ac:dyDescent="0.3">
      <c r="A80" s="198"/>
      <c r="B80" s="199"/>
      <c r="C80" s="5" t="s">
        <v>11</v>
      </c>
      <c r="D80" s="92">
        <v>0</v>
      </c>
      <c r="E80" s="92">
        <f>1755+4185+25000</f>
        <v>30940</v>
      </c>
      <c r="F80" s="92"/>
      <c r="G80" s="92"/>
      <c r="H80" s="92"/>
      <c r="I80" s="92"/>
      <c r="J80" s="92"/>
      <c r="K80" s="92"/>
      <c r="L80" s="92"/>
      <c r="M80" s="24">
        <f t="shared" si="3"/>
        <v>30940</v>
      </c>
      <c r="N80" s="130">
        <v>9990</v>
      </c>
      <c r="O80" s="21">
        <f t="shared" si="4"/>
        <v>20950</v>
      </c>
    </row>
    <row r="81" spans="1:15" ht="15" thickBot="1" x14ac:dyDescent="0.35">
      <c r="A81" s="198"/>
      <c r="B81" s="200"/>
      <c r="C81" s="5" t="s">
        <v>14</v>
      </c>
      <c r="D81" s="92">
        <v>0</v>
      </c>
      <c r="E81" s="92"/>
      <c r="F81" s="92"/>
      <c r="G81" s="92"/>
      <c r="H81" s="92"/>
      <c r="I81" s="92"/>
      <c r="J81" s="92"/>
      <c r="K81" s="89"/>
      <c r="L81" s="89"/>
      <c r="M81" s="89">
        <f t="shared" si="3"/>
        <v>0</v>
      </c>
      <c r="N81" s="130">
        <v>0</v>
      </c>
      <c r="O81" s="15">
        <f t="shared" si="4"/>
        <v>0</v>
      </c>
    </row>
    <row r="82" spans="1:15" ht="15" thickTop="1" x14ac:dyDescent="0.3">
      <c r="A82" s="201" t="s">
        <v>35</v>
      </c>
      <c r="B82" s="197" t="s">
        <v>6</v>
      </c>
      <c r="C82" s="10" t="s">
        <v>7</v>
      </c>
      <c r="D82" s="90">
        <v>0</v>
      </c>
      <c r="E82" s="90"/>
      <c r="F82" s="90"/>
      <c r="G82" s="90"/>
      <c r="H82" s="90"/>
      <c r="I82" s="90"/>
      <c r="J82" s="90"/>
      <c r="K82" s="91"/>
      <c r="L82" s="91"/>
      <c r="M82" s="91">
        <f t="shared" si="3"/>
        <v>0</v>
      </c>
      <c r="N82" s="128">
        <v>0</v>
      </c>
      <c r="O82" s="16">
        <f t="shared" si="4"/>
        <v>0</v>
      </c>
    </row>
    <row r="83" spans="1:15" x14ac:dyDescent="0.3">
      <c r="A83" s="202"/>
      <c r="B83" s="179"/>
      <c r="C83" s="2" t="s">
        <v>8</v>
      </c>
      <c r="D83" s="24">
        <v>574939</v>
      </c>
      <c r="E83" s="24"/>
      <c r="F83" s="24"/>
      <c r="G83" s="24"/>
      <c r="H83" s="24"/>
      <c r="I83" s="24"/>
      <c r="J83" s="24"/>
      <c r="K83" s="24"/>
      <c r="L83" s="24"/>
      <c r="M83" s="24">
        <f t="shared" si="3"/>
        <v>574939</v>
      </c>
      <c r="N83" s="33">
        <v>574939</v>
      </c>
      <c r="O83" s="14">
        <f t="shared" si="4"/>
        <v>0</v>
      </c>
    </row>
    <row r="84" spans="1:15" ht="15" thickBot="1" x14ac:dyDescent="0.35">
      <c r="A84" s="203"/>
      <c r="B84" s="11" t="s">
        <v>18</v>
      </c>
      <c r="C84" s="9" t="s">
        <v>11</v>
      </c>
      <c r="D84" s="89">
        <v>0</v>
      </c>
      <c r="E84" s="89"/>
      <c r="F84" s="89"/>
      <c r="G84" s="89"/>
      <c r="H84" s="89"/>
      <c r="I84" s="89"/>
      <c r="J84" s="89"/>
      <c r="K84" s="89"/>
      <c r="L84" s="89"/>
      <c r="M84" s="89">
        <f t="shared" si="3"/>
        <v>0</v>
      </c>
      <c r="N84" s="127">
        <v>0</v>
      </c>
      <c r="O84" s="15">
        <f t="shared" si="4"/>
        <v>0</v>
      </c>
    </row>
    <row r="85" spans="1:15" ht="15" thickTop="1" x14ac:dyDescent="0.3">
      <c r="A85" s="204" t="s">
        <v>36</v>
      </c>
      <c r="B85" s="181" t="s">
        <v>6</v>
      </c>
      <c r="C85" s="8" t="s">
        <v>7</v>
      </c>
      <c r="D85" s="91">
        <v>1063967</v>
      </c>
      <c r="E85" s="91"/>
      <c r="F85" s="91"/>
      <c r="G85" s="91"/>
      <c r="H85" s="91"/>
      <c r="I85" s="91"/>
      <c r="J85" s="94"/>
      <c r="K85" s="94"/>
      <c r="L85" s="94"/>
      <c r="M85" s="91">
        <f t="shared" si="3"/>
        <v>1063967</v>
      </c>
      <c r="N85" s="129">
        <v>443320</v>
      </c>
      <c r="O85" s="16">
        <f t="shared" si="4"/>
        <v>620647</v>
      </c>
    </row>
    <row r="86" spans="1:15" x14ac:dyDescent="0.3">
      <c r="A86" s="205"/>
      <c r="B86" s="181"/>
      <c r="C86" s="8" t="s">
        <v>134</v>
      </c>
      <c r="D86" s="91">
        <v>0</v>
      </c>
      <c r="E86" s="91"/>
      <c r="F86" s="91"/>
      <c r="G86" s="91"/>
      <c r="H86" s="91"/>
      <c r="I86" s="91"/>
      <c r="J86" s="91"/>
      <c r="K86" s="91"/>
      <c r="L86" s="91"/>
      <c r="M86" s="24">
        <f t="shared" si="3"/>
        <v>0</v>
      </c>
      <c r="N86" s="129">
        <v>0</v>
      </c>
      <c r="O86" s="14">
        <f t="shared" si="4"/>
        <v>0</v>
      </c>
    </row>
    <row r="87" spans="1:15" x14ac:dyDescent="0.3">
      <c r="A87" s="205"/>
      <c r="B87" s="179"/>
      <c r="C87" s="2" t="s">
        <v>8</v>
      </c>
      <c r="D87" s="24">
        <v>873713</v>
      </c>
      <c r="E87" s="24"/>
      <c r="F87" s="24"/>
      <c r="G87" s="24"/>
      <c r="H87" s="24"/>
      <c r="I87" s="24"/>
      <c r="J87" s="24"/>
      <c r="K87" s="24"/>
      <c r="L87" s="24"/>
      <c r="M87" s="24">
        <f t="shared" si="3"/>
        <v>873713</v>
      </c>
      <c r="N87" s="33">
        <v>873713</v>
      </c>
      <c r="O87" s="14">
        <f t="shared" si="4"/>
        <v>0</v>
      </c>
    </row>
    <row r="88" spans="1:15" x14ac:dyDescent="0.3">
      <c r="A88" s="205"/>
      <c r="B88" s="4" t="s">
        <v>18</v>
      </c>
      <c r="C88" s="2" t="s">
        <v>11</v>
      </c>
      <c r="D88" s="24">
        <v>900000</v>
      </c>
      <c r="E88" s="24">
        <v>-10000</v>
      </c>
      <c r="F88" s="24"/>
      <c r="G88" s="24"/>
      <c r="H88" s="24"/>
      <c r="I88" s="24"/>
      <c r="J88" s="24"/>
      <c r="K88" s="24"/>
      <c r="L88" s="24"/>
      <c r="M88" s="24">
        <f t="shared" si="3"/>
        <v>890000</v>
      </c>
      <c r="N88" s="33">
        <v>471920</v>
      </c>
      <c r="O88" s="21">
        <f t="shared" si="4"/>
        <v>418080</v>
      </c>
    </row>
    <row r="89" spans="1:15" x14ac:dyDescent="0.3">
      <c r="A89" s="205"/>
      <c r="B89" s="180" t="s">
        <v>21</v>
      </c>
      <c r="C89" s="5" t="s">
        <v>19</v>
      </c>
      <c r="D89" s="92">
        <v>0</v>
      </c>
      <c r="E89" s="92"/>
      <c r="F89" s="92"/>
      <c r="G89" s="92"/>
      <c r="H89" s="92"/>
      <c r="I89" s="92"/>
      <c r="J89" s="92"/>
      <c r="K89" s="92"/>
      <c r="L89" s="92"/>
      <c r="M89" s="24">
        <f t="shared" si="3"/>
        <v>0</v>
      </c>
      <c r="N89" s="130">
        <v>0</v>
      </c>
      <c r="O89" s="14">
        <f t="shared" si="4"/>
        <v>0</v>
      </c>
    </row>
    <row r="90" spans="1:15" x14ac:dyDescent="0.3">
      <c r="A90" s="205"/>
      <c r="B90" s="199"/>
      <c r="C90" s="5" t="s">
        <v>11</v>
      </c>
      <c r="D90" s="92">
        <v>42000</v>
      </c>
      <c r="E90" s="92">
        <v>10000</v>
      </c>
      <c r="F90" s="92"/>
      <c r="G90" s="92"/>
      <c r="H90" s="92"/>
      <c r="I90" s="92"/>
      <c r="J90" s="92"/>
      <c r="K90" s="92"/>
      <c r="L90" s="92"/>
      <c r="M90" s="24">
        <f t="shared" si="3"/>
        <v>52000</v>
      </c>
      <c r="N90" s="130">
        <v>24320</v>
      </c>
      <c r="O90" s="32">
        <f t="shared" si="4"/>
        <v>27680</v>
      </c>
    </row>
    <row r="91" spans="1:15" ht="15" thickBot="1" x14ac:dyDescent="0.35">
      <c r="A91" s="206"/>
      <c r="B91" s="200"/>
      <c r="C91" s="9" t="s">
        <v>14</v>
      </c>
      <c r="D91" s="89">
        <v>0</v>
      </c>
      <c r="E91" s="89"/>
      <c r="F91" s="89"/>
      <c r="G91" s="89"/>
      <c r="H91" s="89"/>
      <c r="I91" s="89"/>
      <c r="J91" s="89"/>
      <c r="K91" s="89"/>
      <c r="L91" s="89"/>
      <c r="M91" s="89">
        <f t="shared" si="3"/>
        <v>0</v>
      </c>
      <c r="N91" s="127">
        <v>0</v>
      </c>
      <c r="O91" s="15">
        <f t="shared" si="4"/>
        <v>0</v>
      </c>
    </row>
    <row r="92" spans="1:15" ht="15" thickTop="1" x14ac:dyDescent="0.3">
      <c r="A92" s="196" t="s">
        <v>37</v>
      </c>
      <c r="B92" s="181" t="s">
        <v>6</v>
      </c>
      <c r="C92" s="8" t="s">
        <v>7</v>
      </c>
      <c r="D92" s="91">
        <v>3830814</v>
      </c>
      <c r="E92" s="91"/>
      <c r="F92" s="91"/>
      <c r="G92" s="91"/>
      <c r="H92" s="91"/>
      <c r="I92" s="91"/>
      <c r="J92" s="91"/>
      <c r="K92" s="91"/>
      <c r="L92" s="91"/>
      <c r="M92" s="91">
        <f t="shared" si="3"/>
        <v>3830814</v>
      </c>
      <c r="N92" s="129">
        <v>478852</v>
      </c>
      <c r="O92" s="16">
        <f t="shared" si="4"/>
        <v>3351962</v>
      </c>
    </row>
    <row r="93" spans="1:15" x14ac:dyDescent="0.3">
      <c r="A93" s="177"/>
      <c r="B93" s="179"/>
      <c r="C93" s="2" t="s">
        <v>8</v>
      </c>
      <c r="D93" s="24">
        <v>0</v>
      </c>
      <c r="E93" s="24"/>
      <c r="F93" s="24"/>
      <c r="G93" s="24"/>
      <c r="H93" s="24"/>
      <c r="I93" s="24"/>
      <c r="J93" s="24"/>
      <c r="K93" s="24"/>
      <c r="L93" s="24"/>
      <c r="M93" s="24">
        <f t="shared" si="3"/>
        <v>0</v>
      </c>
      <c r="N93" s="33">
        <v>0</v>
      </c>
      <c r="O93" s="14">
        <f t="shared" si="4"/>
        <v>0</v>
      </c>
    </row>
    <row r="94" spans="1:15" x14ac:dyDescent="0.3">
      <c r="A94" s="177"/>
      <c r="B94" s="180" t="s">
        <v>18</v>
      </c>
      <c r="C94" s="30" t="s">
        <v>19</v>
      </c>
      <c r="D94" s="24">
        <v>0</v>
      </c>
      <c r="E94" s="24"/>
      <c r="F94" s="24"/>
      <c r="G94" s="24"/>
      <c r="H94" s="24"/>
      <c r="I94" s="24"/>
      <c r="J94" s="24"/>
      <c r="K94" s="24"/>
      <c r="L94" s="24"/>
      <c r="M94" s="24">
        <f t="shared" si="3"/>
        <v>0</v>
      </c>
      <c r="N94" s="33">
        <v>0</v>
      </c>
      <c r="O94" s="14">
        <f t="shared" si="4"/>
        <v>0</v>
      </c>
    </row>
    <row r="95" spans="1:15" x14ac:dyDescent="0.3">
      <c r="A95" s="177"/>
      <c r="B95" s="199"/>
      <c r="C95" s="2" t="s">
        <v>11</v>
      </c>
      <c r="D95" s="24">
        <v>1000000</v>
      </c>
      <c r="E95" s="24"/>
      <c r="F95" s="24"/>
      <c r="G95" s="24"/>
      <c r="H95" s="24"/>
      <c r="I95" s="24"/>
      <c r="J95" s="24"/>
      <c r="K95" s="24"/>
      <c r="L95" s="24"/>
      <c r="M95" s="24">
        <f t="shared" si="3"/>
        <v>1000000</v>
      </c>
      <c r="N95" s="33">
        <v>528820</v>
      </c>
      <c r="O95" s="14">
        <f t="shared" si="4"/>
        <v>471180</v>
      </c>
    </row>
    <row r="96" spans="1:15" x14ac:dyDescent="0.3">
      <c r="A96" s="198"/>
      <c r="B96" s="181"/>
      <c r="C96" s="31" t="s">
        <v>14</v>
      </c>
      <c r="D96" s="92">
        <v>0</v>
      </c>
      <c r="E96" s="92"/>
      <c r="F96" s="92"/>
      <c r="G96" s="92"/>
      <c r="H96" s="92"/>
      <c r="I96" s="92"/>
      <c r="J96" s="92"/>
      <c r="K96" s="92"/>
      <c r="L96" s="92"/>
      <c r="M96" s="24">
        <f t="shared" si="3"/>
        <v>0</v>
      </c>
      <c r="N96" s="130">
        <v>0</v>
      </c>
      <c r="O96" s="17">
        <f t="shared" si="4"/>
        <v>0</v>
      </c>
    </row>
    <row r="97" spans="1:15" x14ac:dyDescent="0.3">
      <c r="A97" s="198"/>
      <c r="B97" s="180" t="s">
        <v>21</v>
      </c>
      <c r="C97" s="31" t="s">
        <v>19</v>
      </c>
      <c r="D97" s="92">
        <v>20000</v>
      </c>
      <c r="E97" s="92"/>
      <c r="F97" s="92"/>
      <c r="G97" s="92"/>
      <c r="H97" s="92"/>
      <c r="I97" s="92"/>
      <c r="J97" s="92"/>
      <c r="K97" s="92"/>
      <c r="L97" s="92"/>
      <c r="M97" s="24">
        <f t="shared" si="3"/>
        <v>20000</v>
      </c>
      <c r="N97" s="130">
        <v>0</v>
      </c>
      <c r="O97" s="46">
        <f t="shared" si="4"/>
        <v>20000</v>
      </c>
    </row>
    <row r="98" spans="1:15" x14ac:dyDescent="0.3">
      <c r="A98" s="198"/>
      <c r="B98" s="199"/>
      <c r="C98" s="31" t="s">
        <v>14</v>
      </c>
      <c r="D98" s="92">
        <v>5400</v>
      </c>
      <c r="E98" s="92"/>
      <c r="F98" s="92"/>
      <c r="G98" s="92"/>
      <c r="H98" s="92"/>
      <c r="I98" s="92"/>
      <c r="J98" s="92"/>
      <c r="K98" s="92"/>
      <c r="L98" s="92"/>
      <c r="M98" s="24">
        <f t="shared" si="3"/>
        <v>5400</v>
      </c>
      <c r="N98" s="130">
        <v>0</v>
      </c>
      <c r="O98" s="46">
        <f t="shared" si="4"/>
        <v>5400</v>
      </c>
    </row>
    <row r="99" spans="1:15" ht="15" thickBot="1" x14ac:dyDescent="0.35">
      <c r="A99" s="178"/>
      <c r="B99" s="200"/>
      <c r="C99" s="9" t="s">
        <v>11</v>
      </c>
      <c r="D99" s="89">
        <v>470000</v>
      </c>
      <c r="E99" s="89"/>
      <c r="F99" s="89"/>
      <c r="G99" s="89"/>
      <c r="H99" s="89"/>
      <c r="I99" s="89"/>
      <c r="J99" s="89"/>
      <c r="K99" s="89"/>
      <c r="L99" s="89"/>
      <c r="M99" s="89">
        <f t="shared" si="3"/>
        <v>470000</v>
      </c>
      <c r="N99" s="127">
        <v>214020</v>
      </c>
      <c r="O99" s="22">
        <f t="shared" si="4"/>
        <v>255980</v>
      </c>
    </row>
    <row r="100" spans="1:15" ht="15" thickTop="1" x14ac:dyDescent="0.3">
      <c r="A100" s="204" t="s">
        <v>38</v>
      </c>
      <c r="B100" s="207" t="s">
        <v>6</v>
      </c>
      <c r="C100" s="10" t="s">
        <v>7</v>
      </c>
      <c r="D100" s="90">
        <v>19201</v>
      </c>
      <c r="E100" s="90"/>
      <c r="F100" s="90"/>
      <c r="G100" s="90"/>
      <c r="H100" s="90"/>
      <c r="I100" s="91"/>
      <c r="J100" s="91"/>
      <c r="K100" s="91"/>
      <c r="L100" s="91"/>
      <c r="M100" s="91">
        <f t="shared" si="3"/>
        <v>19201</v>
      </c>
      <c r="N100" s="128">
        <v>4800</v>
      </c>
      <c r="O100" s="16">
        <f t="shared" si="4"/>
        <v>14401</v>
      </c>
    </row>
    <row r="101" spans="1:15" x14ac:dyDescent="0.3">
      <c r="A101" s="205"/>
      <c r="B101" s="181"/>
      <c r="C101" s="8" t="s">
        <v>8</v>
      </c>
      <c r="D101" s="91">
        <v>64589</v>
      </c>
      <c r="E101" s="91"/>
      <c r="F101" s="91"/>
      <c r="G101" s="91"/>
      <c r="H101" s="91"/>
      <c r="I101" s="91"/>
      <c r="J101" s="91"/>
      <c r="K101" s="91"/>
      <c r="L101" s="91"/>
      <c r="M101" s="24">
        <f t="shared" ref="M101:M104" si="5">D101+E101+F101+G101+H101+J101+I101+K101+L101</f>
        <v>64589</v>
      </c>
      <c r="N101" s="129">
        <v>64589</v>
      </c>
      <c r="O101" s="14">
        <f t="shared" si="4"/>
        <v>0</v>
      </c>
    </row>
    <row r="102" spans="1:15" x14ac:dyDescent="0.3">
      <c r="A102" s="205"/>
      <c r="B102" s="118" t="s">
        <v>21</v>
      </c>
      <c r="C102" s="29" t="s">
        <v>11</v>
      </c>
      <c r="D102" s="95">
        <v>20000</v>
      </c>
      <c r="E102" s="95">
        <v>30000</v>
      </c>
      <c r="F102" s="95"/>
      <c r="G102" s="95"/>
      <c r="H102" s="95"/>
      <c r="I102" s="95"/>
      <c r="J102" s="95"/>
      <c r="K102" s="95"/>
      <c r="L102" s="95"/>
      <c r="M102" s="24">
        <f t="shared" si="5"/>
        <v>50000</v>
      </c>
      <c r="N102" s="131">
        <v>17400</v>
      </c>
      <c r="O102" s="47">
        <f t="shared" si="4"/>
        <v>32600</v>
      </c>
    </row>
    <row r="103" spans="1:15" ht="15" thickBot="1" x14ac:dyDescent="0.35">
      <c r="A103" s="206"/>
      <c r="B103" s="119" t="s">
        <v>18</v>
      </c>
      <c r="C103" s="9" t="s">
        <v>11</v>
      </c>
      <c r="D103" s="89">
        <v>240000</v>
      </c>
      <c r="E103" s="89">
        <v>-30000</v>
      </c>
      <c r="F103" s="89"/>
      <c r="G103" s="89"/>
      <c r="H103" s="89"/>
      <c r="I103" s="89"/>
      <c r="J103" s="89"/>
      <c r="K103" s="89"/>
      <c r="L103" s="89"/>
      <c r="M103" s="89">
        <f t="shared" si="5"/>
        <v>210000</v>
      </c>
      <c r="N103" s="127">
        <v>106185</v>
      </c>
      <c r="O103" s="15">
        <f t="shared" si="4"/>
        <v>103815</v>
      </c>
    </row>
    <row r="104" spans="1:15" ht="34.5" customHeight="1" thickTop="1" x14ac:dyDescent="0.3">
      <c r="A104" s="208" t="s">
        <v>115</v>
      </c>
      <c r="B104" s="209"/>
      <c r="C104" s="210"/>
      <c r="D104" s="96">
        <f>SUM(D5:D103)</f>
        <v>283817565</v>
      </c>
      <c r="E104" s="96">
        <f t="shared" ref="E104:O104" si="6">SUM(E5:E103)</f>
        <v>0</v>
      </c>
      <c r="F104" s="96">
        <f t="shared" si="6"/>
        <v>9936713</v>
      </c>
      <c r="G104" s="96">
        <f t="shared" si="6"/>
        <v>627580</v>
      </c>
      <c r="H104" s="96">
        <f t="shared" si="6"/>
        <v>0</v>
      </c>
      <c r="I104" s="96">
        <f t="shared" si="6"/>
        <v>0</v>
      </c>
      <c r="J104" s="96">
        <f t="shared" si="6"/>
        <v>0</v>
      </c>
      <c r="K104" s="96">
        <f t="shared" si="6"/>
        <v>0</v>
      </c>
      <c r="L104" s="96">
        <f t="shared" si="6"/>
        <v>0</v>
      </c>
      <c r="M104" s="96">
        <f t="shared" si="5"/>
        <v>294381858</v>
      </c>
      <c r="N104" s="132">
        <f>SUM(N5:N103)</f>
        <v>123603837</v>
      </c>
      <c r="O104" s="65">
        <f t="shared" si="6"/>
        <v>170778021</v>
      </c>
    </row>
    <row r="105" spans="1:15" x14ac:dyDescent="0.3">
      <c r="A105" s="211" t="s">
        <v>136</v>
      </c>
      <c r="B105" s="179" t="s">
        <v>39</v>
      </c>
      <c r="C105" s="2" t="s">
        <v>40</v>
      </c>
      <c r="D105" s="24">
        <v>2172586</v>
      </c>
      <c r="E105" s="24">
        <v>-176303</v>
      </c>
      <c r="F105" s="24"/>
      <c r="G105" s="24"/>
      <c r="H105" s="24"/>
      <c r="I105" s="24"/>
      <c r="J105" s="24"/>
      <c r="K105" s="24"/>
      <c r="L105" s="24"/>
      <c r="M105" s="24">
        <f>D105+E105+F105+G105+H105+J105+I105</f>
        <v>1996283</v>
      </c>
      <c r="N105" s="33">
        <v>242048</v>
      </c>
      <c r="O105" s="14">
        <f t="shared" si="4"/>
        <v>1754235</v>
      </c>
    </row>
    <row r="106" spans="1:15" x14ac:dyDescent="0.3">
      <c r="A106" s="211"/>
      <c r="B106" s="179"/>
      <c r="C106" s="2" t="s">
        <v>51</v>
      </c>
      <c r="D106" s="24">
        <v>0</v>
      </c>
      <c r="E106" s="24">
        <v>176303</v>
      </c>
      <c r="F106" s="24"/>
      <c r="G106" s="24"/>
      <c r="H106" s="24"/>
      <c r="I106" s="24"/>
      <c r="J106" s="24"/>
      <c r="K106" s="24"/>
      <c r="L106" s="24"/>
      <c r="M106" s="24">
        <f>D106+E106+F106+G106+H106+J106+I106</f>
        <v>176303</v>
      </c>
      <c r="N106" s="33">
        <v>7104</v>
      </c>
      <c r="O106" s="21">
        <f t="shared" si="4"/>
        <v>169199</v>
      </c>
    </row>
    <row r="107" spans="1:15" x14ac:dyDescent="0.3">
      <c r="A107" s="211"/>
      <c r="B107" s="179"/>
      <c r="C107" s="6" t="s">
        <v>41</v>
      </c>
      <c r="D107" s="97">
        <f>SUM(D105:D106)</f>
        <v>2172586</v>
      </c>
      <c r="E107" s="97">
        <f t="shared" ref="E107:O107" si="7">SUM(E105:E106)</f>
        <v>0</v>
      </c>
      <c r="F107" s="97">
        <f t="shared" si="7"/>
        <v>0</v>
      </c>
      <c r="G107" s="97">
        <f t="shared" si="7"/>
        <v>0</v>
      </c>
      <c r="H107" s="97">
        <f t="shared" si="7"/>
        <v>0</v>
      </c>
      <c r="I107" s="97">
        <f t="shared" si="7"/>
        <v>0</v>
      </c>
      <c r="J107" s="97">
        <f t="shared" si="7"/>
        <v>0</v>
      </c>
      <c r="K107" s="97">
        <f t="shared" si="7"/>
        <v>0</v>
      </c>
      <c r="L107" s="97">
        <f t="shared" si="7"/>
        <v>0</v>
      </c>
      <c r="M107" s="97">
        <f>SUM(M105:M106)</f>
        <v>2172586</v>
      </c>
      <c r="N107" s="49">
        <f t="shared" si="7"/>
        <v>249152</v>
      </c>
      <c r="O107" s="18">
        <f t="shared" si="7"/>
        <v>1923434</v>
      </c>
    </row>
    <row r="108" spans="1:15" x14ac:dyDescent="0.3">
      <c r="A108" s="211"/>
      <c r="B108" s="179"/>
      <c r="C108" s="57" t="s">
        <v>42</v>
      </c>
      <c r="D108" s="98">
        <v>190101</v>
      </c>
      <c r="E108" s="98"/>
      <c r="F108" s="98"/>
      <c r="G108" s="98"/>
      <c r="H108" s="98"/>
      <c r="I108" s="98"/>
      <c r="J108" s="98"/>
      <c r="K108" s="98"/>
      <c r="L108" s="98"/>
      <c r="M108" s="99">
        <f>D108+E108+F108+G108+H108+J108</f>
        <v>190101</v>
      </c>
      <c r="N108" s="133">
        <v>24199</v>
      </c>
      <c r="O108" s="55">
        <f t="shared" si="4"/>
        <v>165902</v>
      </c>
    </row>
    <row r="109" spans="1:15" x14ac:dyDescent="0.3">
      <c r="A109" s="211"/>
      <c r="B109" s="179"/>
      <c r="C109" s="2" t="s">
        <v>43</v>
      </c>
      <c r="D109" s="24">
        <v>0</v>
      </c>
      <c r="E109" s="24"/>
      <c r="F109" s="24"/>
      <c r="G109" s="24"/>
      <c r="H109" s="24"/>
      <c r="I109" s="24"/>
      <c r="J109" s="24"/>
      <c r="K109" s="24"/>
      <c r="L109" s="24"/>
      <c r="M109" s="24">
        <f>D109+E109+F109+G109+H109+J109+I109</f>
        <v>0</v>
      </c>
      <c r="N109" s="33">
        <v>0</v>
      </c>
      <c r="O109" s="32">
        <f t="shared" si="4"/>
        <v>0</v>
      </c>
    </row>
    <row r="110" spans="1:15" x14ac:dyDescent="0.3">
      <c r="A110" s="211"/>
      <c r="B110" s="179"/>
      <c r="C110" s="2" t="s">
        <v>53</v>
      </c>
      <c r="D110" s="24">
        <v>0</v>
      </c>
      <c r="E110" s="24"/>
      <c r="F110" s="24"/>
      <c r="G110" s="24"/>
      <c r="H110" s="24"/>
      <c r="I110" s="24"/>
      <c r="J110" s="24"/>
      <c r="K110" s="24"/>
      <c r="L110" s="24"/>
      <c r="M110" s="24">
        <f>D110+E110+F110+G110+H110+J110+I110</f>
        <v>0</v>
      </c>
      <c r="N110" s="33">
        <v>0</v>
      </c>
      <c r="O110" s="32">
        <f t="shared" si="4"/>
        <v>0</v>
      </c>
    </row>
    <row r="111" spans="1:15" x14ac:dyDescent="0.3">
      <c r="A111" s="211"/>
      <c r="B111" s="179"/>
      <c r="C111" s="2" t="s">
        <v>44</v>
      </c>
      <c r="D111" s="24">
        <v>0</v>
      </c>
      <c r="E111" s="24"/>
      <c r="F111" s="24"/>
      <c r="G111" s="24"/>
      <c r="H111" s="24"/>
      <c r="I111" s="24"/>
      <c r="J111" s="24"/>
      <c r="K111" s="24"/>
      <c r="L111" s="24"/>
      <c r="M111" s="24">
        <f>D111+E111+F111+G111+H111+J111+I111</f>
        <v>0</v>
      </c>
      <c r="N111" s="33">
        <v>0</v>
      </c>
      <c r="O111" s="32">
        <f t="shared" si="4"/>
        <v>0</v>
      </c>
    </row>
    <row r="112" spans="1:15" x14ac:dyDescent="0.3">
      <c r="A112" s="211"/>
      <c r="B112" s="179"/>
      <c r="C112" s="2" t="s">
        <v>45</v>
      </c>
      <c r="D112" s="24">
        <v>0</v>
      </c>
      <c r="E112" s="24"/>
      <c r="F112" s="24"/>
      <c r="G112" s="24"/>
      <c r="H112" s="24"/>
      <c r="I112" s="24"/>
      <c r="J112" s="24"/>
      <c r="K112" s="24"/>
      <c r="L112" s="24"/>
      <c r="M112" s="24">
        <f>D112+E112+F112+G112+H112+J112+I112</f>
        <v>0</v>
      </c>
      <c r="N112" s="33">
        <v>0</v>
      </c>
      <c r="O112" s="32">
        <f t="shared" si="4"/>
        <v>0</v>
      </c>
    </row>
    <row r="113" spans="1:15" x14ac:dyDescent="0.3">
      <c r="A113" s="211"/>
      <c r="B113" s="179"/>
      <c r="C113" s="6" t="s">
        <v>46</v>
      </c>
      <c r="D113" s="97">
        <f>SUM(D109:D112)</f>
        <v>0</v>
      </c>
      <c r="E113" s="97">
        <f t="shared" ref="E113:O113" si="8">SUM(E109:E112)</f>
        <v>0</v>
      </c>
      <c r="F113" s="97">
        <f t="shared" si="8"/>
        <v>0</v>
      </c>
      <c r="G113" s="97">
        <f t="shared" si="8"/>
        <v>0</v>
      </c>
      <c r="H113" s="97">
        <f t="shared" si="8"/>
        <v>0</v>
      </c>
      <c r="I113" s="97">
        <f t="shared" si="8"/>
        <v>0</v>
      </c>
      <c r="J113" s="97">
        <f t="shared" si="8"/>
        <v>0</v>
      </c>
      <c r="K113" s="97">
        <f t="shared" si="8"/>
        <v>0</v>
      </c>
      <c r="L113" s="97">
        <f t="shared" si="8"/>
        <v>0</v>
      </c>
      <c r="M113" s="97">
        <f t="shared" si="8"/>
        <v>0</v>
      </c>
      <c r="N113" s="49">
        <f t="shared" si="8"/>
        <v>0</v>
      </c>
      <c r="O113" s="34">
        <f t="shared" si="8"/>
        <v>0</v>
      </c>
    </row>
    <row r="114" spans="1:15" x14ac:dyDescent="0.3">
      <c r="A114" s="211"/>
      <c r="B114" s="179" t="s">
        <v>10</v>
      </c>
      <c r="C114" s="2" t="s">
        <v>40</v>
      </c>
      <c r="D114" s="24">
        <v>5413896</v>
      </c>
      <c r="E114" s="28"/>
      <c r="F114" s="24"/>
      <c r="G114" s="24"/>
      <c r="H114" s="24"/>
      <c r="I114" s="24"/>
      <c r="J114" s="24"/>
      <c r="K114" s="24"/>
      <c r="L114" s="24"/>
      <c r="M114" s="24">
        <f t="shared" ref="M114:M120" si="9">D114+E114+F114+G114+H114+J114+I114</f>
        <v>5413896</v>
      </c>
      <c r="N114" s="33">
        <v>2187762</v>
      </c>
      <c r="O114" s="14">
        <f t="shared" si="4"/>
        <v>3226134</v>
      </c>
    </row>
    <row r="115" spans="1:15" x14ac:dyDescent="0.3">
      <c r="A115" s="211"/>
      <c r="B115" s="179"/>
      <c r="C115" s="2" t="s">
        <v>47</v>
      </c>
      <c r="D115" s="24">
        <v>200000</v>
      </c>
      <c r="E115" s="24"/>
      <c r="F115" s="24"/>
      <c r="G115" s="24"/>
      <c r="H115" s="24"/>
      <c r="I115" s="24"/>
      <c r="J115" s="24"/>
      <c r="K115" s="24"/>
      <c r="L115" s="24"/>
      <c r="M115" s="24">
        <f t="shared" si="9"/>
        <v>200000</v>
      </c>
      <c r="N115" s="33">
        <v>0</v>
      </c>
      <c r="O115" s="14">
        <f t="shared" si="4"/>
        <v>200000</v>
      </c>
    </row>
    <row r="116" spans="1:15" x14ac:dyDescent="0.3">
      <c r="A116" s="211"/>
      <c r="B116" s="179"/>
      <c r="C116" s="2" t="s">
        <v>48</v>
      </c>
      <c r="D116" s="24">
        <v>10000</v>
      </c>
      <c r="E116" s="24"/>
      <c r="F116" s="24"/>
      <c r="G116" s="24"/>
      <c r="H116" s="24"/>
      <c r="I116" s="24"/>
      <c r="J116" s="24"/>
      <c r="K116" s="24"/>
      <c r="L116" s="24"/>
      <c r="M116" s="24">
        <f t="shared" si="9"/>
        <v>10000</v>
      </c>
      <c r="N116" s="33">
        <v>0</v>
      </c>
      <c r="O116" s="14">
        <f t="shared" si="4"/>
        <v>10000</v>
      </c>
    </row>
    <row r="117" spans="1:15" x14ac:dyDescent="0.3">
      <c r="A117" s="211"/>
      <c r="B117" s="179"/>
      <c r="C117" s="2" t="s">
        <v>49</v>
      </c>
      <c r="D117" s="24">
        <v>0</v>
      </c>
      <c r="E117" s="24"/>
      <c r="F117" s="24"/>
      <c r="G117" s="24"/>
      <c r="H117" s="24"/>
      <c r="I117" s="24"/>
      <c r="J117" s="24"/>
      <c r="K117" s="24"/>
      <c r="L117" s="24"/>
      <c r="M117" s="24">
        <f t="shared" si="9"/>
        <v>0</v>
      </c>
      <c r="N117" s="33">
        <v>0</v>
      </c>
      <c r="O117" s="14">
        <f t="shared" si="4"/>
        <v>0</v>
      </c>
    </row>
    <row r="118" spans="1:15" x14ac:dyDescent="0.3">
      <c r="A118" s="211"/>
      <c r="B118" s="179"/>
      <c r="C118" s="2" t="s">
        <v>50</v>
      </c>
      <c r="D118" s="24">
        <v>24000</v>
      </c>
      <c r="E118" s="24"/>
      <c r="F118" s="24"/>
      <c r="G118" s="24"/>
      <c r="H118" s="24"/>
      <c r="I118" s="24"/>
      <c r="J118" s="24"/>
      <c r="K118" s="24"/>
      <c r="L118" s="24"/>
      <c r="M118" s="24">
        <f t="shared" si="9"/>
        <v>24000</v>
      </c>
      <c r="N118" s="33">
        <v>0</v>
      </c>
      <c r="O118" s="14">
        <f t="shared" si="4"/>
        <v>24000</v>
      </c>
    </row>
    <row r="119" spans="1:15" x14ac:dyDescent="0.3">
      <c r="A119" s="211"/>
      <c r="B119" s="179"/>
      <c r="C119" s="2" t="s">
        <v>51</v>
      </c>
      <c r="D119" s="24">
        <v>0</v>
      </c>
      <c r="E119" s="24"/>
      <c r="F119" s="24"/>
      <c r="G119" s="24"/>
      <c r="H119" s="24"/>
      <c r="I119" s="24"/>
      <c r="J119" s="24"/>
      <c r="K119" s="24"/>
      <c r="L119" s="24"/>
      <c r="M119" s="24">
        <f t="shared" si="9"/>
        <v>0</v>
      </c>
      <c r="N119" s="33">
        <v>0</v>
      </c>
      <c r="O119" s="14">
        <f t="shared" si="4"/>
        <v>0</v>
      </c>
    </row>
    <row r="120" spans="1:15" x14ac:dyDescent="0.3">
      <c r="A120" s="211"/>
      <c r="B120" s="179"/>
      <c r="C120" s="2" t="s">
        <v>52</v>
      </c>
      <c r="D120" s="24">
        <v>0</v>
      </c>
      <c r="E120" s="24"/>
      <c r="F120" s="24"/>
      <c r="G120" s="24"/>
      <c r="H120" s="24"/>
      <c r="I120" s="24"/>
      <c r="J120" s="24"/>
      <c r="K120" s="24"/>
      <c r="L120" s="24"/>
      <c r="M120" s="24">
        <f t="shared" si="9"/>
        <v>0</v>
      </c>
      <c r="N120" s="33">
        <v>0</v>
      </c>
      <c r="O120" s="14">
        <f t="shared" si="4"/>
        <v>0</v>
      </c>
    </row>
    <row r="121" spans="1:15" x14ac:dyDescent="0.3">
      <c r="A121" s="211"/>
      <c r="B121" s="179"/>
      <c r="C121" s="6" t="s">
        <v>41</v>
      </c>
      <c r="D121" s="97">
        <f>SUM(D114:D120)</f>
        <v>5647896</v>
      </c>
      <c r="E121" s="97">
        <f t="shared" ref="E121:O121" si="10">SUM(E114:E120)</f>
        <v>0</v>
      </c>
      <c r="F121" s="97">
        <f t="shared" si="10"/>
        <v>0</v>
      </c>
      <c r="G121" s="97">
        <f t="shared" si="10"/>
        <v>0</v>
      </c>
      <c r="H121" s="97">
        <f t="shared" si="10"/>
        <v>0</v>
      </c>
      <c r="I121" s="97">
        <f t="shared" si="10"/>
        <v>0</v>
      </c>
      <c r="J121" s="97">
        <f t="shared" si="10"/>
        <v>0</v>
      </c>
      <c r="K121" s="97">
        <f t="shared" si="10"/>
        <v>0</v>
      </c>
      <c r="L121" s="97">
        <f t="shared" si="10"/>
        <v>0</v>
      </c>
      <c r="M121" s="97">
        <f t="shared" si="10"/>
        <v>5647896</v>
      </c>
      <c r="N121" s="49">
        <f t="shared" si="10"/>
        <v>2187762</v>
      </c>
      <c r="O121" s="26">
        <f t="shared" si="10"/>
        <v>3460134</v>
      </c>
    </row>
    <row r="122" spans="1:15" x14ac:dyDescent="0.3">
      <c r="A122" s="211"/>
      <c r="B122" s="179"/>
      <c r="C122" s="57" t="s">
        <v>42</v>
      </c>
      <c r="D122" s="98">
        <v>1020875</v>
      </c>
      <c r="E122" s="98"/>
      <c r="F122" s="98"/>
      <c r="G122" s="98"/>
      <c r="H122" s="98"/>
      <c r="I122" s="98"/>
      <c r="J122" s="98"/>
      <c r="K122" s="98"/>
      <c r="L122" s="98"/>
      <c r="M122" s="99">
        <f>D122+E122+F122+G122+H122+J122</f>
        <v>1020875</v>
      </c>
      <c r="N122" s="133">
        <v>386909</v>
      </c>
      <c r="O122" s="55">
        <f t="shared" si="4"/>
        <v>633966</v>
      </c>
    </row>
    <row r="123" spans="1:15" x14ac:dyDescent="0.3">
      <c r="A123" s="211"/>
      <c r="B123" s="179"/>
      <c r="C123" s="2" t="s">
        <v>43</v>
      </c>
      <c r="D123" s="24">
        <v>150000</v>
      </c>
      <c r="E123" s="24">
        <v>-47125</v>
      </c>
      <c r="F123" s="24"/>
      <c r="G123" s="24"/>
      <c r="H123" s="24"/>
      <c r="I123" s="24"/>
      <c r="J123" s="24"/>
      <c r="K123" s="24"/>
      <c r="L123" s="24"/>
      <c r="M123" s="24">
        <f t="shared" ref="M123:M133" si="11">D123+E123+F123+G123+H123+J123+I123</f>
        <v>102875</v>
      </c>
      <c r="N123" s="33">
        <v>0</v>
      </c>
      <c r="O123" s="14">
        <f t="shared" si="4"/>
        <v>102875</v>
      </c>
    </row>
    <row r="124" spans="1:15" x14ac:dyDescent="0.3">
      <c r="A124" s="211"/>
      <c r="B124" s="179"/>
      <c r="C124" s="2" t="s">
        <v>53</v>
      </c>
      <c r="D124" s="24">
        <v>130000</v>
      </c>
      <c r="E124" s="24"/>
      <c r="F124" s="24"/>
      <c r="G124" s="24"/>
      <c r="H124" s="24"/>
      <c r="I124" s="24"/>
      <c r="J124" s="24"/>
      <c r="K124" s="24"/>
      <c r="L124" s="24"/>
      <c r="M124" s="24">
        <f t="shared" si="11"/>
        <v>130000</v>
      </c>
      <c r="N124" s="33">
        <v>0</v>
      </c>
      <c r="O124" s="14">
        <f t="shared" si="4"/>
        <v>130000</v>
      </c>
    </row>
    <row r="125" spans="1:15" x14ac:dyDescent="0.3">
      <c r="A125" s="211"/>
      <c r="B125" s="179"/>
      <c r="C125" s="2" t="s">
        <v>54</v>
      </c>
      <c r="D125" s="24">
        <v>66594</v>
      </c>
      <c r="E125" s="24"/>
      <c r="F125" s="24"/>
      <c r="G125" s="24"/>
      <c r="H125" s="24"/>
      <c r="I125" s="24"/>
      <c r="J125" s="24"/>
      <c r="K125" s="24"/>
      <c r="L125" s="24"/>
      <c r="M125" s="24">
        <f t="shared" si="11"/>
        <v>66594</v>
      </c>
      <c r="N125" s="33">
        <v>27745</v>
      </c>
      <c r="O125" s="21">
        <f t="shared" si="4"/>
        <v>38849</v>
      </c>
    </row>
    <row r="126" spans="1:15" x14ac:dyDescent="0.3">
      <c r="A126" s="211"/>
      <c r="B126" s="179"/>
      <c r="C126" s="2" t="s">
        <v>55</v>
      </c>
      <c r="D126" s="24">
        <v>58891</v>
      </c>
      <c r="E126" s="24"/>
      <c r="F126" s="24"/>
      <c r="G126" s="24"/>
      <c r="H126" s="24"/>
      <c r="I126" s="24"/>
      <c r="J126" s="24"/>
      <c r="K126" s="24"/>
      <c r="L126" s="24"/>
      <c r="M126" s="24">
        <f t="shared" si="11"/>
        <v>58891</v>
      </c>
      <c r="N126" s="33">
        <v>24529</v>
      </c>
      <c r="O126" s="21">
        <f t="shared" si="4"/>
        <v>34362</v>
      </c>
    </row>
    <row r="127" spans="1:15" x14ac:dyDescent="0.3">
      <c r="A127" s="211"/>
      <c r="B127" s="179"/>
      <c r="C127" s="2" t="s">
        <v>56</v>
      </c>
      <c r="D127" s="24">
        <v>745250</v>
      </c>
      <c r="E127" s="24"/>
      <c r="F127" s="24"/>
      <c r="G127" s="24"/>
      <c r="H127" s="24"/>
      <c r="I127" s="24"/>
      <c r="J127" s="24"/>
      <c r="K127" s="24"/>
      <c r="L127" s="24"/>
      <c r="M127" s="24">
        <f t="shared" si="11"/>
        <v>745250</v>
      </c>
      <c r="N127" s="33">
        <v>427112</v>
      </c>
      <c r="O127" s="21">
        <f t="shared" si="4"/>
        <v>318138</v>
      </c>
    </row>
    <row r="128" spans="1:15" x14ac:dyDescent="0.3">
      <c r="A128" s="211"/>
      <c r="B128" s="179"/>
      <c r="C128" s="2" t="s">
        <v>57</v>
      </c>
      <c r="D128" s="24">
        <v>33000</v>
      </c>
      <c r="E128" s="24">
        <v>-20000</v>
      </c>
      <c r="F128" s="24"/>
      <c r="G128" s="24"/>
      <c r="H128" s="24"/>
      <c r="I128" s="24"/>
      <c r="J128" s="24"/>
      <c r="K128" s="24"/>
      <c r="L128" s="24"/>
      <c r="M128" s="24">
        <f t="shared" si="11"/>
        <v>13000</v>
      </c>
      <c r="N128" s="33">
        <v>0</v>
      </c>
      <c r="O128" s="21">
        <f t="shared" si="4"/>
        <v>13000</v>
      </c>
    </row>
    <row r="129" spans="1:16" x14ac:dyDescent="0.3">
      <c r="A129" s="211"/>
      <c r="B129" s="179"/>
      <c r="C129" s="2" t="s">
        <v>44</v>
      </c>
      <c r="D129" s="24">
        <v>25400</v>
      </c>
      <c r="E129" s="24"/>
      <c r="F129" s="24"/>
      <c r="G129" s="24"/>
      <c r="H129" s="24"/>
      <c r="I129" s="24"/>
      <c r="J129" s="24"/>
      <c r="K129" s="24"/>
      <c r="L129" s="24"/>
      <c r="M129" s="24">
        <f t="shared" si="11"/>
        <v>25400</v>
      </c>
      <c r="N129" s="33">
        <v>3350</v>
      </c>
      <c r="O129" s="21">
        <f t="shared" si="4"/>
        <v>22050</v>
      </c>
    </row>
    <row r="130" spans="1:16" x14ac:dyDescent="0.3">
      <c r="A130" s="211"/>
      <c r="B130" s="179"/>
      <c r="C130" s="2" t="s">
        <v>58</v>
      </c>
      <c r="D130" s="24">
        <v>38595</v>
      </c>
      <c r="E130" s="24"/>
      <c r="F130" s="24"/>
      <c r="G130" s="24"/>
      <c r="H130" s="24"/>
      <c r="I130" s="24"/>
      <c r="J130" s="24"/>
      <c r="K130" s="24"/>
      <c r="L130" s="24"/>
      <c r="M130" s="24">
        <f t="shared" si="11"/>
        <v>38595</v>
      </c>
      <c r="N130" s="33">
        <v>9438</v>
      </c>
      <c r="O130" s="21">
        <f t="shared" si="4"/>
        <v>29157</v>
      </c>
    </row>
    <row r="131" spans="1:16" x14ac:dyDescent="0.3">
      <c r="A131" s="211"/>
      <c r="B131" s="179"/>
      <c r="C131" s="2" t="s">
        <v>59</v>
      </c>
      <c r="D131" s="24">
        <v>60000</v>
      </c>
      <c r="E131" s="24"/>
      <c r="F131" s="24"/>
      <c r="G131" s="24"/>
      <c r="H131" s="24"/>
      <c r="I131" s="24"/>
      <c r="J131" s="24"/>
      <c r="K131" s="24"/>
      <c r="L131" s="24"/>
      <c r="M131" s="24">
        <f t="shared" si="11"/>
        <v>60000</v>
      </c>
      <c r="N131" s="33">
        <v>0</v>
      </c>
      <c r="O131" s="21">
        <f t="shared" si="4"/>
        <v>60000</v>
      </c>
    </row>
    <row r="132" spans="1:16" x14ac:dyDescent="0.3">
      <c r="A132" s="211"/>
      <c r="B132" s="179"/>
      <c r="C132" s="2" t="s">
        <v>45</v>
      </c>
      <c r="D132" s="24">
        <v>195862</v>
      </c>
      <c r="E132" s="24"/>
      <c r="F132" s="24"/>
      <c r="G132" s="24"/>
      <c r="H132" s="24"/>
      <c r="I132" s="24"/>
      <c r="J132" s="24"/>
      <c r="K132" s="24"/>
      <c r="L132" s="24"/>
      <c r="M132" s="24">
        <f t="shared" si="11"/>
        <v>195862</v>
      </c>
      <c r="N132" s="33">
        <v>53325</v>
      </c>
      <c r="O132" s="14">
        <f t="shared" si="4"/>
        <v>142537</v>
      </c>
    </row>
    <row r="133" spans="1:16" x14ac:dyDescent="0.3">
      <c r="A133" s="211"/>
      <c r="B133" s="179"/>
      <c r="C133" s="2" t="s">
        <v>60</v>
      </c>
      <c r="D133" s="24">
        <v>0</v>
      </c>
      <c r="E133" s="24"/>
      <c r="F133" s="24"/>
      <c r="G133" s="24"/>
      <c r="H133" s="24"/>
      <c r="I133" s="24"/>
      <c r="J133" s="24"/>
      <c r="K133" s="24"/>
      <c r="L133" s="24"/>
      <c r="M133" s="24">
        <f t="shared" si="11"/>
        <v>0</v>
      </c>
      <c r="N133" s="33">
        <v>0</v>
      </c>
      <c r="O133" s="14">
        <f t="shared" si="4"/>
        <v>0</v>
      </c>
    </row>
    <row r="134" spans="1:16" x14ac:dyDescent="0.3">
      <c r="A134" s="211"/>
      <c r="B134" s="179"/>
      <c r="C134" s="6" t="s">
        <v>46</v>
      </c>
      <c r="D134" s="97">
        <f>SUM(D123:D133)</f>
        <v>1503592</v>
      </c>
      <c r="E134" s="97">
        <f t="shared" ref="E134:O134" si="12">SUM(E123:E133)</f>
        <v>-67125</v>
      </c>
      <c r="F134" s="97">
        <f t="shared" si="12"/>
        <v>0</v>
      </c>
      <c r="G134" s="97">
        <f t="shared" si="12"/>
        <v>0</v>
      </c>
      <c r="H134" s="97">
        <f t="shared" si="12"/>
        <v>0</v>
      </c>
      <c r="I134" s="97">
        <f t="shared" si="12"/>
        <v>0</v>
      </c>
      <c r="J134" s="97">
        <f t="shared" si="12"/>
        <v>0</v>
      </c>
      <c r="K134" s="97">
        <f t="shared" si="12"/>
        <v>0</v>
      </c>
      <c r="L134" s="97">
        <f t="shared" si="12"/>
        <v>0</v>
      </c>
      <c r="M134" s="97">
        <f t="shared" si="12"/>
        <v>1436467</v>
      </c>
      <c r="N134" s="49">
        <f t="shared" si="12"/>
        <v>545499</v>
      </c>
      <c r="O134" s="26">
        <f t="shared" si="12"/>
        <v>890968</v>
      </c>
    </row>
    <row r="135" spans="1:16" x14ac:dyDescent="0.3">
      <c r="A135" s="211"/>
      <c r="B135" s="179" t="s">
        <v>12</v>
      </c>
      <c r="C135" s="2" t="s">
        <v>40</v>
      </c>
      <c r="D135" s="24">
        <v>6367828</v>
      </c>
      <c r="E135" s="28"/>
      <c r="F135" s="24">
        <v>0</v>
      </c>
      <c r="G135" s="24"/>
      <c r="H135" s="24"/>
      <c r="I135" s="24"/>
      <c r="J135" s="24"/>
      <c r="K135" s="24"/>
      <c r="L135" s="24"/>
      <c r="M135" s="24">
        <f>D135+E135+F135+G135+H135+J135+I135+K135+L135</f>
        <v>6367828</v>
      </c>
      <c r="N135" s="33">
        <v>2180622</v>
      </c>
      <c r="O135" s="21">
        <f t="shared" si="4"/>
        <v>4187206</v>
      </c>
    </row>
    <row r="136" spans="1:16" x14ac:dyDescent="0.3">
      <c r="A136" s="211"/>
      <c r="B136" s="179"/>
      <c r="C136" s="2" t="s">
        <v>47</v>
      </c>
      <c r="D136" s="24">
        <v>275000</v>
      </c>
      <c r="E136" s="24"/>
      <c r="F136" s="24"/>
      <c r="G136" s="24"/>
      <c r="H136" s="24"/>
      <c r="I136" s="24"/>
      <c r="J136" s="24"/>
      <c r="K136" s="24"/>
      <c r="L136" s="24"/>
      <c r="M136" s="24">
        <f>D136+E136+F136+G136+H136+J136+I136</f>
        <v>275000</v>
      </c>
      <c r="N136" s="33">
        <v>0</v>
      </c>
      <c r="O136" s="21">
        <f t="shared" si="4"/>
        <v>275000</v>
      </c>
    </row>
    <row r="137" spans="1:16" x14ac:dyDescent="0.3">
      <c r="A137" s="211"/>
      <c r="B137" s="179"/>
      <c r="C137" s="2" t="s">
        <v>48</v>
      </c>
      <c r="D137" s="24">
        <v>15000</v>
      </c>
      <c r="E137" s="24"/>
      <c r="F137" s="24"/>
      <c r="G137" s="24"/>
      <c r="H137" s="24"/>
      <c r="I137" s="24"/>
      <c r="J137" s="24"/>
      <c r="K137" s="24"/>
      <c r="L137" s="24"/>
      <c r="M137" s="24">
        <f>D137+E137+F137+G137+H137+J137+I137</f>
        <v>15000</v>
      </c>
      <c r="N137" s="33">
        <v>0</v>
      </c>
      <c r="O137" s="21">
        <f t="shared" si="4"/>
        <v>15000</v>
      </c>
    </row>
    <row r="138" spans="1:16" x14ac:dyDescent="0.3">
      <c r="A138" s="211"/>
      <c r="B138" s="179"/>
      <c r="C138" s="2" t="s">
        <v>49</v>
      </c>
      <c r="D138" s="24">
        <v>0</v>
      </c>
      <c r="E138" s="24"/>
      <c r="F138" s="24"/>
      <c r="G138" s="24"/>
      <c r="H138" s="24"/>
      <c r="I138" s="24"/>
      <c r="J138" s="24"/>
      <c r="K138" s="24"/>
      <c r="L138" s="24"/>
      <c r="M138" s="24">
        <f>D138+E138+F138+G138+H138+J138+I138</f>
        <v>0</v>
      </c>
      <c r="N138" s="33">
        <v>0</v>
      </c>
      <c r="O138" s="21">
        <f t="shared" si="4"/>
        <v>0</v>
      </c>
    </row>
    <row r="139" spans="1:16" x14ac:dyDescent="0.3">
      <c r="A139" s="211"/>
      <c r="B139" s="179"/>
      <c r="C139" s="2" t="s">
        <v>50</v>
      </c>
      <c r="D139" s="24">
        <v>36000</v>
      </c>
      <c r="E139" s="24"/>
      <c r="F139" s="24"/>
      <c r="G139" s="24"/>
      <c r="H139" s="24"/>
      <c r="I139" s="24"/>
      <c r="J139" s="24"/>
      <c r="K139" s="24"/>
      <c r="L139" s="24"/>
      <c r="M139" s="24">
        <f>D139+E139+F139+G139+H139+J139+I139</f>
        <v>36000</v>
      </c>
      <c r="N139" s="33">
        <v>0</v>
      </c>
      <c r="O139" s="21">
        <f>M139-N139</f>
        <v>36000</v>
      </c>
    </row>
    <row r="140" spans="1:16" s="52" customFormat="1" x14ac:dyDescent="0.3">
      <c r="A140" s="211"/>
      <c r="B140" s="179"/>
      <c r="C140" s="81" t="s">
        <v>51</v>
      </c>
      <c r="D140" s="50">
        <v>0</v>
      </c>
      <c r="E140" s="51"/>
      <c r="F140" s="50"/>
      <c r="G140" s="50"/>
      <c r="H140" s="50"/>
      <c r="I140" s="50"/>
      <c r="J140" s="50"/>
      <c r="K140" s="50"/>
      <c r="L140" s="50"/>
      <c r="M140" s="50">
        <f>D140+E140+F140+G140+H140+J140+I140</f>
        <v>0</v>
      </c>
      <c r="N140" s="33">
        <v>0</v>
      </c>
      <c r="O140" s="32">
        <f t="shared" si="4"/>
        <v>0</v>
      </c>
      <c r="P140" s="80"/>
    </row>
    <row r="141" spans="1:16" x14ac:dyDescent="0.3">
      <c r="A141" s="211"/>
      <c r="B141" s="179"/>
      <c r="C141" s="6" t="s">
        <v>41</v>
      </c>
      <c r="D141" s="97">
        <f>SUM(D135:D140)</f>
        <v>6693828</v>
      </c>
      <c r="E141" s="97">
        <f t="shared" ref="E141:L141" si="13">SUM(E135:E140)</f>
        <v>0</v>
      </c>
      <c r="F141" s="97">
        <f t="shared" si="13"/>
        <v>0</v>
      </c>
      <c r="G141" s="97">
        <f t="shared" si="13"/>
        <v>0</v>
      </c>
      <c r="H141" s="97">
        <f t="shared" si="13"/>
        <v>0</v>
      </c>
      <c r="I141" s="97">
        <f t="shared" si="13"/>
        <v>0</v>
      </c>
      <c r="J141" s="97">
        <f t="shared" si="13"/>
        <v>0</v>
      </c>
      <c r="K141" s="97">
        <f t="shared" si="13"/>
        <v>0</v>
      </c>
      <c r="L141" s="97">
        <f t="shared" si="13"/>
        <v>0</v>
      </c>
      <c r="M141" s="97">
        <f>SUM(M135:M140)</f>
        <v>6693828</v>
      </c>
      <c r="N141" s="49">
        <f>SUM(N135:N140)</f>
        <v>2180622</v>
      </c>
      <c r="O141" s="26">
        <f>SUM(O135:O140)</f>
        <v>4513206</v>
      </c>
    </row>
    <row r="142" spans="1:16" x14ac:dyDescent="0.3">
      <c r="A142" s="211"/>
      <c r="B142" s="179"/>
      <c r="C142" s="57" t="s">
        <v>42</v>
      </c>
      <c r="D142" s="98">
        <v>1214588</v>
      </c>
      <c r="E142" s="98"/>
      <c r="F142" s="98"/>
      <c r="G142" s="98"/>
      <c r="H142" s="98"/>
      <c r="I142" s="98"/>
      <c r="J142" s="98"/>
      <c r="K142" s="98"/>
      <c r="L142" s="98"/>
      <c r="M142" s="99">
        <f>D142+E142+F142+G142+H142+J142</f>
        <v>1214588</v>
      </c>
      <c r="N142" s="133">
        <v>383246</v>
      </c>
      <c r="O142" s="55">
        <f t="shared" si="4"/>
        <v>831342</v>
      </c>
    </row>
    <row r="143" spans="1:16" x14ac:dyDescent="0.3">
      <c r="A143" s="211"/>
      <c r="B143" s="179"/>
      <c r="C143" s="2" t="s">
        <v>43</v>
      </c>
      <c r="D143" s="24">
        <v>50000</v>
      </c>
      <c r="E143" s="24"/>
      <c r="F143" s="24"/>
      <c r="G143" s="24"/>
      <c r="H143" s="24"/>
      <c r="I143" s="24"/>
      <c r="J143" s="24"/>
      <c r="K143" s="24"/>
      <c r="L143" s="24"/>
      <c r="M143" s="24">
        <f t="shared" ref="M143:M155" si="14">D143+E143+F143+G143+H143+J143+I143</f>
        <v>50000</v>
      </c>
      <c r="N143" s="33">
        <v>0</v>
      </c>
      <c r="O143" s="14">
        <f t="shared" ref="O143:O155" si="15">M143-N143</f>
        <v>50000</v>
      </c>
    </row>
    <row r="144" spans="1:16" s="52" customFormat="1" x14ac:dyDescent="0.3">
      <c r="A144" s="211"/>
      <c r="B144" s="179"/>
      <c r="C144" s="79" t="s">
        <v>53</v>
      </c>
      <c r="D144" s="50">
        <v>270000</v>
      </c>
      <c r="E144" s="51"/>
      <c r="F144" s="50"/>
      <c r="G144" s="50"/>
      <c r="H144" s="50"/>
      <c r="I144" s="50"/>
      <c r="J144" s="50"/>
      <c r="K144" s="50"/>
      <c r="L144" s="50"/>
      <c r="M144" s="50">
        <f t="shared" si="14"/>
        <v>270000</v>
      </c>
      <c r="N144" s="32">
        <v>29697</v>
      </c>
      <c r="O144" s="32">
        <f t="shared" si="15"/>
        <v>240303</v>
      </c>
      <c r="P144" s="80"/>
    </row>
    <row r="145" spans="1:15" x14ac:dyDescent="0.3">
      <c r="A145" s="211"/>
      <c r="B145" s="179"/>
      <c r="C145" s="2" t="s">
        <v>54</v>
      </c>
      <c r="D145" s="24">
        <v>54486</v>
      </c>
      <c r="E145" s="24"/>
      <c r="F145" s="24"/>
      <c r="G145" s="24"/>
      <c r="H145" s="24"/>
      <c r="I145" s="24"/>
      <c r="J145" s="24"/>
      <c r="K145" s="24"/>
      <c r="L145" s="24"/>
      <c r="M145" s="24">
        <f t="shared" si="14"/>
        <v>54486</v>
      </c>
      <c r="N145" s="33">
        <v>22705</v>
      </c>
      <c r="O145" s="21">
        <f t="shared" si="15"/>
        <v>31781</v>
      </c>
    </row>
    <row r="146" spans="1:15" x14ac:dyDescent="0.3">
      <c r="A146" s="211"/>
      <c r="B146" s="179"/>
      <c r="C146" s="2" t="s">
        <v>55</v>
      </c>
      <c r="D146" s="24">
        <v>48185</v>
      </c>
      <c r="E146" s="24"/>
      <c r="F146" s="24"/>
      <c r="G146" s="24"/>
      <c r="H146" s="24"/>
      <c r="I146" s="24"/>
      <c r="J146" s="24"/>
      <c r="K146" s="24"/>
      <c r="L146" s="24"/>
      <c r="M146" s="24">
        <f t="shared" si="14"/>
        <v>48185</v>
      </c>
      <c r="N146" s="33">
        <v>20064</v>
      </c>
      <c r="O146" s="21">
        <f t="shared" si="15"/>
        <v>28121</v>
      </c>
    </row>
    <row r="147" spans="1:15" x14ac:dyDescent="0.3">
      <c r="A147" s="211"/>
      <c r="B147" s="179"/>
      <c r="C147" s="2" t="s">
        <v>56</v>
      </c>
      <c r="D147" s="24">
        <v>609750</v>
      </c>
      <c r="E147" s="24"/>
      <c r="F147" s="24"/>
      <c r="G147" s="24"/>
      <c r="H147" s="24"/>
      <c r="I147" s="24"/>
      <c r="J147" s="24"/>
      <c r="K147" s="24"/>
      <c r="L147" s="24"/>
      <c r="M147" s="24">
        <f t="shared" si="14"/>
        <v>609750</v>
      </c>
      <c r="N147" s="33">
        <v>350085</v>
      </c>
      <c r="O147" s="21">
        <f t="shared" si="15"/>
        <v>259665</v>
      </c>
    </row>
    <row r="148" spans="1:15" x14ac:dyDescent="0.3">
      <c r="A148" s="211"/>
      <c r="B148" s="179"/>
      <c r="C148" s="2" t="s">
        <v>61</v>
      </c>
      <c r="D148" s="24">
        <v>1186570</v>
      </c>
      <c r="E148" s="24"/>
      <c r="F148" s="24"/>
      <c r="G148" s="24"/>
      <c r="H148" s="24"/>
      <c r="I148" s="24"/>
      <c r="J148" s="24"/>
      <c r="K148" s="24"/>
      <c r="L148" s="24"/>
      <c r="M148" s="24">
        <f t="shared" si="14"/>
        <v>1186570</v>
      </c>
      <c r="N148" s="33">
        <v>363944</v>
      </c>
      <c r="O148" s="21">
        <f t="shared" si="15"/>
        <v>822626</v>
      </c>
    </row>
    <row r="149" spans="1:15" x14ac:dyDescent="0.3">
      <c r="A149" s="211"/>
      <c r="B149" s="179"/>
      <c r="C149" s="2" t="s">
        <v>62</v>
      </c>
      <c r="D149" s="24">
        <v>891960</v>
      </c>
      <c r="E149" s="24"/>
      <c r="F149" s="24"/>
      <c r="G149" s="24"/>
      <c r="H149" s="24"/>
      <c r="I149" s="24"/>
      <c r="J149" s="24"/>
      <c r="K149" s="24"/>
      <c r="L149" s="24"/>
      <c r="M149" s="24">
        <f t="shared" si="14"/>
        <v>891960</v>
      </c>
      <c r="N149" s="33">
        <v>371650</v>
      </c>
      <c r="O149" s="21">
        <f t="shared" si="15"/>
        <v>520310</v>
      </c>
    </row>
    <row r="150" spans="1:15" x14ac:dyDescent="0.3">
      <c r="A150" s="211"/>
      <c r="B150" s="179"/>
      <c r="C150" s="2" t="s">
        <v>57</v>
      </c>
      <c r="D150" s="24">
        <v>187000</v>
      </c>
      <c r="E150" s="24">
        <v>-150000</v>
      </c>
      <c r="F150" s="24"/>
      <c r="G150" s="24"/>
      <c r="H150" s="24"/>
      <c r="I150" s="24"/>
      <c r="J150" s="24"/>
      <c r="K150" s="24"/>
      <c r="L150" s="24"/>
      <c r="M150" s="24">
        <f t="shared" si="14"/>
        <v>37000</v>
      </c>
      <c r="N150" s="33">
        <v>0</v>
      </c>
      <c r="O150" s="21">
        <f t="shared" si="15"/>
        <v>37000</v>
      </c>
    </row>
    <row r="151" spans="1:15" x14ac:dyDescent="0.3">
      <c r="A151" s="211"/>
      <c r="B151" s="179"/>
      <c r="C151" s="2" t="s">
        <v>44</v>
      </c>
      <c r="D151" s="24">
        <v>16000</v>
      </c>
      <c r="E151" s="24"/>
      <c r="F151" s="24"/>
      <c r="G151" s="24"/>
      <c r="H151" s="24"/>
      <c r="I151" s="24"/>
      <c r="J151" s="24"/>
      <c r="K151" s="24"/>
      <c r="L151" s="24"/>
      <c r="M151" s="24">
        <f t="shared" si="14"/>
        <v>16000</v>
      </c>
      <c r="N151" s="33">
        <v>5500</v>
      </c>
      <c r="O151" s="21">
        <f t="shared" si="15"/>
        <v>10500</v>
      </c>
    </row>
    <row r="152" spans="1:15" x14ac:dyDescent="0.3">
      <c r="A152" s="211"/>
      <c r="B152" s="179"/>
      <c r="C152" s="2" t="s">
        <v>58</v>
      </c>
      <c r="D152" s="24">
        <v>34305</v>
      </c>
      <c r="E152" s="24"/>
      <c r="F152" s="24"/>
      <c r="G152" s="24"/>
      <c r="H152" s="24"/>
      <c r="I152" s="24"/>
      <c r="J152" s="24"/>
      <c r="K152" s="24"/>
      <c r="L152" s="24"/>
      <c r="M152" s="24">
        <f t="shared" si="14"/>
        <v>34305</v>
      </c>
      <c r="N152" s="33">
        <v>13778</v>
      </c>
      <c r="O152" s="21">
        <f t="shared" si="15"/>
        <v>20527</v>
      </c>
    </row>
    <row r="153" spans="1:15" x14ac:dyDescent="0.3">
      <c r="A153" s="211"/>
      <c r="B153" s="179"/>
      <c r="C153" s="2" t="s">
        <v>59</v>
      </c>
      <c r="D153" s="24">
        <v>0</v>
      </c>
      <c r="E153" s="24"/>
      <c r="F153" s="24"/>
      <c r="G153" s="24"/>
      <c r="H153" s="24"/>
      <c r="I153" s="24"/>
      <c r="J153" s="24"/>
      <c r="K153" s="24"/>
      <c r="L153" s="24"/>
      <c r="M153" s="24">
        <f t="shared" si="14"/>
        <v>0</v>
      </c>
      <c r="N153" s="33">
        <v>0</v>
      </c>
      <c r="O153" s="14">
        <f t="shared" si="15"/>
        <v>0</v>
      </c>
    </row>
    <row r="154" spans="1:15" x14ac:dyDescent="0.3">
      <c r="A154" s="211"/>
      <c r="B154" s="179"/>
      <c r="C154" s="2" t="s">
        <v>45</v>
      </c>
      <c r="D154" s="24">
        <v>796285</v>
      </c>
      <c r="E154" s="24"/>
      <c r="F154" s="24"/>
      <c r="G154" s="24"/>
      <c r="H154" s="24"/>
      <c r="I154" s="24"/>
      <c r="J154" s="24"/>
      <c r="K154" s="24"/>
      <c r="L154" s="24"/>
      <c r="M154" s="24">
        <f t="shared" si="14"/>
        <v>796285</v>
      </c>
      <c r="N154" s="33">
        <v>251066</v>
      </c>
      <c r="O154" s="14">
        <f t="shared" si="15"/>
        <v>545219</v>
      </c>
    </row>
    <row r="155" spans="1:15" x14ac:dyDescent="0.3">
      <c r="A155" s="211"/>
      <c r="B155" s="179"/>
      <c r="C155" s="2" t="s">
        <v>60</v>
      </c>
      <c r="D155" s="24">
        <v>100000</v>
      </c>
      <c r="E155" s="24"/>
      <c r="F155" s="24"/>
      <c r="G155" s="24"/>
      <c r="H155" s="24"/>
      <c r="I155" s="24"/>
      <c r="J155" s="24"/>
      <c r="K155" s="24"/>
      <c r="L155" s="24"/>
      <c r="M155" s="24">
        <f t="shared" si="14"/>
        <v>100000</v>
      </c>
      <c r="N155" s="33">
        <v>0</v>
      </c>
      <c r="O155" s="14">
        <f t="shared" si="15"/>
        <v>100000</v>
      </c>
    </row>
    <row r="156" spans="1:15" x14ac:dyDescent="0.3">
      <c r="A156" s="211"/>
      <c r="B156" s="179"/>
      <c r="C156" s="6" t="s">
        <v>46</v>
      </c>
      <c r="D156" s="97">
        <f>SUM(D143:D155)</f>
        <v>4244541</v>
      </c>
      <c r="E156" s="97">
        <f t="shared" ref="E156:O156" si="16">SUM(E143:E155)</f>
        <v>-150000</v>
      </c>
      <c r="F156" s="97">
        <f t="shared" si="16"/>
        <v>0</v>
      </c>
      <c r="G156" s="97">
        <f t="shared" si="16"/>
        <v>0</v>
      </c>
      <c r="H156" s="97">
        <f t="shared" si="16"/>
        <v>0</v>
      </c>
      <c r="I156" s="97">
        <f t="shared" si="16"/>
        <v>0</v>
      </c>
      <c r="J156" s="97">
        <f t="shared" si="16"/>
        <v>0</v>
      </c>
      <c r="K156" s="97">
        <f t="shared" si="16"/>
        <v>0</v>
      </c>
      <c r="L156" s="97">
        <f t="shared" si="16"/>
        <v>0</v>
      </c>
      <c r="M156" s="97">
        <f t="shared" si="16"/>
        <v>4094541</v>
      </c>
      <c r="N156" s="49">
        <f t="shared" si="16"/>
        <v>1428489</v>
      </c>
      <c r="O156" s="26">
        <f t="shared" si="16"/>
        <v>2666052</v>
      </c>
    </row>
    <row r="157" spans="1:15" x14ac:dyDescent="0.3">
      <c r="A157" s="211"/>
      <c r="B157" s="179" t="s">
        <v>13</v>
      </c>
      <c r="C157" s="2" t="s">
        <v>40</v>
      </c>
      <c r="D157" s="24">
        <v>19848108</v>
      </c>
      <c r="E157" s="24"/>
      <c r="F157" s="24"/>
      <c r="G157" s="24"/>
      <c r="H157" s="24"/>
      <c r="I157" s="24"/>
      <c r="J157" s="24"/>
      <c r="K157" s="24"/>
      <c r="L157" s="24"/>
      <c r="M157" s="24">
        <f t="shared" ref="M157:M162" si="17">D157+E157+F157+G157+H157+J157+I157</f>
        <v>19848108</v>
      </c>
      <c r="N157" s="33">
        <v>6574126</v>
      </c>
      <c r="O157" s="14">
        <f t="shared" ref="O157:O162" si="18">M157-N157</f>
        <v>13273982</v>
      </c>
    </row>
    <row r="158" spans="1:15" x14ac:dyDescent="0.3">
      <c r="A158" s="211"/>
      <c r="B158" s="179"/>
      <c r="C158" s="2" t="s">
        <v>47</v>
      </c>
      <c r="D158" s="24">
        <v>600000</v>
      </c>
      <c r="E158" s="24"/>
      <c r="F158" s="24"/>
      <c r="G158" s="24"/>
      <c r="H158" s="24"/>
      <c r="I158" s="24"/>
      <c r="J158" s="24"/>
      <c r="K158" s="24"/>
      <c r="L158" s="24"/>
      <c r="M158" s="24">
        <f t="shared" si="17"/>
        <v>600000</v>
      </c>
      <c r="N158" s="33">
        <v>0</v>
      </c>
      <c r="O158" s="14">
        <f t="shared" si="18"/>
        <v>600000</v>
      </c>
    </row>
    <row r="159" spans="1:15" x14ac:dyDescent="0.3">
      <c r="A159" s="211"/>
      <c r="B159" s="179"/>
      <c r="C159" s="2" t="s">
        <v>48</v>
      </c>
      <c r="D159" s="24">
        <v>30000</v>
      </c>
      <c r="E159" s="24"/>
      <c r="F159" s="24"/>
      <c r="G159" s="24"/>
      <c r="H159" s="24"/>
      <c r="I159" s="24"/>
      <c r="J159" s="24"/>
      <c r="K159" s="24"/>
      <c r="L159" s="24"/>
      <c r="M159" s="24">
        <f t="shared" si="17"/>
        <v>30000</v>
      </c>
      <c r="N159" s="33">
        <v>0</v>
      </c>
      <c r="O159" s="14">
        <f t="shared" si="18"/>
        <v>30000</v>
      </c>
    </row>
    <row r="160" spans="1:15" x14ac:dyDescent="0.3">
      <c r="A160" s="211"/>
      <c r="B160" s="179"/>
      <c r="C160" s="2" t="s">
        <v>49</v>
      </c>
      <c r="D160" s="24">
        <v>136000</v>
      </c>
      <c r="E160" s="24"/>
      <c r="F160" s="24"/>
      <c r="G160" s="24"/>
      <c r="H160" s="24"/>
      <c r="I160" s="24"/>
      <c r="J160" s="24"/>
      <c r="K160" s="24"/>
      <c r="L160" s="24"/>
      <c r="M160" s="24">
        <f t="shared" si="17"/>
        <v>136000</v>
      </c>
      <c r="N160" s="33">
        <v>6480</v>
      </c>
      <c r="O160" s="14">
        <f t="shared" si="18"/>
        <v>129520</v>
      </c>
    </row>
    <row r="161" spans="1:16" x14ac:dyDescent="0.3">
      <c r="A161" s="211"/>
      <c r="B161" s="179"/>
      <c r="C161" s="2" t="s">
        <v>50</v>
      </c>
      <c r="D161" s="24">
        <v>72000</v>
      </c>
      <c r="E161" s="24"/>
      <c r="F161" s="24"/>
      <c r="G161" s="24"/>
      <c r="H161" s="24"/>
      <c r="I161" s="24"/>
      <c r="J161" s="24"/>
      <c r="K161" s="24"/>
      <c r="L161" s="24"/>
      <c r="M161" s="24">
        <f t="shared" si="17"/>
        <v>72000</v>
      </c>
      <c r="N161" s="33">
        <v>0</v>
      </c>
      <c r="O161" s="14">
        <f t="shared" si="18"/>
        <v>72000</v>
      </c>
    </row>
    <row r="162" spans="1:16" s="52" customFormat="1" x14ac:dyDescent="0.3">
      <c r="A162" s="211"/>
      <c r="B162" s="179"/>
      <c r="C162" s="79" t="s">
        <v>51</v>
      </c>
      <c r="D162" s="50">
        <v>0</v>
      </c>
      <c r="E162" s="51"/>
      <c r="F162" s="50"/>
      <c r="G162" s="50"/>
      <c r="H162" s="50"/>
      <c r="I162" s="50"/>
      <c r="J162" s="50"/>
      <c r="K162" s="50"/>
      <c r="L162" s="50"/>
      <c r="M162" s="50">
        <f t="shared" si="17"/>
        <v>0</v>
      </c>
      <c r="N162" s="33">
        <v>0</v>
      </c>
      <c r="O162" s="32">
        <f t="shared" si="18"/>
        <v>0</v>
      </c>
      <c r="P162" s="80"/>
    </row>
    <row r="163" spans="1:16" x14ac:dyDescent="0.3">
      <c r="A163" s="211"/>
      <c r="B163" s="179"/>
      <c r="C163" s="6" t="s">
        <v>41</v>
      </c>
      <c r="D163" s="97">
        <f>SUM(D157:D162)</f>
        <v>20686108</v>
      </c>
      <c r="E163" s="97">
        <f t="shared" ref="E163:O163" si="19">SUM(E157:E162)</f>
        <v>0</v>
      </c>
      <c r="F163" s="97">
        <f t="shared" si="19"/>
        <v>0</v>
      </c>
      <c r="G163" s="97">
        <f t="shared" si="19"/>
        <v>0</v>
      </c>
      <c r="H163" s="97">
        <f t="shared" si="19"/>
        <v>0</v>
      </c>
      <c r="I163" s="97">
        <f t="shared" si="19"/>
        <v>0</v>
      </c>
      <c r="J163" s="97">
        <f t="shared" si="19"/>
        <v>0</v>
      </c>
      <c r="K163" s="97">
        <f t="shared" si="19"/>
        <v>0</v>
      </c>
      <c r="L163" s="97">
        <f t="shared" si="19"/>
        <v>0</v>
      </c>
      <c r="M163" s="97">
        <f t="shared" si="19"/>
        <v>20686108</v>
      </c>
      <c r="N163" s="49">
        <f t="shared" si="19"/>
        <v>6580606</v>
      </c>
      <c r="O163" s="26">
        <f t="shared" si="19"/>
        <v>14105502</v>
      </c>
    </row>
    <row r="164" spans="1:16" x14ac:dyDescent="0.3">
      <c r="A164" s="211"/>
      <c r="B164" s="179"/>
      <c r="C164" s="57" t="s">
        <v>42</v>
      </c>
      <c r="D164" s="98">
        <v>3692196</v>
      </c>
      <c r="E164" s="98"/>
      <c r="F164" s="98"/>
      <c r="G164" s="98"/>
      <c r="H164" s="98"/>
      <c r="I164" s="98"/>
      <c r="J164" s="98"/>
      <c r="K164" s="98"/>
      <c r="L164" s="98"/>
      <c r="M164" s="99">
        <f>D164+E164+F164+G164+H164+J164</f>
        <v>3692196</v>
      </c>
      <c r="N164" s="133">
        <v>1154743</v>
      </c>
      <c r="O164" s="55">
        <f t="shared" ref="O164:O176" si="20">M164-N164</f>
        <v>2537453</v>
      </c>
    </row>
    <row r="165" spans="1:16" x14ac:dyDescent="0.3">
      <c r="A165" s="211"/>
      <c r="B165" s="179"/>
      <c r="C165" s="2" t="s">
        <v>43</v>
      </c>
      <c r="D165" s="24">
        <v>70000</v>
      </c>
      <c r="E165" s="24">
        <v>-44937</v>
      </c>
      <c r="F165" s="24"/>
      <c r="G165" s="24"/>
      <c r="H165" s="24"/>
      <c r="I165" s="24"/>
      <c r="J165" s="24"/>
      <c r="K165" s="24"/>
      <c r="L165" s="24"/>
      <c r="M165" s="24">
        <f t="shared" ref="M165:M176" si="21">D165+E165+F165+G165+H165+J165+I165</f>
        <v>25063</v>
      </c>
      <c r="N165" s="33">
        <v>0</v>
      </c>
      <c r="O165" s="14">
        <f t="shared" si="20"/>
        <v>25063</v>
      </c>
    </row>
    <row r="166" spans="1:16" x14ac:dyDescent="0.3">
      <c r="A166" s="211"/>
      <c r="B166" s="179"/>
      <c r="C166" s="2" t="s">
        <v>53</v>
      </c>
      <c r="D166" s="24">
        <v>250000</v>
      </c>
      <c r="E166" s="24">
        <v>-19690</v>
      </c>
      <c r="F166" s="24"/>
      <c r="G166" s="24"/>
      <c r="H166" s="24"/>
      <c r="I166" s="24"/>
      <c r="J166" s="24"/>
      <c r="K166" s="24"/>
      <c r="L166" s="24"/>
      <c r="M166" s="24">
        <f t="shared" si="21"/>
        <v>230310</v>
      </c>
      <c r="N166" s="33">
        <v>0</v>
      </c>
      <c r="O166" s="21">
        <f t="shared" si="20"/>
        <v>230310</v>
      </c>
    </row>
    <row r="167" spans="1:16" x14ac:dyDescent="0.3">
      <c r="A167" s="211"/>
      <c r="B167" s="179"/>
      <c r="C167" s="2" t="s">
        <v>54</v>
      </c>
      <c r="D167" s="24">
        <v>134280</v>
      </c>
      <c r="E167" s="24"/>
      <c r="F167" s="24"/>
      <c r="G167" s="24"/>
      <c r="H167" s="24"/>
      <c r="I167" s="24"/>
      <c r="J167" s="24"/>
      <c r="K167" s="24"/>
      <c r="L167" s="24"/>
      <c r="M167" s="24">
        <f t="shared" si="21"/>
        <v>134280</v>
      </c>
      <c r="N167" s="33">
        <v>55950</v>
      </c>
      <c r="O167" s="14">
        <f t="shared" si="20"/>
        <v>78330</v>
      </c>
    </row>
    <row r="168" spans="1:16" x14ac:dyDescent="0.3">
      <c r="A168" s="211"/>
      <c r="B168" s="179"/>
      <c r="C168" s="2" t="s">
        <v>55</v>
      </c>
      <c r="D168" s="24">
        <v>90000</v>
      </c>
      <c r="E168" s="24"/>
      <c r="F168" s="24"/>
      <c r="G168" s="24"/>
      <c r="H168" s="24"/>
      <c r="I168" s="24"/>
      <c r="J168" s="24"/>
      <c r="K168" s="24"/>
      <c r="L168" s="24"/>
      <c r="M168" s="24">
        <f t="shared" si="21"/>
        <v>90000</v>
      </c>
      <c r="N168" s="33">
        <v>44729</v>
      </c>
      <c r="O168" s="14">
        <f t="shared" si="20"/>
        <v>45271</v>
      </c>
    </row>
    <row r="169" spans="1:16" x14ac:dyDescent="0.3">
      <c r="A169" s="211"/>
      <c r="B169" s="179"/>
      <c r="C169" s="2" t="s">
        <v>56</v>
      </c>
      <c r="D169" s="24">
        <v>2763244</v>
      </c>
      <c r="E169" s="24"/>
      <c r="F169" s="24"/>
      <c r="G169" s="24"/>
      <c r="H169" s="24"/>
      <c r="I169" s="24"/>
      <c r="J169" s="24"/>
      <c r="K169" s="24"/>
      <c r="L169" s="24"/>
      <c r="M169" s="24">
        <f t="shared" si="21"/>
        <v>2763244</v>
      </c>
      <c r="N169" s="33">
        <v>946900</v>
      </c>
      <c r="O169" s="14">
        <f t="shared" si="20"/>
        <v>1816344</v>
      </c>
    </row>
    <row r="170" spans="1:16" x14ac:dyDescent="0.3">
      <c r="A170" s="211"/>
      <c r="B170" s="179"/>
      <c r="C170" s="2" t="s">
        <v>62</v>
      </c>
      <c r="D170" s="24">
        <v>0</v>
      </c>
      <c r="E170" s="24"/>
      <c r="F170" s="24"/>
      <c r="G170" s="24"/>
      <c r="H170" s="24"/>
      <c r="I170" s="24"/>
      <c r="J170" s="24"/>
      <c r="K170" s="24"/>
      <c r="L170" s="24"/>
      <c r="M170" s="24">
        <f t="shared" si="21"/>
        <v>0</v>
      </c>
      <c r="N170" s="33">
        <v>0</v>
      </c>
      <c r="O170" s="14">
        <f t="shared" si="20"/>
        <v>0</v>
      </c>
    </row>
    <row r="171" spans="1:16" x14ac:dyDescent="0.3">
      <c r="A171" s="211"/>
      <c r="B171" s="179"/>
      <c r="C171" s="2" t="s">
        <v>57</v>
      </c>
      <c r="D171" s="24">
        <v>100000</v>
      </c>
      <c r="E171" s="24">
        <v>-80000</v>
      </c>
      <c r="F171" s="24"/>
      <c r="G171" s="24">
        <v>435102</v>
      </c>
      <c r="H171" s="24"/>
      <c r="I171" s="24"/>
      <c r="J171" s="24"/>
      <c r="K171" s="24"/>
      <c r="L171" s="24"/>
      <c r="M171" s="24">
        <f t="shared" si="21"/>
        <v>455102</v>
      </c>
      <c r="N171" s="33">
        <v>0</v>
      </c>
      <c r="O171" s="14">
        <f t="shared" si="20"/>
        <v>455102</v>
      </c>
    </row>
    <row r="172" spans="1:16" x14ac:dyDescent="0.3">
      <c r="A172" s="211"/>
      <c r="B172" s="179"/>
      <c r="C172" s="2" t="s">
        <v>44</v>
      </c>
      <c r="D172" s="24">
        <v>1005000</v>
      </c>
      <c r="E172" s="24"/>
      <c r="F172" s="24"/>
      <c r="G172" s="24"/>
      <c r="H172" s="24"/>
      <c r="I172" s="24"/>
      <c r="J172" s="24"/>
      <c r="K172" s="24"/>
      <c r="L172" s="24"/>
      <c r="M172" s="24">
        <f t="shared" si="21"/>
        <v>1005000</v>
      </c>
      <c r="N172" s="33">
        <v>330100</v>
      </c>
      <c r="O172" s="14">
        <f t="shared" si="20"/>
        <v>674900</v>
      </c>
    </row>
    <row r="173" spans="1:16" x14ac:dyDescent="0.3">
      <c r="A173" s="211"/>
      <c r="B173" s="179"/>
      <c r="C173" s="2" t="s">
        <v>58</v>
      </c>
      <c r="D173" s="24">
        <v>4878800</v>
      </c>
      <c r="E173" s="24"/>
      <c r="F173" s="24"/>
      <c r="G173" s="24"/>
      <c r="H173" s="24"/>
      <c r="I173" s="24"/>
      <c r="J173" s="24"/>
      <c r="K173" s="24"/>
      <c r="L173" s="24"/>
      <c r="M173" s="24">
        <f t="shared" si="21"/>
        <v>4878800</v>
      </c>
      <c r="N173" s="33">
        <v>1238103</v>
      </c>
      <c r="O173" s="21">
        <f t="shared" si="20"/>
        <v>3640697</v>
      </c>
    </row>
    <row r="174" spans="1:16" x14ac:dyDescent="0.3">
      <c r="A174" s="211"/>
      <c r="B174" s="179"/>
      <c r="C174" s="2" t="s">
        <v>59</v>
      </c>
      <c r="D174" s="24">
        <v>0</v>
      </c>
      <c r="E174" s="24"/>
      <c r="F174" s="24"/>
      <c r="G174" s="24"/>
      <c r="H174" s="24"/>
      <c r="I174" s="24"/>
      <c r="J174" s="24"/>
      <c r="K174" s="24"/>
      <c r="L174" s="24"/>
      <c r="M174" s="24">
        <f t="shared" si="21"/>
        <v>0</v>
      </c>
      <c r="N174" s="33">
        <v>0</v>
      </c>
      <c r="O174" s="14">
        <f t="shared" si="20"/>
        <v>0</v>
      </c>
    </row>
    <row r="175" spans="1:16" x14ac:dyDescent="0.3">
      <c r="A175" s="211"/>
      <c r="B175" s="179"/>
      <c r="C175" s="2" t="s">
        <v>45</v>
      </c>
      <c r="D175" s="24">
        <v>2192716</v>
      </c>
      <c r="E175" s="24"/>
      <c r="F175" s="24"/>
      <c r="G175" s="24">
        <v>117478</v>
      </c>
      <c r="H175" s="24"/>
      <c r="I175" s="24"/>
      <c r="J175" s="24"/>
      <c r="K175" s="24"/>
      <c r="L175" s="24"/>
      <c r="M175" s="24">
        <f t="shared" si="21"/>
        <v>2310194</v>
      </c>
      <c r="N175" s="33">
        <v>330482</v>
      </c>
      <c r="O175" s="14">
        <f t="shared" si="20"/>
        <v>1979712</v>
      </c>
    </row>
    <row r="176" spans="1:16" x14ac:dyDescent="0.3">
      <c r="A176" s="211"/>
      <c r="B176" s="179"/>
      <c r="C176" s="2" t="s">
        <v>60</v>
      </c>
      <c r="D176" s="24">
        <v>1000</v>
      </c>
      <c r="E176" s="24"/>
      <c r="F176" s="24"/>
      <c r="G176" s="24"/>
      <c r="H176" s="24"/>
      <c r="I176" s="24"/>
      <c r="J176" s="24"/>
      <c r="K176" s="24"/>
      <c r="L176" s="24"/>
      <c r="M176" s="24">
        <f t="shared" si="21"/>
        <v>1000</v>
      </c>
      <c r="N176" s="33">
        <v>0</v>
      </c>
      <c r="O176" s="14">
        <f t="shared" si="20"/>
        <v>1000</v>
      </c>
    </row>
    <row r="177" spans="1:16" x14ac:dyDescent="0.3">
      <c r="A177" s="211"/>
      <c r="B177" s="179"/>
      <c r="C177" s="6" t="s">
        <v>46</v>
      </c>
      <c r="D177" s="97">
        <f>SUM(D165:D176)</f>
        <v>11485040</v>
      </c>
      <c r="E177" s="97">
        <f t="shared" ref="E177:O177" si="22">SUM(E165:E176)</f>
        <v>-144627</v>
      </c>
      <c r="F177" s="97">
        <f t="shared" si="22"/>
        <v>0</v>
      </c>
      <c r="G177" s="97">
        <f t="shared" si="22"/>
        <v>552580</v>
      </c>
      <c r="H177" s="97">
        <f t="shared" si="22"/>
        <v>0</v>
      </c>
      <c r="I177" s="97">
        <f t="shared" si="22"/>
        <v>0</v>
      </c>
      <c r="J177" s="97">
        <f t="shared" si="22"/>
        <v>0</v>
      </c>
      <c r="K177" s="97">
        <f t="shared" si="22"/>
        <v>0</v>
      </c>
      <c r="L177" s="97">
        <f t="shared" si="22"/>
        <v>0</v>
      </c>
      <c r="M177" s="97">
        <f t="shared" si="22"/>
        <v>11892993</v>
      </c>
      <c r="N177" s="49">
        <f t="shared" si="22"/>
        <v>2946264</v>
      </c>
      <c r="O177" s="26">
        <f t="shared" si="22"/>
        <v>8946729</v>
      </c>
    </row>
    <row r="178" spans="1:16" x14ac:dyDescent="0.3">
      <c r="A178" s="211"/>
      <c r="B178" s="179" t="s">
        <v>16</v>
      </c>
      <c r="C178" s="2" t="s">
        <v>40</v>
      </c>
      <c r="D178" s="24">
        <v>3975864</v>
      </c>
      <c r="E178" s="24">
        <v>-59006</v>
      </c>
      <c r="F178" s="24"/>
      <c r="G178" s="24"/>
      <c r="H178" s="24"/>
      <c r="I178" s="24"/>
      <c r="J178" s="24"/>
      <c r="K178" s="24"/>
      <c r="L178" s="24"/>
      <c r="M178" s="24">
        <f>D178+E178+F178+G178+H178+J178+I178</f>
        <v>3916858</v>
      </c>
      <c r="N178" s="33">
        <v>1640493</v>
      </c>
      <c r="O178" s="21">
        <f t="shared" ref="O178:O182" si="23">M178-N178</f>
        <v>2276365</v>
      </c>
    </row>
    <row r="179" spans="1:16" x14ac:dyDescent="0.3">
      <c r="A179" s="211"/>
      <c r="B179" s="179"/>
      <c r="C179" s="2" t="s">
        <v>47</v>
      </c>
      <c r="D179" s="24">
        <v>150000</v>
      </c>
      <c r="E179" s="24"/>
      <c r="F179" s="24"/>
      <c r="G179" s="24"/>
      <c r="H179" s="24"/>
      <c r="I179" s="24"/>
      <c r="J179" s="24"/>
      <c r="K179" s="24"/>
      <c r="L179" s="24"/>
      <c r="M179" s="24">
        <f>D179+E179+F179+G179+H179+J179+I179</f>
        <v>150000</v>
      </c>
      <c r="N179" s="33">
        <v>0</v>
      </c>
      <c r="O179" s="14">
        <f t="shared" si="23"/>
        <v>150000</v>
      </c>
    </row>
    <row r="180" spans="1:16" x14ac:dyDescent="0.3">
      <c r="A180" s="211"/>
      <c r="B180" s="179"/>
      <c r="C180" s="2" t="s">
        <v>48</v>
      </c>
      <c r="D180" s="24">
        <v>10000</v>
      </c>
      <c r="E180" s="24"/>
      <c r="F180" s="24"/>
      <c r="G180" s="24"/>
      <c r="H180" s="24"/>
      <c r="I180" s="24"/>
      <c r="J180" s="24"/>
      <c r="K180" s="24"/>
      <c r="L180" s="24"/>
      <c r="M180" s="24">
        <f>D180+E180+F180+G180+H180+J180+I180</f>
        <v>10000</v>
      </c>
      <c r="N180" s="33">
        <v>0</v>
      </c>
      <c r="O180" s="14">
        <f t="shared" si="23"/>
        <v>10000</v>
      </c>
    </row>
    <row r="181" spans="1:16" x14ac:dyDescent="0.3">
      <c r="A181" s="211"/>
      <c r="B181" s="179"/>
      <c r="C181" s="2" t="s">
        <v>50</v>
      </c>
      <c r="D181" s="24">
        <v>24000</v>
      </c>
      <c r="E181" s="24"/>
      <c r="F181" s="24"/>
      <c r="G181" s="24"/>
      <c r="H181" s="24"/>
      <c r="I181" s="24"/>
      <c r="J181" s="24"/>
      <c r="K181" s="24"/>
      <c r="L181" s="24"/>
      <c r="M181" s="24">
        <f>D181+E181+F181+G181+H181+J181+I181</f>
        <v>24000</v>
      </c>
      <c r="N181" s="33">
        <v>0</v>
      </c>
      <c r="O181" s="14">
        <f t="shared" si="23"/>
        <v>24000</v>
      </c>
    </row>
    <row r="182" spans="1:16" x14ac:dyDescent="0.3">
      <c r="A182" s="211"/>
      <c r="B182" s="179"/>
      <c r="C182" s="2" t="s">
        <v>51</v>
      </c>
      <c r="D182" s="24">
        <v>65000</v>
      </c>
      <c r="E182" s="24">
        <v>59006</v>
      </c>
      <c r="F182" s="24"/>
      <c r="G182" s="24"/>
      <c r="H182" s="24"/>
      <c r="I182" s="24"/>
      <c r="J182" s="24"/>
      <c r="K182" s="24"/>
      <c r="L182" s="24"/>
      <c r="M182" s="24">
        <f>D182+E182+F182+G182+H182+J182+I182</f>
        <v>124006</v>
      </c>
      <c r="N182" s="33">
        <v>16170</v>
      </c>
      <c r="O182" s="14">
        <f t="shared" si="23"/>
        <v>107836</v>
      </c>
    </row>
    <row r="183" spans="1:16" x14ac:dyDescent="0.3">
      <c r="A183" s="211"/>
      <c r="B183" s="179"/>
      <c r="C183" s="6" t="s">
        <v>41</v>
      </c>
      <c r="D183" s="97">
        <f>SUM(D178:D182)</f>
        <v>4224864</v>
      </c>
      <c r="E183" s="97">
        <f t="shared" ref="E183:O183" si="24">SUM(E178:E182)</f>
        <v>0</v>
      </c>
      <c r="F183" s="97">
        <f t="shared" si="24"/>
        <v>0</v>
      </c>
      <c r="G183" s="97">
        <f t="shared" si="24"/>
        <v>0</v>
      </c>
      <c r="H183" s="97">
        <f t="shared" si="24"/>
        <v>0</v>
      </c>
      <c r="I183" s="97">
        <f t="shared" si="24"/>
        <v>0</v>
      </c>
      <c r="J183" s="97">
        <f t="shared" si="24"/>
        <v>0</v>
      </c>
      <c r="K183" s="97">
        <f t="shared" si="24"/>
        <v>0</v>
      </c>
      <c r="L183" s="97">
        <f t="shared" si="24"/>
        <v>0</v>
      </c>
      <c r="M183" s="97">
        <f t="shared" si="24"/>
        <v>4224864</v>
      </c>
      <c r="N183" s="49">
        <f t="shared" si="24"/>
        <v>1656663</v>
      </c>
      <c r="O183" s="26">
        <f t="shared" si="24"/>
        <v>2568201</v>
      </c>
    </row>
    <row r="184" spans="1:16" x14ac:dyDescent="0.3">
      <c r="A184" s="211"/>
      <c r="B184" s="179"/>
      <c r="C184" s="57" t="s">
        <v>42</v>
      </c>
      <c r="D184" s="98">
        <v>750476</v>
      </c>
      <c r="E184" s="98"/>
      <c r="F184" s="98">
        <v>0</v>
      </c>
      <c r="G184" s="98"/>
      <c r="H184" s="98"/>
      <c r="I184" s="98"/>
      <c r="J184" s="98"/>
      <c r="K184" s="98"/>
      <c r="L184" s="98"/>
      <c r="M184" s="99">
        <f>D184+E184+F184+G184+H184+J184</f>
        <v>750476</v>
      </c>
      <c r="N184" s="133">
        <v>290805</v>
      </c>
      <c r="O184" s="55">
        <f t="shared" ref="O184:O191" si="25">M184-N184</f>
        <v>459671</v>
      </c>
    </row>
    <row r="185" spans="1:16" s="142" customFormat="1" x14ac:dyDescent="0.3">
      <c r="A185" s="211"/>
      <c r="B185" s="179"/>
      <c r="C185" s="139" t="s">
        <v>43</v>
      </c>
      <c r="D185" s="140">
        <v>0</v>
      </c>
      <c r="E185" s="140">
        <v>44937</v>
      </c>
      <c r="F185" s="140"/>
      <c r="G185" s="140"/>
      <c r="H185" s="140"/>
      <c r="I185" s="140"/>
      <c r="J185" s="140"/>
      <c r="K185" s="140"/>
      <c r="L185" s="140"/>
      <c r="M185" s="24">
        <f t="shared" ref="M185:M191" si="26">D185+E185+F185+G185+H185+J185+I185</f>
        <v>44937</v>
      </c>
      <c r="N185" s="134">
        <v>0</v>
      </c>
      <c r="O185" s="21">
        <f t="shared" si="25"/>
        <v>44937</v>
      </c>
      <c r="P185" s="141"/>
    </row>
    <row r="186" spans="1:16" x14ac:dyDescent="0.3">
      <c r="A186" s="211"/>
      <c r="B186" s="179"/>
      <c r="C186" s="2" t="s">
        <v>53</v>
      </c>
      <c r="D186" s="24">
        <v>20000</v>
      </c>
      <c r="E186" s="24">
        <f>19690+150000</f>
        <v>169690</v>
      </c>
      <c r="F186" s="24"/>
      <c r="G186" s="24"/>
      <c r="H186" s="24"/>
      <c r="I186" s="24"/>
      <c r="J186" s="24"/>
      <c r="K186" s="24"/>
      <c r="L186" s="24"/>
      <c r="M186" s="24">
        <f t="shared" si="26"/>
        <v>189690</v>
      </c>
      <c r="N186" s="33">
        <v>175288</v>
      </c>
      <c r="O186" s="21">
        <f t="shared" si="25"/>
        <v>14402</v>
      </c>
    </row>
    <row r="187" spans="1:16" x14ac:dyDescent="0.3">
      <c r="A187" s="211"/>
      <c r="B187" s="179"/>
      <c r="C187" s="2" t="s">
        <v>61</v>
      </c>
      <c r="D187" s="24">
        <v>11035101</v>
      </c>
      <c r="E187" s="24">
        <v>-42210</v>
      </c>
      <c r="F187" s="28"/>
      <c r="G187" s="28"/>
      <c r="H187" s="24"/>
      <c r="I187" s="24"/>
      <c r="J187" s="24"/>
      <c r="K187" s="24"/>
      <c r="L187" s="24"/>
      <c r="M187" s="24">
        <f t="shared" si="26"/>
        <v>10992891</v>
      </c>
      <c r="N187" s="33">
        <v>4358886</v>
      </c>
      <c r="O187" s="14">
        <f t="shared" si="25"/>
        <v>6634005</v>
      </c>
    </row>
    <row r="188" spans="1:16" x14ac:dyDescent="0.3">
      <c r="A188" s="211"/>
      <c r="B188" s="179"/>
      <c r="C188" s="2" t="s">
        <v>44</v>
      </c>
      <c r="D188" s="24">
        <v>15200</v>
      </c>
      <c r="E188" s="24"/>
      <c r="F188" s="28"/>
      <c r="G188" s="28"/>
      <c r="H188" s="24"/>
      <c r="I188" s="24"/>
      <c r="J188" s="24"/>
      <c r="K188" s="24"/>
      <c r="L188" s="24"/>
      <c r="M188" s="24">
        <f t="shared" si="26"/>
        <v>15200</v>
      </c>
      <c r="N188" s="33">
        <v>3400</v>
      </c>
      <c r="O188" s="21">
        <f t="shared" si="25"/>
        <v>11800</v>
      </c>
    </row>
    <row r="189" spans="1:16" x14ac:dyDescent="0.3">
      <c r="A189" s="211"/>
      <c r="B189" s="179"/>
      <c r="C189" s="2" t="s">
        <v>58</v>
      </c>
      <c r="D189" s="24">
        <v>58000</v>
      </c>
      <c r="E189" s="24"/>
      <c r="F189" s="28"/>
      <c r="G189" s="28"/>
      <c r="H189" s="24"/>
      <c r="I189" s="24"/>
      <c r="J189" s="24"/>
      <c r="K189" s="24"/>
      <c r="L189" s="24"/>
      <c r="M189" s="24">
        <f t="shared" si="26"/>
        <v>58000</v>
      </c>
      <c r="N189" s="33">
        <v>21269</v>
      </c>
      <c r="O189" s="14">
        <f t="shared" si="25"/>
        <v>36731</v>
      </c>
    </row>
    <row r="190" spans="1:16" x14ac:dyDescent="0.3">
      <c r="A190" s="211"/>
      <c r="B190" s="179"/>
      <c r="C190" s="2" t="s">
        <v>45</v>
      </c>
      <c r="D190" s="24">
        <v>3000537</v>
      </c>
      <c r="E190" s="24"/>
      <c r="F190" s="28"/>
      <c r="G190" s="28"/>
      <c r="H190" s="24"/>
      <c r="I190" s="24"/>
      <c r="J190" s="24"/>
      <c r="K190" s="24"/>
      <c r="L190" s="24"/>
      <c r="M190" s="24">
        <f t="shared" si="26"/>
        <v>3000537</v>
      </c>
      <c r="N190" s="33">
        <v>1229970</v>
      </c>
      <c r="O190" s="14">
        <f t="shared" si="25"/>
        <v>1770567</v>
      </c>
    </row>
    <row r="191" spans="1:16" x14ac:dyDescent="0.3">
      <c r="A191" s="211"/>
      <c r="B191" s="179"/>
      <c r="C191" s="2" t="s">
        <v>146</v>
      </c>
      <c r="D191" s="24">
        <v>0</v>
      </c>
      <c r="E191" s="24"/>
      <c r="F191" s="28"/>
      <c r="G191" s="28"/>
      <c r="H191" s="24"/>
      <c r="I191" s="24"/>
      <c r="J191" s="24"/>
      <c r="K191" s="24"/>
      <c r="L191" s="24"/>
      <c r="M191" s="24">
        <f t="shared" si="26"/>
        <v>0</v>
      </c>
      <c r="N191" s="33">
        <v>0</v>
      </c>
      <c r="O191" s="14">
        <f t="shared" si="25"/>
        <v>0</v>
      </c>
    </row>
    <row r="192" spans="1:16" x14ac:dyDescent="0.3">
      <c r="A192" s="211"/>
      <c r="B192" s="179"/>
      <c r="C192" s="6" t="s">
        <v>46</v>
      </c>
      <c r="D192" s="49">
        <f t="shared" ref="D192:M192" si="27">SUM(D185:D191)</f>
        <v>14128838</v>
      </c>
      <c r="E192" s="49">
        <f t="shared" si="27"/>
        <v>172417</v>
      </c>
      <c r="F192" s="49">
        <f t="shared" si="27"/>
        <v>0</v>
      </c>
      <c r="G192" s="49">
        <f t="shared" si="27"/>
        <v>0</v>
      </c>
      <c r="H192" s="49">
        <f t="shared" si="27"/>
        <v>0</v>
      </c>
      <c r="I192" s="49">
        <f t="shared" si="27"/>
        <v>0</v>
      </c>
      <c r="J192" s="49">
        <f t="shared" si="27"/>
        <v>0</v>
      </c>
      <c r="K192" s="49">
        <f t="shared" si="27"/>
        <v>0</v>
      </c>
      <c r="L192" s="49">
        <f t="shared" si="27"/>
        <v>0</v>
      </c>
      <c r="M192" s="49">
        <f t="shared" si="27"/>
        <v>14301255</v>
      </c>
      <c r="N192" s="49">
        <f>SUM(N185:N191)</f>
        <v>5788813</v>
      </c>
      <c r="O192" s="49">
        <f>SUM(O185:O191)</f>
        <v>8512442</v>
      </c>
    </row>
    <row r="193" spans="1:16" x14ac:dyDescent="0.3">
      <c r="A193" s="211"/>
      <c r="B193" s="180" t="s">
        <v>18</v>
      </c>
      <c r="C193" s="2" t="s">
        <v>40</v>
      </c>
      <c r="D193" s="24">
        <v>54841481</v>
      </c>
      <c r="E193" s="28">
        <v>-172999</v>
      </c>
      <c r="F193" s="24"/>
      <c r="G193" s="24"/>
      <c r="H193" s="24"/>
      <c r="I193" s="24"/>
      <c r="J193" s="24"/>
      <c r="K193" s="24"/>
      <c r="L193" s="24"/>
      <c r="M193" s="24">
        <f t="shared" ref="M193:M200" si="28">D193+E193+F193+G193+H193+J193+I193</f>
        <v>54668482</v>
      </c>
      <c r="N193" s="33">
        <v>19532934</v>
      </c>
      <c r="O193" s="14">
        <f t="shared" ref="O193:O200" si="29">M193-N193</f>
        <v>35135548</v>
      </c>
    </row>
    <row r="194" spans="1:16" x14ac:dyDescent="0.3">
      <c r="A194" s="211"/>
      <c r="B194" s="199"/>
      <c r="C194" s="2" t="s">
        <v>63</v>
      </c>
      <c r="D194" s="24">
        <v>975000</v>
      </c>
      <c r="E194" s="28"/>
      <c r="F194" s="24"/>
      <c r="G194" s="24"/>
      <c r="H194" s="24"/>
      <c r="I194" s="24"/>
      <c r="J194" s="24"/>
      <c r="K194" s="24"/>
      <c r="L194" s="24"/>
      <c r="M194" s="24">
        <f t="shared" si="28"/>
        <v>975000</v>
      </c>
      <c r="N194" s="33">
        <v>975000</v>
      </c>
      <c r="O194" s="14">
        <f t="shared" si="29"/>
        <v>0</v>
      </c>
    </row>
    <row r="195" spans="1:16" x14ac:dyDescent="0.3">
      <c r="A195" s="211"/>
      <c r="B195" s="199"/>
      <c r="C195" s="2" t="s">
        <v>47</v>
      </c>
      <c r="D195" s="24">
        <v>2225000</v>
      </c>
      <c r="E195" s="28"/>
      <c r="F195" s="24"/>
      <c r="G195" s="24"/>
      <c r="H195" s="24"/>
      <c r="I195" s="24"/>
      <c r="J195" s="24"/>
      <c r="K195" s="24"/>
      <c r="L195" s="24"/>
      <c r="M195" s="24">
        <f t="shared" si="28"/>
        <v>2225000</v>
      </c>
      <c r="N195" s="33">
        <v>0</v>
      </c>
      <c r="O195" s="14">
        <f t="shared" si="29"/>
        <v>2225000</v>
      </c>
    </row>
    <row r="196" spans="1:16" x14ac:dyDescent="0.3">
      <c r="A196" s="211"/>
      <c r="B196" s="199"/>
      <c r="C196" s="2" t="s">
        <v>48</v>
      </c>
      <c r="D196" s="24">
        <v>115000</v>
      </c>
      <c r="E196" s="28"/>
      <c r="F196" s="24"/>
      <c r="G196" s="24"/>
      <c r="H196" s="24"/>
      <c r="I196" s="24"/>
      <c r="J196" s="24"/>
      <c r="K196" s="24"/>
      <c r="L196" s="24"/>
      <c r="M196" s="24">
        <f t="shared" si="28"/>
        <v>115000</v>
      </c>
      <c r="N196" s="33">
        <v>0</v>
      </c>
      <c r="O196" s="14">
        <f t="shared" si="29"/>
        <v>115000</v>
      </c>
    </row>
    <row r="197" spans="1:16" x14ac:dyDescent="0.3">
      <c r="A197" s="211"/>
      <c r="B197" s="199"/>
      <c r="C197" s="2" t="s">
        <v>49</v>
      </c>
      <c r="D197" s="24">
        <v>372000</v>
      </c>
      <c r="E197" s="28"/>
      <c r="F197" s="24"/>
      <c r="G197" s="24"/>
      <c r="H197" s="24"/>
      <c r="I197" s="24"/>
      <c r="J197" s="24"/>
      <c r="K197" s="24"/>
      <c r="L197" s="24"/>
      <c r="M197" s="24">
        <f t="shared" si="28"/>
        <v>372000</v>
      </c>
      <c r="N197" s="33">
        <v>75986</v>
      </c>
      <c r="O197" s="14">
        <f t="shared" si="29"/>
        <v>296014</v>
      </c>
    </row>
    <row r="198" spans="1:16" x14ac:dyDescent="0.3">
      <c r="A198" s="211"/>
      <c r="B198" s="199"/>
      <c r="C198" s="2" t="s">
        <v>50</v>
      </c>
      <c r="D198" s="24">
        <v>268000</v>
      </c>
      <c r="E198" s="28"/>
      <c r="F198" s="24"/>
      <c r="G198" s="24"/>
      <c r="H198" s="24"/>
      <c r="I198" s="24"/>
      <c r="J198" s="24"/>
      <c r="K198" s="24"/>
      <c r="L198" s="24"/>
      <c r="M198" s="24">
        <f t="shared" si="28"/>
        <v>268000</v>
      </c>
      <c r="N198" s="33">
        <v>0</v>
      </c>
      <c r="O198" s="14">
        <f t="shared" si="29"/>
        <v>268000</v>
      </c>
    </row>
    <row r="199" spans="1:16" x14ac:dyDescent="0.3">
      <c r="A199" s="211"/>
      <c r="B199" s="199"/>
      <c r="C199" s="2" t="s">
        <v>51</v>
      </c>
      <c r="D199" s="24">
        <v>1176000</v>
      </c>
      <c r="E199" s="28">
        <v>172999</v>
      </c>
      <c r="F199" s="28"/>
      <c r="G199" s="24"/>
      <c r="H199" s="24"/>
      <c r="I199" s="24"/>
      <c r="J199" s="24"/>
      <c r="K199" s="24"/>
      <c r="L199" s="24"/>
      <c r="M199" s="24">
        <f t="shared" si="28"/>
        <v>1348999</v>
      </c>
      <c r="N199" s="33">
        <v>681484</v>
      </c>
      <c r="O199" s="21">
        <f t="shared" si="29"/>
        <v>667515</v>
      </c>
    </row>
    <row r="200" spans="1:16" x14ac:dyDescent="0.3">
      <c r="A200" s="211"/>
      <c r="B200" s="199"/>
      <c r="C200" s="2" t="s">
        <v>52</v>
      </c>
      <c r="D200" s="24">
        <v>80000</v>
      </c>
      <c r="E200" s="24"/>
      <c r="F200" s="24"/>
      <c r="G200" s="24"/>
      <c r="H200" s="24"/>
      <c r="I200" s="24"/>
      <c r="J200" s="24"/>
      <c r="K200" s="24"/>
      <c r="L200" s="24"/>
      <c r="M200" s="24">
        <f t="shared" si="28"/>
        <v>80000</v>
      </c>
      <c r="N200" s="33">
        <v>0</v>
      </c>
      <c r="O200" s="14">
        <f t="shared" si="29"/>
        <v>80000</v>
      </c>
    </row>
    <row r="201" spans="1:16" x14ac:dyDescent="0.3">
      <c r="A201" s="211"/>
      <c r="B201" s="199"/>
      <c r="C201" s="6" t="s">
        <v>41</v>
      </c>
      <c r="D201" s="97">
        <f>SUM(D193:D200)</f>
        <v>60052481</v>
      </c>
      <c r="E201" s="97">
        <f t="shared" ref="E201:O201" si="30">SUM(E193:E200)</f>
        <v>0</v>
      </c>
      <c r="F201" s="97">
        <f t="shared" si="30"/>
        <v>0</v>
      </c>
      <c r="G201" s="97">
        <f t="shared" si="30"/>
        <v>0</v>
      </c>
      <c r="H201" s="97">
        <f t="shared" si="30"/>
        <v>0</v>
      </c>
      <c r="I201" s="97">
        <f t="shared" si="30"/>
        <v>0</v>
      </c>
      <c r="J201" s="97">
        <f t="shared" si="30"/>
        <v>0</v>
      </c>
      <c r="K201" s="97">
        <f t="shared" si="30"/>
        <v>0</v>
      </c>
      <c r="L201" s="97">
        <f t="shared" si="30"/>
        <v>0</v>
      </c>
      <c r="M201" s="97">
        <f t="shared" si="30"/>
        <v>60052481</v>
      </c>
      <c r="N201" s="49">
        <f t="shared" si="30"/>
        <v>21265404</v>
      </c>
      <c r="O201" s="26">
        <f t="shared" si="30"/>
        <v>38787077</v>
      </c>
    </row>
    <row r="202" spans="1:16" x14ac:dyDescent="0.3">
      <c r="A202" s="211"/>
      <c r="B202" s="199"/>
      <c r="C202" s="57" t="s">
        <v>42</v>
      </c>
      <c r="D202" s="98">
        <v>10607889</v>
      </c>
      <c r="E202" s="98"/>
      <c r="F202" s="98"/>
      <c r="G202" s="98"/>
      <c r="H202" s="98"/>
      <c r="I202" s="98"/>
      <c r="J202" s="98"/>
      <c r="K202" s="98"/>
      <c r="L202" s="98"/>
      <c r="M202" s="99">
        <f>D202+E202+F202+G202+H202+J202</f>
        <v>10607889</v>
      </c>
      <c r="N202" s="133">
        <v>3785975</v>
      </c>
      <c r="O202" s="55">
        <f t="shared" ref="O202:O215" si="31">M202-N202</f>
        <v>6821914</v>
      </c>
    </row>
    <row r="203" spans="1:16" x14ac:dyDescent="0.3">
      <c r="A203" s="211"/>
      <c r="B203" s="199"/>
      <c r="C203" s="2" t="s">
        <v>43</v>
      </c>
      <c r="D203" s="24">
        <v>70000</v>
      </c>
      <c r="E203" s="24">
        <v>47125</v>
      </c>
      <c r="F203" s="24"/>
      <c r="G203" s="24"/>
      <c r="H203" s="24"/>
      <c r="I203" s="24"/>
      <c r="J203" s="24"/>
      <c r="K203" s="24"/>
      <c r="L203" s="24"/>
      <c r="M203" s="24">
        <f t="shared" ref="M203:M215" si="32">D203+E203+F203+G203+H203+J203+I203</f>
        <v>117125</v>
      </c>
      <c r="N203" s="33">
        <v>117125</v>
      </c>
      <c r="O203" s="21">
        <f t="shared" si="31"/>
        <v>0</v>
      </c>
    </row>
    <row r="204" spans="1:16" s="52" customFormat="1" x14ac:dyDescent="0.3">
      <c r="A204" s="211"/>
      <c r="B204" s="199"/>
      <c r="C204" s="79" t="s">
        <v>53</v>
      </c>
      <c r="D204" s="50">
        <v>220000</v>
      </c>
      <c r="E204" s="51">
        <v>-150000</v>
      </c>
      <c r="F204" s="50"/>
      <c r="G204" s="50"/>
      <c r="H204" s="50"/>
      <c r="I204" s="50"/>
      <c r="J204" s="50"/>
      <c r="K204" s="50"/>
      <c r="L204" s="50"/>
      <c r="M204" s="50">
        <f t="shared" si="32"/>
        <v>70000</v>
      </c>
      <c r="N204" s="33">
        <v>0</v>
      </c>
      <c r="O204" s="32">
        <f t="shared" si="31"/>
        <v>70000</v>
      </c>
      <c r="P204" s="80"/>
    </row>
    <row r="205" spans="1:16" x14ac:dyDescent="0.3">
      <c r="A205" s="211"/>
      <c r="B205" s="199"/>
      <c r="C205" s="2" t="s">
        <v>54</v>
      </c>
      <c r="D205" s="24">
        <v>107880</v>
      </c>
      <c r="E205" s="28">
        <v>820</v>
      </c>
      <c r="F205" s="24"/>
      <c r="G205" s="24"/>
      <c r="H205" s="24"/>
      <c r="I205" s="24"/>
      <c r="J205" s="24"/>
      <c r="K205" s="24"/>
      <c r="L205" s="24"/>
      <c r="M205" s="24">
        <f t="shared" si="32"/>
        <v>108700</v>
      </c>
      <c r="N205" s="33">
        <v>45360</v>
      </c>
      <c r="O205" s="21">
        <f t="shared" si="31"/>
        <v>63340</v>
      </c>
    </row>
    <row r="206" spans="1:16" x14ac:dyDescent="0.3">
      <c r="A206" s="211"/>
      <c r="B206" s="199"/>
      <c r="C206" s="2" t="s">
        <v>55</v>
      </c>
      <c r="D206" s="24">
        <v>308832</v>
      </c>
      <c r="E206" s="24">
        <v>-820</v>
      </c>
      <c r="F206" s="24"/>
      <c r="G206" s="24"/>
      <c r="H206" s="24"/>
      <c r="I206" s="24"/>
      <c r="J206" s="24"/>
      <c r="K206" s="24"/>
      <c r="L206" s="24"/>
      <c r="M206" s="24">
        <f t="shared" si="32"/>
        <v>308012</v>
      </c>
      <c r="N206" s="33">
        <v>74026</v>
      </c>
      <c r="O206" s="21">
        <f t="shared" si="31"/>
        <v>233986</v>
      </c>
    </row>
    <row r="207" spans="1:16" x14ac:dyDescent="0.3">
      <c r="A207" s="211"/>
      <c r="B207" s="199"/>
      <c r="C207" s="2" t="s">
        <v>56</v>
      </c>
      <c r="D207" s="24">
        <v>542726</v>
      </c>
      <c r="E207" s="24"/>
      <c r="F207" s="24"/>
      <c r="G207" s="24"/>
      <c r="H207" s="24"/>
      <c r="I207" s="24"/>
      <c r="J207" s="24"/>
      <c r="K207" s="24"/>
      <c r="L207" s="24"/>
      <c r="M207" s="24">
        <f t="shared" si="32"/>
        <v>542726</v>
      </c>
      <c r="N207" s="33">
        <v>176553</v>
      </c>
      <c r="O207" s="21">
        <f t="shared" si="31"/>
        <v>366173</v>
      </c>
    </row>
    <row r="208" spans="1:16" x14ac:dyDescent="0.3">
      <c r="A208" s="211"/>
      <c r="B208" s="199"/>
      <c r="C208" s="2" t="s">
        <v>61</v>
      </c>
      <c r="D208" s="24">
        <v>0</v>
      </c>
      <c r="E208" s="24">
        <v>42210</v>
      </c>
      <c r="F208" s="24"/>
      <c r="G208" s="24"/>
      <c r="H208" s="24"/>
      <c r="I208" s="24"/>
      <c r="J208" s="24"/>
      <c r="K208" s="24"/>
      <c r="L208" s="24"/>
      <c r="M208" s="24">
        <f t="shared" si="32"/>
        <v>42210</v>
      </c>
      <c r="N208" s="33">
        <v>42210</v>
      </c>
      <c r="O208" s="21">
        <f t="shared" si="31"/>
        <v>0</v>
      </c>
    </row>
    <row r="209" spans="1:16" x14ac:dyDescent="0.3">
      <c r="A209" s="211"/>
      <c r="B209" s="199"/>
      <c r="C209" s="2" t="s">
        <v>57</v>
      </c>
      <c r="D209" s="24">
        <v>990000</v>
      </c>
      <c r="E209" s="24">
        <f>194000+409+47960+280000</f>
        <v>522369</v>
      </c>
      <c r="F209" s="24"/>
      <c r="G209" s="24"/>
      <c r="H209" s="24"/>
      <c r="I209" s="24"/>
      <c r="J209" s="24"/>
      <c r="K209" s="24"/>
      <c r="L209" s="24"/>
      <c r="M209" s="24">
        <f t="shared" si="32"/>
        <v>1512369</v>
      </c>
      <c r="N209" s="33">
        <v>1506903</v>
      </c>
      <c r="O209" s="21">
        <f t="shared" si="31"/>
        <v>5466</v>
      </c>
    </row>
    <row r="210" spans="1:16" x14ac:dyDescent="0.3">
      <c r="A210" s="211"/>
      <c r="B210" s="199"/>
      <c r="C210" s="2" t="s">
        <v>64</v>
      </c>
      <c r="D210" s="24">
        <v>10000</v>
      </c>
      <c r="E210" s="24"/>
      <c r="F210" s="24"/>
      <c r="G210" s="24"/>
      <c r="H210" s="24"/>
      <c r="I210" s="24"/>
      <c r="J210" s="24"/>
      <c r="K210" s="24"/>
      <c r="L210" s="24"/>
      <c r="M210" s="24">
        <f t="shared" si="32"/>
        <v>10000</v>
      </c>
      <c r="N210" s="33">
        <v>4022</v>
      </c>
      <c r="O210" s="21">
        <f t="shared" si="31"/>
        <v>5978</v>
      </c>
    </row>
    <row r="211" spans="1:16" x14ac:dyDescent="0.3">
      <c r="A211" s="211"/>
      <c r="B211" s="199"/>
      <c r="C211" s="2" t="s">
        <v>44</v>
      </c>
      <c r="D211" s="24">
        <v>166200</v>
      </c>
      <c r="E211" s="24"/>
      <c r="F211" s="24"/>
      <c r="G211" s="24"/>
      <c r="H211" s="24"/>
      <c r="I211" s="24"/>
      <c r="J211" s="24"/>
      <c r="K211" s="24"/>
      <c r="L211" s="24"/>
      <c r="M211" s="24">
        <f t="shared" si="32"/>
        <v>166200</v>
      </c>
      <c r="N211" s="33">
        <v>39900</v>
      </c>
      <c r="O211" s="21">
        <f t="shared" si="31"/>
        <v>126300</v>
      </c>
    </row>
    <row r="212" spans="1:16" x14ac:dyDescent="0.3">
      <c r="A212" s="211"/>
      <c r="B212" s="199"/>
      <c r="C212" s="2" t="s">
        <v>58</v>
      </c>
      <c r="D212" s="24">
        <v>1419395</v>
      </c>
      <c r="E212" s="24">
        <f>-194000-409-47960</f>
        <v>-242369</v>
      </c>
      <c r="F212" s="24"/>
      <c r="G212" s="24"/>
      <c r="H212" s="24"/>
      <c r="I212" s="24"/>
      <c r="J212" s="24"/>
      <c r="K212" s="24"/>
      <c r="L212" s="24"/>
      <c r="M212" s="24">
        <f t="shared" si="32"/>
        <v>1177026</v>
      </c>
      <c r="N212" s="32">
        <v>615364</v>
      </c>
      <c r="O212" s="21">
        <f t="shared" si="31"/>
        <v>561662</v>
      </c>
    </row>
    <row r="213" spans="1:16" x14ac:dyDescent="0.3">
      <c r="A213" s="211"/>
      <c r="B213" s="199"/>
      <c r="C213" s="2" t="s">
        <v>59</v>
      </c>
      <c r="D213" s="24">
        <v>160000</v>
      </c>
      <c r="E213" s="24"/>
      <c r="F213" s="24"/>
      <c r="G213" s="24"/>
      <c r="H213" s="24"/>
      <c r="I213" s="24"/>
      <c r="J213" s="24"/>
      <c r="K213" s="24"/>
      <c r="L213" s="24"/>
      <c r="M213" s="24">
        <f t="shared" si="32"/>
        <v>160000</v>
      </c>
      <c r="N213" s="33">
        <v>20440</v>
      </c>
      <c r="O213" s="21">
        <f t="shared" si="31"/>
        <v>139560</v>
      </c>
    </row>
    <row r="214" spans="1:16" x14ac:dyDescent="0.3">
      <c r="A214" s="211"/>
      <c r="B214" s="199"/>
      <c r="C214" s="2" t="s">
        <v>45</v>
      </c>
      <c r="D214" s="24">
        <v>529224</v>
      </c>
      <c r="E214" s="24"/>
      <c r="F214" s="24"/>
      <c r="G214" s="24"/>
      <c r="H214" s="24"/>
      <c r="I214" s="24"/>
      <c r="J214" s="24"/>
      <c r="K214" s="24"/>
      <c r="L214" s="24"/>
      <c r="M214" s="24">
        <f t="shared" si="32"/>
        <v>529224</v>
      </c>
      <c r="N214" s="33">
        <v>497334</v>
      </c>
      <c r="O214" s="21">
        <f t="shared" si="31"/>
        <v>31890</v>
      </c>
    </row>
    <row r="215" spans="1:16" x14ac:dyDescent="0.3">
      <c r="A215" s="211"/>
      <c r="B215" s="199"/>
      <c r="C215" s="2" t="s">
        <v>60</v>
      </c>
      <c r="D215" s="24">
        <v>13000</v>
      </c>
      <c r="E215" s="24"/>
      <c r="F215" s="28"/>
      <c r="G215" s="24"/>
      <c r="H215" s="24"/>
      <c r="I215" s="24"/>
      <c r="J215" s="24"/>
      <c r="K215" s="24"/>
      <c r="L215" s="24"/>
      <c r="M215" s="24">
        <f t="shared" si="32"/>
        <v>13000</v>
      </c>
      <c r="N215" s="33">
        <v>5043</v>
      </c>
      <c r="O215" s="14">
        <f t="shared" si="31"/>
        <v>7957</v>
      </c>
    </row>
    <row r="216" spans="1:16" x14ac:dyDescent="0.3">
      <c r="A216" s="211"/>
      <c r="B216" s="199"/>
      <c r="C216" s="6" t="s">
        <v>46</v>
      </c>
      <c r="D216" s="18">
        <f>SUM(D203:D215)</f>
        <v>4537257</v>
      </c>
      <c r="E216" s="97">
        <f t="shared" ref="E216:O216" si="33">SUM(E203:E215)</f>
        <v>219335</v>
      </c>
      <c r="F216" s="97">
        <f t="shared" si="33"/>
        <v>0</v>
      </c>
      <c r="G216" s="97">
        <f t="shared" si="33"/>
        <v>0</v>
      </c>
      <c r="H216" s="97">
        <f t="shared" si="33"/>
        <v>0</v>
      </c>
      <c r="I216" s="97">
        <f t="shared" si="33"/>
        <v>0</v>
      </c>
      <c r="J216" s="97">
        <f t="shared" si="33"/>
        <v>0</v>
      </c>
      <c r="K216" s="97">
        <f t="shared" si="33"/>
        <v>0</v>
      </c>
      <c r="L216" s="97">
        <f t="shared" si="33"/>
        <v>0</v>
      </c>
      <c r="M216" s="97">
        <f t="shared" si="33"/>
        <v>4756592</v>
      </c>
      <c r="N216" s="49">
        <f t="shared" si="33"/>
        <v>3144280</v>
      </c>
      <c r="O216" s="26">
        <f t="shared" si="33"/>
        <v>1612312</v>
      </c>
    </row>
    <row r="217" spans="1:16" s="42" customFormat="1" x14ac:dyDescent="0.3">
      <c r="A217" s="211"/>
      <c r="B217" s="199"/>
      <c r="C217" s="41" t="s">
        <v>144</v>
      </c>
      <c r="D217" s="100">
        <v>0</v>
      </c>
      <c r="E217" s="100"/>
      <c r="F217" s="100"/>
      <c r="G217" s="100"/>
      <c r="H217" s="100"/>
      <c r="I217" s="100"/>
      <c r="J217" s="100"/>
      <c r="K217" s="100"/>
      <c r="L217" s="100"/>
      <c r="M217" s="24">
        <f>D217+E217+F217+G217+H217+J217+I217</f>
        <v>0</v>
      </c>
      <c r="N217" s="134">
        <v>0</v>
      </c>
      <c r="O217" s="14">
        <f t="shared" ref="O217:O219" si="34">M217-N217</f>
        <v>0</v>
      </c>
      <c r="P217" s="44"/>
    </row>
    <row r="218" spans="1:16" x14ac:dyDescent="0.3">
      <c r="A218" s="211"/>
      <c r="B218" s="199"/>
      <c r="C218" s="2" t="s">
        <v>112</v>
      </c>
      <c r="D218" s="24">
        <v>100000</v>
      </c>
      <c r="E218" s="28"/>
      <c r="F218" s="24"/>
      <c r="G218" s="24"/>
      <c r="H218" s="24"/>
      <c r="I218" s="24"/>
      <c r="J218" s="24"/>
      <c r="K218" s="24"/>
      <c r="L218" s="24"/>
      <c r="M218" s="24">
        <f>D218+E218+F218+G218+H218+J218+I218</f>
        <v>100000</v>
      </c>
      <c r="N218" s="33">
        <v>0</v>
      </c>
      <c r="O218" s="14">
        <f t="shared" si="34"/>
        <v>100000</v>
      </c>
    </row>
    <row r="219" spans="1:16" x14ac:dyDescent="0.3">
      <c r="A219" s="211"/>
      <c r="B219" s="199"/>
      <c r="C219" s="2" t="s">
        <v>113</v>
      </c>
      <c r="D219" s="24">
        <v>27000</v>
      </c>
      <c r="E219" s="24"/>
      <c r="F219" s="24"/>
      <c r="G219" s="24"/>
      <c r="H219" s="24"/>
      <c r="I219" s="24"/>
      <c r="J219" s="24"/>
      <c r="K219" s="24"/>
      <c r="L219" s="24"/>
      <c r="M219" s="24">
        <f>D219+E219+F219+G219+H219+J219+I219</f>
        <v>27000</v>
      </c>
      <c r="N219" s="33">
        <v>0</v>
      </c>
      <c r="O219" s="14">
        <f t="shared" si="34"/>
        <v>27000</v>
      </c>
    </row>
    <row r="220" spans="1:16" x14ac:dyDescent="0.3">
      <c r="A220" s="211"/>
      <c r="B220" s="181"/>
      <c r="C220" s="6" t="s">
        <v>114</v>
      </c>
      <c r="D220" s="97">
        <f>SUM(D217:D219)</f>
        <v>127000</v>
      </c>
      <c r="E220" s="97">
        <f t="shared" ref="E220:O220" si="35">SUM(E217:E219)</f>
        <v>0</v>
      </c>
      <c r="F220" s="97">
        <f t="shared" si="35"/>
        <v>0</v>
      </c>
      <c r="G220" s="97">
        <f t="shared" si="35"/>
        <v>0</v>
      </c>
      <c r="H220" s="97">
        <f t="shared" si="35"/>
        <v>0</v>
      </c>
      <c r="I220" s="97">
        <f t="shared" si="35"/>
        <v>0</v>
      </c>
      <c r="J220" s="97">
        <f t="shared" si="35"/>
        <v>0</v>
      </c>
      <c r="K220" s="97">
        <f t="shared" si="35"/>
        <v>0</v>
      </c>
      <c r="L220" s="97">
        <f t="shared" si="35"/>
        <v>0</v>
      </c>
      <c r="M220" s="97">
        <f t="shared" si="35"/>
        <v>127000</v>
      </c>
      <c r="N220" s="49">
        <f t="shared" si="35"/>
        <v>0</v>
      </c>
      <c r="O220" s="18">
        <f t="shared" si="35"/>
        <v>127000</v>
      </c>
    </row>
    <row r="221" spans="1:16" x14ac:dyDescent="0.3">
      <c r="A221" s="211"/>
      <c r="B221" s="179" t="s">
        <v>21</v>
      </c>
      <c r="C221" s="2" t="s">
        <v>65</v>
      </c>
      <c r="D221" s="24">
        <v>1730000</v>
      </c>
      <c r="E221" s="24"/>
      <c r="F221" s="24"/>
      <c r="G221" s="24"/>
      <c r="H221" s="24"/>
      <c r="I221" s="24"/>
      <c r="J221" s="24"/>
      <c r="K221" s="24"/>
      <c r="L221" s="24"/>
      <c r="M221" s="24">
        <f>D221+E221+F221+G221+H221+J221+I221</f>
        <v>1730000</v>
      </c>
      <c r="N221" s="33">
        <v>681648</v>
      </c>
      <c r="O221" s="14">
        <f t="shared" ref="O221:O222" si="36">M221-N221</f>
        <v>1048352</v>
      </c>
    </row>
    <row r="222" spans="1:16" x14ac:dyDescent="0.3">
      <c r="A222" s="211"/>
      <c r="B222" s="179"/>
      <c r="C222" s="2" t="s">
        <v>52</v>
      </c>
      <c r="D222" s="24">
        <v>720000</v>
      </c>
      <c r="E222" s="24"/>
      <c r="F222" s="24"/>
      <c r="G222" s="24"/>
      <c r="H222" s="24"/>
      <c r="I222" s="24"/>
      <c r="J222" s="24"/>
      <c r="K222" s="24"/>
      <c r="L222" s="24"/>
      <c r="M222" s="24">
        <f>D222+E222+F222+G222+H222+J222+I222</f>
        <v>720000</v>
      </c>
      <c r="N222" s="33">
        <v>300000</v>
      </c>
      <c r="O222" s="14">
        <f t="shared" si="36"/>
        <v>420000</v>
      </c>
    </row>
    <row r="223" spans="1:16" x14ac:dyDescent="0.3">
      <c r="A223" s="211"/>
      <c r="B223" s="179"/>
      <c r="C223" s="6" t="s">
        <v>41</v>
      </c>
      <c r="D223" s="97">
        <f>SUM(D221:D222)</f>
        <v>2450000</v>
      </c>
      <c r="E223" s="97">
        <f t="shared" ref="E223:O223" si="37">SUM(E221:E222)</f>
        <v>0</v>
      </c>
      <c r="F223" s="97">
        <f t="shared" si="37"/>
        <v>0</v>
      </c>
      <c r="G223" s="97">
        <f t="shared" si="37"/>
        <v>0</v>
      </c>
      <c r="H223" s="97">
        <f t="shared" si="37"/>
        <v>0</v>
      </c>
      <c r="I223" s="97">
        <f t="shared" si="37"/>
        <v>0</v>
      </c>
      <c r="J223" s="97">
        <f t="shared" si="37"/>
        <v>0</v>
      </c>
      <c r="K223" s="97">
        <f t="shared" si="37"/>
        <v>0</v>
      </c>
      <c r="L223" s="97">
        <f t="shared" si="37"/>
        <v>0</v>
      </c>
      <c r="M223" s="97">
        <f t="shared" si="37"/>
        <v>2450000</v>
      </c>
      <c r="N223" s="49">
        <f t="shared" si="37"/>
        <v>981648</v>
      </c>
      <c r="O223" s="26">
        <f t="shared" si="37"/>
        <v>1468352</v>
      </c>
    </row>
    <row r="224" spans="1:16" x14ac:dyDescent="0.3">
      <c r="A224" s="211"/>
      <c r="B224" s="179"/>
      <c r="C224" s="57" t="s">
        <v>42</v>
      </c>
      <c r="D224" s="98">
        <v>304668</v>
      </c>
      <c r="E224" s="98"/>
      <c r="F224" s="98"/>
      <c r="G224" s="98"/>
      <c r="H224" s="98"/>
      <c r="I224" s="98"/>
      <c r="J224" s="98"/>
      <c r="K224" s="98"/>
      <c r="L224" s="98"/>
      <c r="M224" s="99">
        <f>D224+E224+F224+G224+H224+J224</f>
        <v>304668</v>
      </c>
      <c r="N224" s="133">
        <v>120043</v>
      </c>
      <c r="O224" s="55">
        <f t="shared" ref="O224:O232" si="38">M224-N224</f>
        <v>184625</v>
      </c>
    </row>
    <row r="225" spans="1:15" x14ac:dyDescent="0.3">
      <c r="A225" s="211"/>
      <c r="B225" s="179"/>
      <c r="C225" s="2" t="s">
        <v>43</v>
      </c>
      <c r="D225" s="24">
        <v>45000</v>
      </c>
      <c r="E225" s="24"/>
      <c r="F225" s="24"/>
      <c r="G225" s="24"/>
      <c r="H225" s="24"/>
      <c r="I225" s="24"/>
      <c r="J225" s="24"/>
      <c r="K225" s="24"/>
      <c r="L225" s="24"/>
      <c r="M225" s="24">
        <f t="shared" ref="M225:M232" si="39">D225+E225+F225+G225+H225+J225+I225</f>
        <v>45000</v>
      </c>
      <c r="N225" s="33">
        <v>0</v>
      </c>
      <c r="O225" s="14">
        <f t="shared" si="38"/>
        <v>45000</v>
      </c>
    </row>
    <row r="226" spans="1:15" x14ac:dyDescent="0.3">
      <c r="A226" s="211"/>
      <c r="B226" s="179"/>
      <c r="C226" s="2" t="s">
        <v>55</v>
      </c>
      <c r="D226" s="24">
        <v>28800</v>
      </c>
      <c r="E226" s="24"/>
      <c r="F226" s="24"/>
      <c r="G226" s="24"/>
      <c r="H226" s="24"/>
      <c r="I226" s="24"/>
      <c r="J226" s="24"/>
      <c r="K226" s="24"/>
      <c r="L226" s="24"/>
      <c r="M226" s="24">
        <f t="shared" si="39"/>
        <v>28800</v>
      </c>
      <c r="N226" s="33">
        <v>8032</v>
      </c>
      <c r="O226" s="14">
        <f t="shared" si="38"/>
        <v>20768</v>
      </c>
    </row>
    <row r="227" spans="1:15" x14ac:dyDescent="0.3">
      <c r="A227" s="211"/>
      <c r="B227" s="179"/>
      <c r="C227" s="2" t="s">
        <v>62</v>
      </c>
      <c r="D227" s="24">
        <v>1910400</v>
      </c>
      <c r="E227" s="24"/>
      <c r="F227" s="24"/>
      <c r="G227" s="24"/>
      <c r="H227" s="24"/>
      <c r="I227" s="24"/>
      <c r="J227" s="24"/>
      <c r="K227" s="24"/>
      <c r="L227" s="24"/>
      <c r="M227" s="24">
        <f t="shared" si="39"/>
        <v>1910400</v>
      </c>
      <c r="N227" s="33">
        <v>605700</v>
      </c>
      <c r="O227" s="14">
        <f t="shared" si="38"/>
        <v>1304700</v>
      </c>
    </row>
    <row r="228" spans="1:15" x14ac:dyDescent="0.3">
      <c r="A228" s="211"/>
      <c r="B228" s="179"/>
      <c r="C228" s="2" t="s">
        <v>57</v>
      </c>
      <c r="D228" s="24">
        <v>259000</v>
      </c>
      <c r="E228" s="24">
        <v>-30000</v>
      </c>
      <c r="F228" s="24"/>
      <c r="G228" s="24"/>
      <c r="H228" s="24"/>
      <c r="I228" s="24"/>
      <c r="J228" s="24"/>
      <c r="K228" s="24"/>
      <c r="L228" s="24"/>
      <c r="M228" s="24">
        <f t="shared" si="39"/>
        <v>229000</v>
      </c>
      <c r="N228" s="33">
        <v>209000</v>
      </c>
      <c r="O228" s="21">
        <f t="shared" si="38"/>
        <v>20000</v>
      </c>
    </row>
    <row r="229" spans="1:15" x14ac:dyDescent="0.3">
      <c r="A229" s="211"/>
      <c r="B229" s="179"/>
      <c r="C229" s="2" t="s">
        <v>64</v>
      </c>
      <c r="D229" s="24">
        <v>45000</v>
      </c>
      <c r="E229" s="24"/>
      <c r="F229" s="24"/>
      <c r="G229" s="24"/>
      <c r="H229" s="24"/>
      <c r="I229" s="24"/>
      <c r="J229" s="24"/>
      <c r="K229" s="24"/>
      <c r="L229" s="24"/>
      <c r="M229" s="24">
        <f t="shared" si="39"/>
        <v>45000</v>
      </c>
      <c r="N229" s="33">
        <v>38000</v>
      </c>
      <c r="O229" s="14">
        <f t="shared" si="38"/>
        <v>7000</v>
      </c>
    </row>
    <row r="230" spans="1:15" x14ac:dyDescent="0.3">
      <c r="A230" s="211"/>
      <c r="B230" s="179"/>
      <c r="C230" s="2" t="s">
        <v>58</v>
      </c>
      <c r="D230" s="24">
        <v>150000</v>
      </c>
      <c r="E230" s="24"/>
      <c r="F230" s="24"/>
      <c r="G230" s="24"/>
      <c r="H230" s="24"/>
      <c r="I230" s="24"/>
      <c r="J230" s="24"/>
      <c r="K230" s="24"/>
      <c r="L230" s="24"/>
      <c r="M230" s="24">
        <f t="shared" si="39"/>
        <v>150000</v>
      </c>
      <c r="N230" s="33">
        <v>38000</v>
      </c>
      <c r="O230" s="14">
        <f t="shared" si="38"/>
        <v>112000</v>
      </c>
    </row>
    <row r="231" spans="1:15" x14ac:dyDescent="0.3">
      <c r="A231" s="211"/>
      <c r="B231" s="179"/>
      <c r="C231" s="2" t="s">
        <v>45</v>
      </c>
      <c r="D231" s="24">
        <v>651518</v>
      </c>
      <c r="E231" s="24"/>
      <c r="F231" s="24"/>
      <c r="G231" s="24"/>
      <c r="H231" s="24"/>
      <c r="I231" s="24"/>
      <c r="J231" s="24"/>
      <c r="K231" s="24"/>
      <c r="L231" s="24"/>
      <c r="M231" s="24">
        <f t="shared" si="39"/>
        <v>651518</v>
      </c>
      <c r="N231" s="33">
        <v>242137</v>
      </c>
      <c r="O231" s="14">
        <f t="shared" si="38"/>
        <v>409381</v>
      </c>
    </row>
    <row r="232" spans="1:15" x14ac:dyDescent="0.3">
      <c r="A232" s="211"/>
      <c r="B232" s="179"/>
      <c r="C232" s="2" t="s">
        <v>60</v>
      </c>
      <c r="D232" s="24">
        <v>1000</v>
      </c>
      <c r="E232" s="24"/>
      <c r="F232" s="24"/>
      <c r="G232" s="24"/>
      <c r="H232" s="24"/>
      <c r="I232" s="24"/>
      <c r="J232" s="24"/>
      <c r="K232" s="24"/>
      <c r="L232" s="24"/>
      <c r="M232" s="24">
        <f t="shared" si="39"/>
        <v>1000</v>
      </c>
      <c r="N232" s="33">
        <v>0</v>
      </c>
      <c r="O232" s="14">
        <f t="shared" si="38"/>
        <v>1000</v>
      </c>
    </row>
    <row r="233" spans="1:15" x14ac:dyDescent="0.3">
      <c r="A233" s="211"/>
      <c r="B233" s="179"/>
      <c r="C233" s="6" t="s">
        <v>46</v>
      </c>
      <c r="D233" s="97">
        <f>SUM(D225:D232)</f>
        <v>3090718</v>
      </c>
      <c r="E233" s="97">
        <f t="shared" ref="E233:O233" si="40">SUM(E225:E232)</f>
        <v>-30000</v>
      </c>
      <c r="F233" s="97">
        <f t="shared" si="40"/>
        <v>0</v>
      </c>
      <c r="G233" s="97">
        <f t="shared" si="40"/>
        <v>0</v>
      </c>
      <c r="H233" s="97">
        <f t="shared" si="40"/>
        <v>0</v>
      </c>
      <c r="I233" s="97">
        <f t="shared" si="40"/>
        <v>0</v>
      </c>
      <c r="J233" s="97">
        <f t="shared" si="40"/>
        <v>0</v>
      </c>
      <c r="K233" s="97">
        <f t="shared" si="40"/>
        <v>0</v>
      </c>
      <c r="L233" s="97">
        <f t="shared" si="40"/>
        <v>0</v>
      </c>
      <c r="M233" s="97">
        <f t="shared" si="40"/>
        <v>3060718</v>
      </c>
      <c r="N233" s="49">
        <f t="shared" si="40"/>
        <v>1140869</v>
      </c>
      <c r="O233" s="26">
        <f t="shared" si="40"/>
        <v>1919849</v>
      </c>
    </row>
    <row r="234" spans="1:15" x14ac:dyDescent="0.3">
      <c r="A234" s="198" t="s">
        <v>78</v>
      </c>
      <c r="B234" s="180" t="s">
        <v>18</v>
      </c>
      <c r="C234" s="2" t="s">
        <v>40</v>
      </c>
      <c r="D234" s="28">
        <v>4450891</v>
      </c>
      <c r="E234" s="24"/>
      <c r="F234" s="24">
        <v>3056628</v>
      </c>
      <c r="G234" s="24"/>
      <c r="H234" s="24"/>
      <c r="I234" s="24"/>
      <c r="J234" s="24"/>
      <c r="K234" s="28"/>
      <c r="L234" s="24"/>
      <c r="M234" s="24">
        <f t="shared" ref="M234:M253" si="41">D234+E234+F234+G234+H234+J234+I234+K234</f>
        <v>7507519</v>
      </c>
      <c r="N234" s="33">
        <v>2803639</v>
      </c>
      <c r="O234" s="14">
        <f t="shared" ref="O234:O253" si="42">M234-N234</f>
        <v>4703880</v>
      </c>
    </row>
    <row r="235" spans="1:15" x14ac:dyDescent="0.3">
      <c r="A235" s="196"/>
      <c r="B235" s="181"/>
      <c r="C235" s="2" t="s">
        <v>42</v>
      </c>
      <c r="D235" s="28">
        <v>778906</v>
      </c>
      <c r="E235" s="24"/>
      <c r="F235" s="24">
        <v>469963</v>
      </c>
      <c r="G235" s="24"/>
      <c r="H235" s="24"/>
      <c r="I235" s="24"/>
      <c r="J235" s="24"/>
      <c r="K235" s="24"/>
      <c r="L235" s="24"/>
      <c r="M235" s="24">
        <f t="shared" si="41"/>
        <v>1248869</v>
      </c>
      <c r="N235" s="33">
        <v>490631</v>
      </c>
      <c r="O235" s="14">
        <f t="shared" si="42"/>
        <v>758238</v>
      </c>
    </row>
    <row r="236" spans="1:15" x14ac:dyDescent="0.3">
      <c r="A236" s="198" t="s">
        <v>79</v>
      </c>
      <c r="B236" s="180" t="s">
        <v>10</v>
      </c>
      <c r="C236" s="2" t="s">
        <v>40</v>
      </c>
      <c r="D236" s="28">
        <v>341996</v>
      </c>
      <c r="E236" s="24"/>
      <c r="F236" s="24">
        <v>301345</v>
      </c>
      <c r="G236" s="24"/>
      <c r="H236" s="24"/>
      <c r="I236" s="24"/>
      <c r="J236" s="24"/>
      <c r="K236" s="24"/>
      <c r="L236" s="24"/>
      <c r="M236" s="24">
        <f t="shared" si="41"/>
        <v>643341</v>
      </c>
      <c r="N236" s="33">
        <v>251845</v>
      </c>
      <c r="O236" s="14">
        <f t="shared" si="42"/>
        <v>391496</v>
      </c>
    </row>
    <row r="237" spans="1:15" x14ac:dyDescent="0.3">
      <c r="A237" s="205"/>
      <c r="B237" s="181"/>
      <c r="C237" s="2" t="s">
        <v>42</v>
      </c>
      <c r="D237" s="28">
        <v>59849</v>
      </c>
      <c r="E237" s="24"/>
      <c r="F237" s="24">
        <v>47142</v>
      </c>
      <c r="G237" s="24"/>
      <c r="H237" s="24"/>
      <c r="I237" s="24"/>
      <c r="J237" s="24"/>
      <c r="K237" s="24"/>
      <c r="L237" s="24"/>
      <c r="M237" s="24">
        <f t="shared" si="41"/>
        <v>106991</v>
      </c>
      <c r="N237" s="33">
        <v>44074</v>
      </c>
      <c r="O237" s="21">
        <f t="shared" si="42"/>
        <v>62917</v>
      </c>
    </row>
    <row r="238" spans="1:15" x14ac:dyDescent="0.3">
      <c r="A238" s="198" t="s">
        <v>80</v>
      </c>
      <c r="B238" s="180" t="s">
        <v>12</v>
      </c>
      <c r="C238" s="2" t="s">
        <v>40</v>
      </c>
      <c r="D238" s="28">
        <v>610648</v>
      </c>
      <c r="E238" s="24"/>
      <c r="F238" s="24">
        <v>370485</v>
      </c>
      <c r="G238" s="24"/>
      <c r="H238" s="24"/>
      <c r="I238" s="24"/>
      <c r="J238" s="24"/>
      <c r="K238" s="24"/>
      <c r="L238" s="24"/>
      <c r="M238" s="24">
        <f t="shared" si="41"/>
        <v>981133</v>
      </c>
      <c r="N238" s="33">
        <v>363437</v>
      </c>
      <c r="O238" s="14">
        <f t="shared" si="42"/>
        <v>617696</v>
      </c>
    </row>
    <row r="239" spans="1:15" x14ac:dyDescent="0.3">
      <c r="A239" s="196"/>
      <c r="B239" s="181"/>
      <c r="C239" s="2" t="s">
        <v>42</v>
      </c>
      <c r="D239" s="28">
        <v>106863</v>
      </c>
      <c r="E239" s="24"/>
      <c r="F239" s="24">
        <v>56040</v>
      </c>
      <c r="G239" s="24"/>
      <c r="H239" s="24"/>
      <c r="I239" s="24"/>
      <c r="J239" s="24"/>
      <c r="K239" s="24"/>
      <c r="L239" s="24"/>
      <c r="M239" s="24">
        <f t="shared" si="41"/>
        <v>162903</v>
      </c>
      <c r="N239" s="33">
        <v>63605</v>
      </c>
      <c r="O239" s="14">
        <f t="shared" si="42"/>
        <v>99298</v>
      </c>
    </row>
    <row r="240" spans="1:15" x14ac:dyDescent="0.3">
      <c r="A240" s="198" t="s">
        <v>81</v>
      </c>
      <c r="B240" s="180" t="s">
        <v>13</v>
      </c>
      <c r="C240" s="2" t="s">
        <v>40</v>
      </c>
      <c r="D240" s="28">
        <v>1660129</v>
      </c>
      <c r="E240" s="24"/>
      <c r="F240" s="24">
        <v>593970</v>
      </c>
      <c r="G240" s="24"/>
      <c r="H240" s="24"/>
      <c r="I240" s="24"/>
      <c r="J240" s="24"/>
      <c r="K240" s="24"/>
      <c r="L240" s="24"/>
      <c r="M240" s="24">
        <f t="shared" si="41"/>
        <v>2254099</v>
      </c>
      <c r="N240" s="33">
        <v>784500</v>
      </c>
      <c r="O240" s="14">
        <f t="shared" si="42"/>
        <v>1469599</v>
      </c>
    </row>
    <row r="241" spans="1:15" x14ac:dyDescent="0.3">
      <c r="A241" s="196"/>
      <c r="B241" s="181"/>
      <c r="C241" s="2" t="s">
        <v>42</v>
      </c>
      <c r="D241" s="28">
        <v>290523</v>
      </c>
      <c r="E241" s="24"/>
      <c r="F241" s="24">
        <v>84558</v>
      </c>
      <c r="G241" s="24"/>
      <c r="H241" s="24"/>
      <c r="I241" s="24"/>
      <c r="J241" s="24"/>
      <c r="K241" s="24"/>
      <c r="L241" s="24"/>
      <c r="M241" s="24">
        <f t="shared" si="41"/>
        <v>375081</v>
      </c>
      <c r="N241" s="33">
        <v>137288</v>
      </c>
      <c r="O241" s="14">
        <f t="shared" si="42"/>
        <v>237793</v>
      </c>
    </row>
    <row r="242" spans="1:15" x14ac:dyDescent="0.3">
      <c r="A242" s="198" t="s">
        <v>82</v>
      </c>
      <c r="B242" s="180" t="s">
        <v>16</v>
      </c>
      <c r="C242" s="2" t="s">
        <v>40</v>
      </c>
      <c r="D242" s="28">
        <v>520420</v>
      </c>
      <c r="E242" s="24"/>
      <c r="F242" s="24">
        <v>259842</v>
      </c>
      <c r="G242" s="24"/>
      <c r="H242" s="24"/>
      <c r="I242" s="24"/>
      <c r="J242" s="24"/>
      <c r="K242" s="24"/>
      <c r="L242" s="24"/>
      <c r="M242" s="24">
        <f t="shared" si="41"/>
        <v>780262</v>
      </c>
      <c r="N242" s="33">
        <v>311331</v>
      </c>
      <c r="O242" s="14">
        <f t="shared" si="42"/>
        <v>468931</v>
      </c>
    </row>
    <row r="243" spans="1:15" x14ac:dyDescent="0.3">
      <c r="A243" s="196"/>
      <c r="B243" s="181"/>
      <c r="C243" s="2" t="s">
        <v>42</v>
      </c>
      <c r="D243" s="28">
        <v>91074</v>
      </c>
      <c r="E243" s="24"/>
      <c r="F243" s="24">
        <v>38775</v>
      </c>
      <c r="G243" s="24"/>
      <c r="H243" s="24"/>
      <c r="I243" s="24"/>
      <c r="J243" s="24"/>
      <c r="K243" s="24"/>
      <c r="L243" s="24"/>
      <c r="M243" s="24">
        <f t="shared" si="41"/>
        <v>129849</v>
      </c>
      <c r="N243" s="33">
        <v>54484</v>
      </c>
      <c r="O243" s="14">
        <f t="shared" si="42"/>
        <v>75365</v>
      </c>
    </row>
    <row r="244" spans="1:15" x14ac:dyDescent="0.3">
      <c r="A244" s="198" t="s">
        <v>83</v>
      </c>
      <c r="B244" s="180" t="s">
        <v>18</v>
      </c>
      <c r="C244" s="2" t="s">
        <v>51</v>
      </c>
      <c r="D244" s="28">
        <v>78800</v>
      </c>
      <c r="E244" s="24"/>
      <c r="F244" s="24"/>
      <c r="G244" s="24"/>
      <c r="H244" s="24"/>
      <c r="I244" s="24"/>
      <c r="J244" s="24"/>
      <c r="K244" s="24"/>
      <c r="L244" s="24"/>
      <c r="M244" s="24">
        <f t="shared" si="41"/>
        <v>78800</v>
      </c>
      <c r="N244" s="33">
        <v>28500</v>
      </c>
      <c r="O244" s="14">
        <f t="shared" si="42"/>
        <v>50300</v>
      </c>
    </row>
    <row r="245" spans="1:15" x14ac:dyDescent="0.3">
      <c r="A245" s="196"/>
      <c r="B245" s="181"/>
      <c r="C245" s="2" t="s">
        <v>42</v>
      </c>
      <c r="D245" s="28">
        <v>13790</v>
      </c>
      <c r="E245" s="24"/>
      <c r="F245" s="24"/>
      <c r="G245" s="24"/>
      <c r="H245" s="24"/>
      <c r="I245" s="24"/>
      <c r="J245" s="24"/>
      <c r="K245" s="24"/>
      <c r="L245" s="24"/>
      <c r="M245" s="24">
        <f t="shared" si="41"/>
        <v>13790</v>
      </c>
      <c r="N245" s="33">
        <v>4988</v>
      </c>
      <c r="O245" s="14">
        <f t="shared" si="42"/>
        <v>8802</v>
      </c>
    </row>
    <row r="246" spans="1:15" x14ac:dyDescent="0.3">
      <c r="A246" s="198" t="s">
        <v>84</v>
      </c>
      <c r="B246" s="180" t="s">
        <v>10</v>
      </c>
      <c r="C246" s="2" t="s">
        <v>51</v>
      </c>
      <c r="D246" s="28">
        <v>0</v>
      </c>
      <c r="E246" s="24"/>
      <c r="F246" s="24"/>
      <c r="G246" s="24"/>
      <c r="H246" s="24"/>
      <c r="I246" s="24"/>
      <c r="J246" s="24"/>
      <c r="K246" s="24"/>
      <c r="L246" s="24"/>
      <c r="M246" s="24">
        <f t="shared" si="41"/>
        <v>0</v>
      </c>
      <c r="N246" s="33">
        <v>0</v>
      </c>
      <c r="O246" s="14">
        <f t="shared" si="42"/>
        <v>0</v>
      </c>
    </row>
    <row r="247" spans="1:15" x14ac:dyDescent="0.3">
      <c r="A247" s="196"/>
      <c r="B247" s="181"/>
      <c r="C247" s="2" t="s">
        <v>42</v>
      </c>
      <c r="D247" s="28">
        <v>0</v>
      </c>
      <c r="E247" s="24"/>
      <c r="F247" s="24"/>
      <c r="G247" s="24"/>
      <c r="H247" s="24"/>
      <c r="I247" s="24"/>
      <c r="J247" s="24"/>
      <c r="K247" s="24"/>
      <c r="L247" s="24"/>
      <c r="M247" s="24">
        <f t="shared" si="41"/>
        <v>0</v>
      </c>
      <c r="N247" s="33">
        <v>0</v>
      </c>
      <c r="O247" s="14">
        <f t="shared" si="42"/>
        <v>0</v>
      </c>
    </row>
    <row r="248" spans="1:15" x14ac:dyDescent="0.3">
      <c r="A248" s="198" t="s">
        <v>85</v>
      </c>
      <c r="B248" s="180" t="s">
        <v>13</v>
      </c>
      <c r="C248" s="2" t="s">
        <v>51</v>
      </c>
      <c r="D248" s="28">
        <v>82800</v>
      </c>
      <c r="E248" s="24"/>
      <c r="F248" s="24"/>
      <c r="G248" s="24"/>
      <c r="H248" s="24"/>
      <c r="I248" s="24"/>
      <c r="J248" s="24"/>
      <c r="K248" s="24"/>
      <c r="L248" s="24"/>
      <c r="M248" s="24">
        <f t="shared" si="41"/>
        <v>82800</v>
      </c>
      <c r="N248" s="33">
        <v>7300</v>
      </c>
      <c r="O248" s="14">
        <f t="shared" si="42"/>
        <v>75500</v>
      </c>
    </row>
    <row r="249" spans="1:15" x14ac:dyDescent="0.3">
      <c r="A249" s="196"/>
      <c r="B249" s="181"/>
      <c r="C249" s="2" t="s">
        <v>42</v>
      </c>
      <c r="D249" s="28">
        <v>14490</v>
      </c>
      <c r="E249" s="24"/>
      <c r="F249" s="24"/>
      <c r="G249" s="24"/>
      <c r="H249" s="24"/>
      <c r="I249" s="24"/>
      <c r="J249" s="24"/>
      <c r="K249" s="24"/>
      <c r="L249" s="24"/>
      <c r="M249" s="24">
        <f t="shared" si="41"/>
        <v>14490</v>
      </c>
      <c r="N249" s="33">
        <v>1278</v>
      </c>
      <c r="O249" s="14">
        <f t="shared" si="42"/>
        <v>13212</v>
      </c>
    </row>
    <row r="250" spans="1:15" x14ac:dyDescent="0.3">
      <c r="A250" s="198" t="s">
        <v>86</v>
      </c>
      <c r="B250" s="180" t="s">
        <v>16</v>
      </c>
      <c r="C250" s="2" t="s">
        <v>51</v>
      </c>
      <c r="D250" s="28">
        <v>130800</v>
      </c>
      <c r="E250" s="24"/>
      <c r="F250" s="24"/>
      <c r="G250" s="24"/>
      <c r="H250" s="24"/>
      <c r="I250" s="24"/>
      <c r="J250" s="24"/>
      <c r="K250" s="24"/>
      <c r="L250" s="24"/>
      <c r="M250" s="24">
        <f t="shared" si="41"/>
        <v>130800</v>
      </c>
      <c r="N250" s="33">
        <v>49300</v>
      </c>
      <c r="O250" s="14">
        <f t="shared" si="42"/>
        <v>81500</v>
      </c>
    </row>
    <row r="251" spans="1:15" x14ac:dyDescent="0.3">
      <c r="A251" s="196"/>
      <c r="B251" s="181"/>
      <c r="C251" s="2" t="s">
        <v>42</v>
      </c>
      <c r="D251" s="28">
        <v>22890</v>
      </c>
      <c r="E251" s="24"/>
      <c r="F251" s="24"/>
      <c r="G251" s="24"/>
      <c r="H251" s="24"/>
      <c r="I251" s="24"/>
      <c r="J251" s="24"/>
      <c r="K251" s="24"/>
      <c r="L251" s="24"/>
      <c r="M251" s="24">
        <f t="shared" si="41"/>
        <v>22890</v>
      </c>
      <c r="N251" s="33">
        <v>8627</v>
      </c>
      <c r="O251" s="14">
        <f t="shared" si="42"/>
        <v>14263</v>
      </c>
    </row>
    <row r="252" spans="1:15" x14ac:dyDescent="0.3">
      <c r="A252" s="205" t="s">
        <v>143</v>
      </c>
      <c r="B252" s="180" t="s">
        <v>12</v>
      </c>
      <c r="C252" s="2" t="s">
        <v>51</v>
      </c>
      <c r="D252" s="28">
        <v>130800</v>
      </c>
      <c r="E252" s="24"/>
      <c r="F252" s="24"/>
      <c r="G252" s="24"/>
      <c r="H252" s="24"/>
      <c r="I252" s="24"/>
      <c r="J252" s="24"/>
      <c r="K252" s="24"/>
      <c r="L252" s="24"/>
      <c r="M252" s="24">
        <f t="shared" si="41"/>
        <v>130800</v>
      </c>
      <c r="N252" s="33">
        <v>49300</v>
      </c>
      <c r="O252" s="14">
        <f t="shared" si="42"/>
        <v>81500</v>
      </c>
    </row>
    <row r="253" spans="1:15" x14ac:dyDescent="0.3">
      <c r="A253" s="196"/>
      <c r="B253" s="181"/>
      <c r="C253" s="2" t="s">
        <v>42</v>
      </c>
      <c r="D253" s="28">
        <v>22890</v>
      </c>
      <c r="E253" s="24"/>
      <c r="F253" s="24"/>
      <c r="G253" s="24"/>
      <c r="H253" s="24"/>
      <c r="I253" s="24"/>
      <c r="J253" s="24"/>
      <c r="K253" s="24"/>
      <c r="L253" s="24"/>
      <c r="M253" s="24">
        <f t="shared" si="41"/>
        <v>22890</v>
      </c>
      <c r="N253" s="33">
        <v>8628</v>
      </c>
      <c r="O253" s="14">
        <f t="shared" si="42"/>
        <v>14262</v>
      </c>
    </row>
    <row r="254" spans="1:15" x14ac:dyDescent="0.3">
      <c r="A254" s="212" t="s">
        <v>116</v>
      </c>
      <c r="B254" s="213"/>
      <c r="C254" s="214"/>
      <c r="D254" s="58">
        <f t="shared" ref="D254:O254" si="43">SUM(D233,D234,D235,D236,D237,D238,D239,D240,D241,D242,D243,D244,D245,D246,D247,D248,D249,D250,D251,D252,D253,D224,D223,D220,D216,D202,D201,D192,D184,D183,D177,D164,D163,D156,D142,D141,D134,D122,D121,D113,D108,D107,)</f>
        <v>168234101</v>
      </c>
      <c r="E254" s="101">
        <f t="shared" si="43"/>
        <v>0</v>
      </c>
      <c r="F254" s="101">
        <f t="shared" si="43"/>
        <v>5278748</v>
      </c>
      <c r="G254" s="101">
        <f t="shared" si="43"/>
        <v>552580</v>
      </c>
      <c r="H254" s="101">
        <f t="shared" si="43"/>
        <v>0</v>
      </c>
      <c r="I254" s="101">
        <f t="shared" si="43"/>
        <v>0</v>
      </c>
      <c r="J254" s="101">
        <f t="shared" si="43"/>
        <v>0</v>
      </c>
      <c r="K254" s="101">
        <f t="shared" si="43"/>
        <v>0</v>
      </c>
      <c r="L254" s="101">
        <f t="shared" si="43"/>
        <v>0</v>
      </c>
      <c r="M254" s="101">
        <f t="shared" si="43"/>
        <v>174065429</v>
      </c>
      <c r="N254" s="135">
        <f>SUM(N233,N234,N235,N236,N237,N238,N239,N240,N241,N242,N243,N244,N245,N246,N247,N248,N249,N250,N251,N252,N253,N224,N223,N220,N216,N202,N201,N192,N184,N183,N177,N164,N163,N156,N142,N141,N134,N122,N121,N113,N108,N107,)</f>
        <v>61704746</v>
      </c>
      <c r="O254" s="59">
        <f t="shared" si="43"/>
        <v>112360683</v>
      </c>
    </row>
    <row r="255" spans="1:15" x14ac:dyDescent="0.3">
      <c r="A255" s="177" t="s">
        <v>66</v>
      </c>
      <c r="B255" s="4" t="s">
        <v>6</v>
      </c>
      <c r="C255" s="2" t="s">
        <v>67</v>
      </c>
      <c r="D255" s="24">
        <v>0</v>
      </c>
      <c r="E255" s="24"/>
      <c r="F255" s="24"/>
      <c r="G255" s="24"/>
      <c r="H255" s="24"/>
      <c r="I255" s="24"/>
      <c r="J255" s="24"/>
      <c r="K255" s="24"/>
      <c r="L255" s="24"/>
      <c r="M255" s="24">
        <f>D255+E255+F255+G255+H255+J255+I255</f>
        <v>0</v>
      </c>
      <c r="N255" s="33">
        <v>0</v>
      </c>
      <c r="O255" s="14">
        <f t="shared" ref="O255:O257" si="44">M255-N255</f>
        <v>0</v>
      </c>
    </row>
    <row r="256" spans="1:15" x14ac:dyDescent="0.3">
      <c r="A256" s="177"/>
      <c r="B256" s="180" t="s">
        <v>39</v>
      </c>
      <c r="C256" s="2" t="s">
        <v>40</v>
      </c>
      <c r="D256" s="24">
        <v>978360</v>
      </c>
      <c r="E256" s="24"/>
      <c r="F256" s="24"/>
      <c r="G256" s="24"/>
      <c r="H256" s="24"/>
      <c r="I256" s="24"/>
      <c r="J256" s="24"/>
      <c r="K256" s="24"/>
      <c r="L256" s="24"/>
      <c r="M256" s="24">
        <f>D256+E256+F256+G256+H256+J256+I256</f>
        <v>978360</v>
      </c>
      <c r="N256" s="33">
        <v>407650</v>
      </c>
      <c r="O256" s="14">
        <f t="shared" si="44"/>
        <v>570710</v>
      </c>
    </row>
    <row r="257" spans="1:15" x14ac:dyDescent="0.3">
      <c r="A257" s="177"/>
      <c r="B257" s="199"/>
      <c r="C257" s="2" t="s">
        <v>51</v>
      </c>
      <c r="D257" s="24">
        <v>0</v>
      </c>
      <c r="E257" s="24"/>
      <c r="F257" s="24"/>
      <c r="G257" s="24"/>
      <c r="H257" s="24"/>
      <c r="I257" s="24"/>
      <c r="J257" s="24"/>
      <c r="K257" s="24"/>
      <c r="L257" s="24"/>
      <c r="M257" s="24">
        <f>D257+E257+F257+G257+H257+J257+I257</f>
        <v>0</v>
      </c>
      <c r="N257" s="33">
        <v>0</v>
      </c>
      <c r="O257" s="14">
        <f t="shared" si="44"/>
        <v>0</v>
      </c>
    </row>
    <row r="258" spans="1:15" x14ac:dyDescent="0.3">
      <c r="A258" s="177"/>
      <c r="B258" s="199"/>
      <c r="C258" s="6" t="s">
        <v>41</v>
      </c>
      <c r="D258" s="97">
        <f>SUM(D256:D257)</f>
        <v>978360</v>
      </c>
      <c r="E258" s="97">
        <f t="shared" ref="E258:O258" si="45">SUM(E256:E257)</f>
        <v>0</v>
      </c>
      <c r="F258" s="97">
        <f t="shared" si="45"/>
        <v>0</v>
      </c>
      <c r="G258" s="97">
        <f t="shared" si="45"/>
        <v>0</v>
      </c>
      <c r="H258" s="97">
        <f t="shared" si="45"/>
        <v>0</v>
      </c>
      <c r="I258" s="97">
        <f t="shared" si="45"/>
        <v>0</v>
      </c>
      <c r="J258" s="97">
        <f t="shared" si="45"/>
        <v>0</v>
      </c>
      <c r="K258" s="97">
        <f t="shared" si="45"/>
        <v>0</v>
      </c>
      <c r="L258" s="97">
        <f t="shared" si="45"/>
        <v>0</v>
      </c>
      <c r="M258" s="97">
        <f t="shared" si="45"/>
        <v>978360</v>
      </c>
      <c r="N258" s="49">
        <f t="shared" si="45"/>
        <v>407650</v>
      </c>
      <c r="O258" s="26">
        <f t="shared" si="45"/>
        <v>570710</v>
      </c>
    </row>
    <row r="259" spans="1:15" x14ac:dyDescent="0.3">
      <c r="A259" s="177"/>
      <c r="B259" s="199"/>
      <c r="C259" s="57" t="s">
        <v>42</v>
      </c>
      <c r="D259" s="98">
        <v>85607</v>
      </c>
      <c r="E259" s="98"/>
      <c r="F259" s="98"/>
      <c r="G259" s="98"/>
      <c r="H259" s="98"/>
      <c r="I259" s="98"/>
      <c r="J259" s="98"/>
      <c r="K259" s="98"/>
      <c r="L259" s="98"/>
      <c r="M259" s="99">
        <f>D259+E259+F259+G259+H259+J259</f>
        <v>85607</v>
      </c>
      <c r="N259" s="133">
        <v>35670</v>
      </c>
      <c r="O259" s="55">
        <f t="shared" ref="O259:O263" si="46">M259-N259</f>
        <v>49937</v>
      </c>
    </row>
    <row r="260" spans="1:15" x14ac:dyDescent="0.3">
      <c r="A260" s="177"/>
      <c r="B260" s="199"/>
      <c r="C260" s="2" t="s">
        <v>43</v>
      </c>
      <c r="D260" s="24">
        <v>0</v>
      </c>
      <c r="E260" s="24"/>
      <c r="F260" s="24"/>
      <c r="G260" s="24"/>
      <c r="H260" s="24"/>
      <c r="I260" s="24"/>
      <c r="J260" s="24"/>
      <c r="K260" s="24"/>
      <c r="L260" s="24"/>
      <c r="M260" s="24">
        <f>D260+E260+F260+G260+H260+J260+I260</f>
        <v>0</v>
      </c>
      <c r="N260" s="33">
        <v>0</v>
      </c>
      <c r="O260" s="32">
        <f t="shared" si="46"/>
        <v>0</v>
      </c>
    </row>
    <row r="261" spans="1:15" x14ac:dyDescent="0.3">
      <c r="A261" s="177"/>
      <c r="B261" s="199"/>
      <c r="C261" s="2" t="s">
        <v>53</v>
      </c>
      <c r="D261" s="24">
        <v>0</v>
      </c>
      <c r="E261" s="24"/>
      <c r="F261" s="24"/>
      <c r="G261" s="24"/>
      <c r="H261" s="24"/>
      <c r="I261" s="24"/>
      <c r="J261" s="24"/>
      <c r="K261" s="24"/>
      <c r="L261" s="24"/>
      <c r="M261" s="24">
        <f>D261+E261+F261+G261+H261+J261+I261</f>
        <v>0</v>
      </c>
      <c r="N261" s="33">
        <v>0</v>
      </c>
      <c r="O261" s="32">
        <f t="shared" si="46"/>
        <v>0</v>
      </c>
    </row>
    <row r="262" spans="1:15" x14ac:dyDescent="0.3">
      <c r="A262" s="177"/>
      <c r="B262" s="199"/>
      <c r="C262" s="2" t="s">
        <v>44</v>
      </c>
      <c r="D262" s="24">
        <v>0</v>
      </c>
      <c r="E262" s="24"/>
      <c r="F262" s="24"/>
      <c r="G262" s="24"/>
      <c r="H262" s="24"/>
      <c r="I262" s="24"/>
      <c r="J262" s="24"/>
      <c r="K262" s="24"/>
      <c r="L262" s="24"/>
      <c r="M262" s="24">
        <f>D262+E262+F262+G262+H262+J262+I262</f>
        <v>0</v>
      </c>
      <c r="N262" s="33">
        <v>0</v>
      </c>
      <c r="O262" s="32">
        <f t="shared" si="46"/>
        <v>0</v>
      </c>
    </row>
    <row r="263" spans="1:15" x14ac:dyDescent="0.3">
      <c r="A263" s="177"/>
      <c r="B263" s="199"/>
      <c r="C263" s="2" t="s">
        <v>45</v>
      </c>
      <c r="D263" s="24">
        <v>0</v>
      </c>
      <c r="E263" s="24"/>
      <c r="F263" s="24"/>
      <c r="G263" s="24"/>
      <c r="H263" s="24"/>
      <c r="I263" s="24"/>
      <c r="J263" s="24"/>
      <c r="K263" s="24"/>
      <c r="L263" s="24"/>
      <c r="M263" s="24">
        <f>D263+E263+F263+G263+H263+J263+I263</f>
        <v>0</v>
      </c>
      <c r="N263" s="33">
        <v>0</v>
      </c>
      <c r="O263" s="32">
        <f t="shared" si="46"/>
        <v>0</v>
      </c>
    </row>
    <row r="264" spans="1:15" x14ac:dyDescent="0.3">
      <c r="A264" s="177"/>
      <c r="B264" s="181"/>
      <c r="C264" s="6" t="s">
        <v>46</v>
      </c>
      <c r="D264" s="97">
        <f>SUM(D260:D263)</f>
        <v>0</v>
      </c>
      <c r="E264" s="97">
        <f t="shared" ref="E264:O264" si="47">SUM(E260:E263)</f>
        <v>0</v>
      </c>
      <c r="F264" s="97">
        <f t="shared" si="47"/>
        <v>0</v>
      </c>
      <c r="G264" s="97">
        <f t="shared" si="47"/>
        <v>0</v>
      </c>
      <c r="H264" s="97">
        <f t="shared" si="47"/>
        <v>0</v>
      </c>
      <c r="I264" s="97">
        <f t="shared" si="47"/>
        <v>0</v>
      </c>
      <c r="J264" s="97">
        <f t="shared" si="47"/>
        <v>0</v>
      </c>
      <c r="K264" s="97">
        <f t="shared" si="47"/>
        <v>0</v>
      </c>
      <c r="L264" s="97">
        <f t="shared" si="47"/>
        <v>0</v>
      </c>
      <c r="M264" s="97">
        <f t="shared" si="47"/>
        <v>0</v>
      </c>
      <c r="N264" s="49">
        <f t="shared" si="47"/>
        <v>0</v>
      </c>
      <c r="O264" s="34">
        <f t="shared" si="47"/>
        <v>0</v>
      </c>
    </row>
    <row r="265" spans="1:15" x14ac:dyDescent="0.3">
      <c r="A265" s="177"/>
      <c r="B265" s="179" t="s">
        <v>18</v>
      </c>
      <c r="C265" s="2" t="s">
        <v>40</v>
      </c>
      <c r="D265" s="24">
        <v>5173896</v>
      </c>
      <c r="E265" s="24"/>
      <c r="F265" s="28"/>
      <c r="G265" s="28"/>
      <c r="H265" s="24"/>
      <c r="I265" s="24"/>
      <c r="J265" s="24"/>
      <c r="K265" s="24"/>
      <c r="L265" s="24"/>
      <c r="M265" s="24">
        <f t="shared" ref="M265:M270" si="48">D265+E265+F265+G265+H265+J265+I265</f>
        <v>5173896</v>
      </c>
      <c r="N265" s="33">
        <v>2133893</v>
      </c>
      <c r="O265" s="14">
        <f t="shared" ref="O265:O270" si="49">M265-N265</f>
        <v>3040003</v>
      </c>
    </row>
    <row r="266" spans="1:15" x14ac:dyDescent="0.3">
      <c r="A266" s="177"/>
      <c r="B266" s="179"/>
      <c r="C266" s="2" t="s">
        <v>47</v>
      </c>
      <c r="D266" s="24">
        <v>200000</v>
      </c>
      <c r="E266" s="24"/>
      <c r="F266" s="28"/>
      <c r="G266" s="28"/>
      <c r="H266" s="24"/>
      <c r="I266" s="24"/>
      <c r="J266" s="24"/>
      <c r="K266" s="24"/>
      <c r="L266" s="24"/>
      <c r="M266" s="24">
        <f t="shared" si="48"/>
        <v>200000</v>
      </c>
      <c r="N266" s="33">
        <v>0</v>
      </c>
      <c r="O266" s="14">
        <f t="shared" si="49"/>
        <v>200000</v>
      </c>
    </row>
    <row r="267" spans="1:15" x14ac:dyDescent="0.3">
      <c r="A267" s="177"/>
      <c r="B267" s="179"/>
      <c r="C267" s="2" t="s">
        <v>48</v>
      </c>
      <c r="D267" s="24">
        <v>10000</v>
      </c>
      <c r="E267" s="24"/>
      <c r="F267" s="28"/>
      <c r="G267" s="28"/>
      <c r="H267" s="24"/>
      <c r="I267" s="24"/>
      <c r="J267" s="24"/>
      <c r="K267" s="24"/>
      <c r="L267" s="24"/>
      <c r="M267" s="24">
        <f t="shared" si="48"/>
        <v>10000</v>
      </c>
      <c r="N267" s="33">
        <v>0</v>
      </c>
      <c r="O267" s="14">
        <f t="shared" si="49"/>
        <v>10000</v>
      </c>
    </row>
    <row r="268" spans="1:15" x14ac:dyDescent="0.3">
      <c r="A268" s="177"/>
      <c r="B268" s="179"/>
      <c r="C268" s="2" t="s">
        <v>50</v>
      </c>
      <c r="D268" s="24">
        <v>24000</v>
      </c>
      <c r="E268" s="24"/>
      <c r="F268" s="28"/>
      <c r="G268" s="28"/>
      <c r="H268" s="24"/>
      <c r="I268" s="24"/>
      <c r="J268" s="24"/>
      <c r="K268" s="24"/>
      <c r="L268" s="24"/>
      <c r="M268" s="24">
        <f t="shared" si="48"/>
        <v>24000</v>
      </c>
      <c r="N268" s="33">
        <v>0</v>
      </c>
      <c r="O268" s="14">
        <f t="shared" si="49"/>
        <v>24000</v>
      </c>
    </row>
    <row r="269" spans="1:15" x14ac:dyDescent="0.3">
      <c r="A269" s="177"/>
      <c r="B269" s="179"/>
      <c r="C269" s="2" t="s">
        <v>51</v>
      </c>
      <c r="D269" s="24">
        <v>0</v>
      </c>
      <c r="E269" s="24"/>
      <c r="F269" s="28"/>
      <c r="G269" s="28"/>
      <c r="H269" s="24"/>
      <c r="I269" s="24"/>
      <c r="J269" s="24"/>
      <c r="K269" s="24"/>
      <c r="L269" s="24"/>
      <c r="M269" s="24">
        <f t="shared" si="48"/>
        <v>0</v>
      </c>
      <c r="N269" s="33">
        <v>0</v>
      </c>
      <c r="O269" s="14">
        <f t="shared" si="49"/>
        <v>0</v>
      </c>
    </row>
    <row r="270" spans="1:15" x14ac:dyDescent="0.3">
      <c r="A270" s="177"/>
      <c r="B270" s="179"/>
      <c r="C270" s="2" t="s">
        <v>52</v>
      </c>
      <c r="D270" s="24">
        <v>0</v>
      </c>
      <c r="E270" s="24"/>
      <c r="F270" s="24"/>
      <c r="G270" s="24"/>
      <c r="H270" s="24"/>
      <c r="I270" s="24"/>
      <c r="J270" s="24"/>
      <c r="K270" s="24"/>
      <c r="L270" s="24"/>
      <c r="M270" s="24">
        <f t="shared" si="48"/>
        <v>0</v>
      </c>
      <c r="N270" s="33">
        <v>0</v>
      </c>
      <c r="O270" s="14">
        <f t="shared" si="49"/>
        <v>0</v>
      </c>
    </row>
    <row r="271" spans="1:15" x14ac:dyDescent="0.3">
      <c r="A271" s="177"/>
      <c r="B271" s="179"/>
      <c r="C271" s="6" t="s">
        <v>41</v>
      </c>
      <c r="D271" s="97">
        <f>SUM(D265:D270)</f>
        <v>5407896</v>
      </c>
      <c r="E271" s="97">
        <f t="shared" ref="E271:N271" si="50">SUM(E265:E270)</f>
        <v>0</v>
      </c>
      <c r="F271" s="97">
        <f t="shared" si="50"/>
        <v>0</v>
      </c>
      <c r="G271" s="97">
        <f t="shared" si="50"/>
        <v>0</v>
      </c>
      <c r="H271" s="97">
        <f t="shared" si="50"/>
        <v>0</v>
      </c>
      <c r="I271" s="97">
        <f t="shared" si="50"/>
        <v>0</v>
      </c>
      <c r="J271" s="97">
        <f t="shared" si="50"/>
        <v>0</v>
      </c>
      <c r="K271" s="97">
        <f t="shared" si="50"/>
        <v>0</v>
      </c>
      <c r="L271" s="97">
        <f t="shared" si="50"/>
        <v>0</v>
      </c>
      <c r="M271" s="97">
        <f t="shared" si="50"/>
        <v>5407896</v>
      </c>
      <c r="N271" s="49">
        <f t="shared" si="50"/>
        <v>2133893</v>
      </c>
      <c r="O271" s="26">
        <f>SUM(O265:O270)</f>
        <v>3274003</v>
      </c>
    </row>
    <row r="272" spans="1:15" x14ac:dyDescent="0.3">
      <c r="A272" s="177"/>
      <c r="B272" s="179"/>
      <c r="C272" s="57" t="s">
        <v>42</v>
      </c>
      <c r="D272" s="98">
        <v>976381</v>
      </c>
      <c r="E272" s="98"/>
      <c r="F272" s="98"/>
      <c r="G272" s="98"/>
      <c r="H272" s="98"/>
      <c r="I272" s="98"/>
      <c r="J272" s="98"/>
      <c r="K272" s="98"/>
      <c r="L272" s="98"/>
      <c r="M272" s="99">
        <f>D272+E272+F272+G272+H272+J272</f>
        <v>976381</v>
      </c>
      <c r="N272" s="133">
        <v>376104</v>
      </c>
      <c r="O272" s="55">
        <f t="shared" ref="O272:O282" si="51">M272-N272</f>
        <v>600277</v>
      </c>
    </row>
    <row r="273" spans="1:16" x14ac:dyDescent="0.3">
      <c r="A273" s="177"/>
      <c r="B273" s="179"/>
      <c r="C273" s="2" t="s">
        <v>43</v>
      </c>
      <c r="D273" s="24">
        <v>40000</v>
      </c>
      <c r="E273" s="24"/>
      <c r="F273" s="24"/>
      <c r="G273" s="24"/>
      <c r="H273" s="24"/>
      <c r="I273" s="24"/>
      <c r="J273" s="24"/>
      <c r="K273" s="24"/>
      <c r="L273" s="24"/>
      <c r="M273" s="24">
        <f t="shared" ref="M273:M282" si="52">D273+E273+F273+G273+H273+J273+I273</f>
        <v>40000</v>
      </c>
      <c r="N273" s="33">
        <v>0</v>
      </c>
      <c r="O273" s="14">
        <f t="shared" si="51"/>
        <v>40000</v>
      </c>
    </row>
    <row r="274" spans="1:16" x14ac:dyDescent="0.3">
      <c r="A274" s="177"/>
      <c r="B274" s="179"/>
      <c r="C274" s="2" t="s">
        <v>53</v>
      </c>
      <c r="D274" s="24">
        <v>50000</v>
      </c>
      <c r="E274" s="24"/>
      <c r="F274" s="24"/>
      <c r="G274" s="24"/>
      <c r="H274" s="24"/>
      <c r="I274" s="24"/>
      <c r="J274" s="24"/>
      <c r="K274" s="24"/>
      <c r="L274" s="24"/>
      <c r="M274" s="24">
        <f t="shared" si="52"/>
        <v>50000</v>
      </c>
      <c r="N274" s="33">
        <v>0</v>
      </c>
      <c r="O274" s="21">
        <f t="shared" si="51"/>
        <v>50000</v>
      </c>
    </row>
    <row r="275" spans="1:16" x14ac:dyDescent="0.3">
      <c r="A275" s="177"/>
      <c r="B275" s="179"/>
      <c r="C275" s="30" t="s">
        <v>55</v>
      </c>
      <c r="D275" s="24">
        <v>0</v>
      </c>
      <c r="E275" s="24"/>
      <c r="F275" s="28"/>
      <c r="G275" s="28"/>
      <c r="H275" s="28"/>
      <c r="I275" s="28"/>
      <c r="J275" s="24"/>
      <c r="K275" s="24"/>
      <c r="L275" s="24"/>
      <c r="M275" s="24">
        <f t="shared" si="52"/>
        <v>0</v>
      </c>
      <c r="N275" s="33">
        <v>0</v>
      </c>
      <c r="O275" s="32">
        <f t="shared" si="51"/>
        <v>0</v>
      </c>
    </row>
    <row r="276" spans="1:16" x14ac:dyDescent="0.3">
      <c r="A276" s="177"/>
      <c r="B276" s="179"/>
      <c r="C276" s="2" t="s">
        <v>56</v>
      </c>
      <c r="D276" s="24">
        <v>0</v>
      </c>
      <c r="E276" s="24"/>
      <c r="F276" s="28"/>
      <c r="G276" s="28"/>
      <c r="H276" s="28"/>
      <c r="I276" s="28"/>
      <c r="J276" s="24"/>
      <c r="K276" s="24"/>
      <c r="L276" s="24"/>
      <c r="M276" s="24">
        <f t="shared" si="52"/>
        <v>0</v>
      </c>
      <c r="N276" s="33">
        <v>0</v>
      </c>
      <c r="O276" s="21">
        <f t="shared" si="51"/>
        <v>0</v>
      </c>
    </row>
    <row r="277" spans="1:16" s="19" customFormat="1" x14ac:dyDescent="0.3">
      <c r="A277" s="177"/>
      <c r="B277" s="179"/>
      <c r="C277" s="30" t="s">
        <v>57</v>
      </c>
      <c r="D277" s="28">
        <v>4000</v>
      </c>
      <c r="E277" s="28"/>
      <c r="F277" s="28"/>
      <c r="G277" s="28"/>
      <c r="H277" s="28"/>
      <c r="I277" s="28"/>
      <c r="J277" s="28"/>
      <c r="K277" s="28"/>
      <c r="L277" s="28"/>
      <c r="M277" s="28">
        <f t="shared" si="52"/>
        <v>4000</v>
      </c>
      <c r="N277" s="32">
        <v>0</v>
      </c>
      <c r="O277" s="21">
        <f t="shared" si="51"/>
        <v>4000</v>
      </c>
      <c r="P277" s="53"/>
    </row>
    <row r="278" spans="1:16" x14ac:dyDescent="0.3">
      <c r="A278" s="177"/>
      <c r="B278" s="179"/>
      <c r="C278" s="2" t="s">
        <v>44</v>
      </c>
      <c r="D278" s="24">
        <v>16800</v>
      </c>
      <c r="E278" s="24"/>
      <c r="F278" s="28"/>
      <c r="G278" s="28"/>
      <c r="H278" s="28"/>
      <c r="I278" s="28"/>
      <c r="J278" s="24"/>
      <c r="K278" s="24"/>
      <c r="L278" s="24"/>
      <c r="M278" s="24">
        <f t="shared" si="52"/>
        <v>16800</v>
      </c>
      <c r="N278" s="33">
        <v>4200</v>
      </c>
      <c r="O278" s="21">
        <f t="shared" si="51"/>
        <v>12600</v>
      </c>
    </row>
    <row r="279" spans="1:16" x14ac:dyDescent="0.3">
      <c r="A279" s="177"/>
      <c r="B279" s="179"/>
      <c r="C279" s="2" t="s">
        <v>58</v>
      </c>
      <c r="D279" s="24">
        <v>20000</v>
      </c>
      <c r="E279" s="24"/>
      <c r="F279" s="28"/>
      <c r="G279" s="28">
        <v>19685</v>
      </c>
      <c r="H279" s="28"/>
      <c r="I279" s="28"/>
      <c r="J279" s="24"/>
      <c r="K279" s="24"/>
      <c r="L279" s="24"/>
      <c r="M279" s="24">
        <f t="shared" si="52"/>
        <v>39685</v>
      </c>
      <c r="N279" s="33">
        <v>0</v>
      </c>
      <c r="O279" s="21">
        <f t="shared" si="51"/>
        <v>39685</v>
      </c>
    </row>
    <row r="280" spans="1:16" x14ac:dyDescent="0.3">
      <c r="A280" s="177"/>
      <c r="B280" s="179"/>
      <c r="C280" s="2" t="s">
        <v>59</v>
      </c>
      <c r="D280" s="24">
        <v>39000</v>
      </c>
      <c r="E280" s="24"/>
      <c r="F280" s="28"/>
      <c r="G280" s="28"/>
      <c r="H280" s="28"/>
      <c r="I280" s="28"/>
      <c r="J280" s="24"/>
      <c r="K280" s="24"/>
      <c r="L280" s="24"/>
      <c r="M280" s="24">
        <f t="shared" si="52"/>
        <v>39000</v>
      </c>
      <c r="N280" s="33">
        <v>35430</v>
      </c>
      <c r="O280" s="21">
        <f t="shared" si="51"/>
        <v>3570</v>
      </c>
    </row>
    <row r="281" spans="1:16" x14ac:dyDescent="0.3">
      <c r="A281" s="177"/>
      <c r="B281" s="179"/>
      <c r="C281" s="2" t="s">
        <v>45</v>
      </c>
      <c r="D281" s="24">
        <v>26380</v>
      </c>
      <c r="E281" s="24"/>
      <c r="F281" s="28"/>
      <c r="G281" s="28">
        <v>5315</v>
      </c>
      <c r="H281" s="28"/>
      <c r="I281" s="28"/>
      <c r="J281" s="24"/>
      <c r="K281" s="24"/>
      <c r="L281" s="24"/>
      <c r="M281" s="24">
        <f t="shared" si="52"/>
        <v>31695</v>
      </c>
      <c r="N281" s="33">
        <v>0</v>
      </c>
      <c r="O281" s="21">
        <f t="shared" si="51"/>
        <v>31695</v>
      </c>
    </row>
    <row r="282" spans="1:16" x14ac:dyDescent="0.3">
      <c r="A282" s="177"/>
      <c r="B282" s="179"/>
      <c r="C282" s="2" t="s">
        <v>60</v>
      </c>
      <c r="D282" s="24">
        <v>177174</v>
      </c>
      <c r="E282" s="24"/>
      <c r="F282" s="28"/>
      <c r="G282" s="28"/>
      <c r="H282" s="28"/>
      <c r="I282" s="28"/>
      <c r="J282" s="24"/>
      <c r="K282" s="24"/>
      <c r="L282" s="24"/>
      <c r="M282" s="24">
        <f t="shared" si="52"/>
        <v>177174</v>
      </c>
      <c r="N282" s="33">
        <v>0</v>
      </c>
      <c r="O282" s="14">
        <f t="shared" si="51"/>
        <v>177174</v>
      </c>
    </row>
    <row r="283" spans="1:16" x14ac:dyDescent="0.3">
      <c r="A283" s="177"/>
      <c r="B283" s="179"/>
      <c r="C283" s="6" t="s">
        <v>46</v>
      </c>
      <c r="D283" s="97">
        <f>SUM(D273:D282)</f>
        <v>373354</v>
      </c>
      <c r="E283" s="97">
        <f t="shared" ref="E283:O283" si="53">SUM(E273:E282)</f>
        <v>0</v>
      </c>
      <c r="F283" s="97">
        <f t="shared" si="53"/>
        <v>0</v>
      </c>
      <c r="G283" s="97">
        <f t="shared" si="53"/>
        <v>25000</v>
      </c>
      <c r="H283" s="97">
        <f t="shared" si="53"/>
        <v>0</v>
      </c>
      <c r="I283" s="97">
        <f t="shared" si="53"/>
        <v>0</v>
      </c>
      <c r="J283" s="97">
        <f t="shared" si="53"/>
        <v>0</v>
      </c>
      <c r="K283" s="97">
        <f t="shared" si="53"/>
        <v>0</v>
      </c>
      <c r="L283" s="97">
        <f t="shared" si="53"/>
        <v>0</v>
      </c>
      <c r="M283" s="97">
        <f t="shared" si="53"/>
        <v>398354</v>
      </c>
      <c r="N283" s="49">
        <f t="shared" si="53"/>
        <v>39630</v>
      </c>
      <c r="O283" s="26">
        <f t="shared" si="53"/>
        <v>358724</v>
      </c>
    </row>
    <row r="284" spans="1:16" x14ac:dyDescent="0.3">
      <c r="A284" s="198" t="s">
        <v>87</v>
      </c>
      <c r="B284" s="180" t="s">
        <v>18</v>
      </c>
      <c r="C284" s="2" t="s">
        <v>40</v>
      </c>
      <c r="D284" s="24">
        <v>344329</v>
      </c>
      <c r="E284" s="24"/>
      <c r="F284" s="24">
        <v>301994</v>
      </c>
      <c r="G284" s="24"/>
      <c r="H284" s="24"/>
      <c r="I284" s="24"/>
      <c r="J284" s="24"/>
      <c r="K284" s="24"/>
      <c r="L284" s="24"/>
      <c r="M284" s="24">
        <f>D284+E284+F284+G284+H284+J284+I284+K284</f>
        <v>646323</v>
      </c>
      <c r="N284" s="33">
        <v>251463</v>
      </c>
      <c r="O284" s="14">
        <f t="shared" ref="O284:O285" si="54">M284-N284</f>
        <v>394860</v>
      </c>
    </row>
    <row r="285" spans="1:16" x14ac:dyDescent="0.3">
      <c r="A285" s="196"/>
      <c r="B285" s="181"/>
      <c r="C285" s="2" t="s">
        <v>42</v>
      </c>
      <c r="D285" s="24">
        <v>60258</v>
      </c>
      <c r="E285" s="24"/>
      <c r="F285" s="24">
        <v>47209</v>
      </c>
      <c r="G285" s="24"/>
      <c r="H285" s="24"/>
      <c r="I285" s="24"/>
      <c r="J285" s="24"/>
      <c r="K285" s="24"/>
      <c r="L285" s="24"/>
      <c r="M285" s="24">
        <f>D285+E285+F285+G285+H285+J285+I285+K285</f>
        <v>107467</v>
      </c>
      <c r="N285" s="33">
        <v>44006</v>
      </c>
      <c r="O285" s="14">
        <f t="shared" si="54"/>
        <v>63461</v>
      </c>
    </row>
    <row r="286" spans="1:16" x14ac:dyDescent="0.3">
      <c r="A286" s="212" t="s">
        <v>117</v>
      </c>
      <c r="B286" s="213"/>
      <c r="C286" s="214"/>
      <c r="D286" s="101">
        <f>SUM(D255+D258+D259+D264+D271+D272+D283+D284+D285)</f>
        <v>8226185</v>
      </c>
      <c r="E286" s="101">
        <f t="shared" ref="E286:O286" si="55">SUM(E255+E258+E259+E264+E271+E272+E283+E284+E285)</f>
        <v>0</v>
      </c>
      <c r="F286" s="101">
        <f t="shared" si="55"/>
        <v>349203</v>
      </c>
      <c r="G286" s="101">
        <f t="shared" si="55"/>
        <v>25000</v>
      </c>
      <c r="H286" s="101">
        <f t="shared" si="55"/>
        <v>0</v>
      </c>
      <c r="I286" s="101">
        <f t="shared" si="55"/>
        <v>0</v>
      </c>
      <c r="J286" s="101">
        <f t="shared" si="55"/>
        <v>0</v>
      </c>
      <c r="K286" s="101">
        <f t="shared" si="55"/>
        <v>0</v>
      </c>
      <c r="L286" s="101">
        <f t="shared" si="55"/>
        <v>0</v>
      </c>
      <c r="M286" s="101">
        <f t="shared" si="55"/>
        <v>8600388</v>
      </c>
      <c r="N286" s="59">
        <f t="shared" si="55"/>
        <v>3288416</v>
      </c>
      <c r="O286" s="59">
        <f t="shared" si="55"/>
        <v>5311972</v>
      </c>
    </row>
    <row r="287" spans="1:16" x14ac:dyDescent="0.3">
      <c r="A287" s="177" t="s">
        <v>68</v>
      </c>
      <c r="B287" s="4" t="s">
        <v>6</v>
      </c>
      <c r="C287" s="2" t="s">
        <v>67</v>
      </c>
      <c r="D287" s="24">
        <v>0</v>
      </c>
      <c r="E287" s="24"/>
      <c r="F287" s="24"/>
      <c r="G287" s="24"/>
      <c r="H287" s="24"/>
      <c r="I287" s="24"/>
      <c r="J287" s="24"/>
      <c r="K287" s="24"/>
      <c r="L287" s="24"/>
      <c r="M287" s="24">
        <f>D287+E287+F287+G287+H287+J287+I287</f>
        <v>0</v>
      </c>
      <c r="N287" s="33">
        <v>0</v>
      </c>
      <c r="O287" s="14">
        <f t="shared" ref="O287:O289" si="56">M287-N287</f>
        <v>0</v>
      </c>
    </row>
    <row r="288" spans="1:16" x14ac:dyDescent="0.3">
      <c r="A288" s="177"/>
      <c r="B288" s="180" t="s">
        <v>39</v>
      </c>
      <c r="C288" s="2" t="s">
        <v>40</v>
      </c>
      <c r="D288" s="24">
        <v>0</v>
      </c>
      <c r="E288" s="24"/>
      <c r="F288" s="24"/>
      <c r="G288" s="24"/>
      <c r="H288" s="24"/>
      <c r="I288" s="24"/>
      <c r="J288" s="24"/>
      <c r="K288" s="24"/>
      <c r="L288" s="24"/>
      <c r="M288" s="24">
        <f>D288+E288+F288+G288+H288+J288+I288</f>
        <v>0</v>
      </c>
      <c r="N288" s="33">
        <v>0</v>
      </c>
      <c r="O288" s="14">
        <f t="shared" si="56"/>
        <v>0</v>
      </c>
    </row>
    <row r="289" spans="1:15" x14ac:dyDescent="0.3">
      <c r="A289" s="177"/>
      <c r="B289" s="199"/>
      <c r="C289" s="2" t="s">
        <v>51</v>
      </c>
      <c r="D289" s="24">
        <v>0</v>
      </c>
      <c r="E289" s="24"/>
      <c r="F289" s="24"/>
      <c r="G289" s="24"/>
      <c r="H289" s="24"/>
      <c r="I289" s="24"/>
      <c r="J289" s="24"/>
      <c r="K289" s="24"/>
      <c r="L289" s="24"/>
      <c r="M289" s="24">
        <f>D289+E289+F289+G289+H289+J289+I289</f>
        <v>0</v>
      </c>
      <c r="N289" s="33">
        <v>0</v>
      </c>
      <c r="O289" s="14">
        <f t="shared" si="56"/>
        <v>0</v>
      </c>
    </row>
    <row r="290" spans="1:15" x14ac:dyDescent="0.3">
      <c r="A290" s="177"/>
      <c r="B290" s="199"/>
      <c r="C290" s="6" t="s">
        <v>41</v>
      </c>
      <c r="D290" s="97">
        <v>0</v>
      </c>
      <c r="E290" s="97">
        <f t="shared" ref="E290:O290" si="57">SUM(E288:E289)</f>
        <v>0</v>
      </c>
      <c r="F290" s="97">
        <f t="shared" si="57"/>
        <v>0</v>
      </c>
      <c r="G290" s="97">
        <f t="shared" si="57"/>
        <v>0</v>
      </c>
      <c r="H290" s="97">
        <f t="shared" si="57"/>
        <v>0</v>
      </c>
      <c r="I290" s="97">
        <f t="shared" si="57"/>
        <v>0</v>
      </c>
      <c r="J290" s="97">
        <f t="shared" si="57"/>
        <v>0</v>
      </c>
      <c r="K290" s="97">
        <f t="shared" si="57"/>
        <v>0</v>
      </c>
      <c r="L290" s="97">
        <f t="shared" si="57"/>
        <v>0</v>
      </c>
      <c r="M290" s="97">
        <f t="shared" si="57"/>
        <v>0</v>
      </c>
      <c r="N290" s="49">
        <f t="shared" si="57"/>
        <v>0</v>
      </c>
      <c r="O290" s="26">
        <f t="shared" si="57"/>
        <v>0</v>
      </c>
    </row>
    <row r="291" spans="1:15" x14ac:dyDescent="0.3">
      <c r="A291" s="177"/>
      <c r="B291" s="199"/>
      <c r="C291" s="57" t="s">
        <v>42</v>
      </c>
      <c r="D291" s="98">
        <v>0</v>
      </c>
      <c r="E291" s="98"/>
      <c r="F291" s="98"/>
      <c r="G291" s="98"/>
      <c r="H291" s="98"/>
      <c r="I291" s="98"/>
      <c r="J291" s="98"/>
      <c r="K291" s="98"/>
      <c r="L291" s="98"/>
      <c r="M291" s="99">
        <f>D291+E291+F291+G291+H291+J291</f>
        <v>0</v>
      </c>
      <c r="N291" s="133">
        <v>0</v>
      </c>
      <c r="O291" s="55">
        <f t="shared" ref="O291:O293" si="58">M291-N291</f>
        <v>0</v>
      </c>
    </row>
    <row r="292" spans="1:15" x14ac:dyDescent="0.3">
      <c r="A292" s="177"/>
      <c r="B292" s="199"/>
      <c r="C292" s="2" t="s">
        <v>43</v>
      </c>
      <c r="D292" s="24">
        <v>0</v>
      </c>
      <c r="E292" s="24"/>
      <c r="F292" s="24"/>
      <c r="G292" s="24"/>
      <c r="H292" s="24"/>
      <c r="I292" s="24"/>
      <c r="J292" s="24"/>
      <c r="K292" s="24"/>
      <c r="L292" s="24"/>
      <c r="M292" s="24">
        <f>D292+E292+F292+G292+H292+J292+I292</f>
        <v>0</v>
      </c>
      <c r="N292" s="33">
        <v>0</v>
      </c>
      <c r="O292" s="14">
        <f t="shared" si="58"/>
        <v>0</v>
      </c>
    </row>
    <row r="293" spans="1:15" x14ac:dyDescent="0.3">
      <c r="A293" s="177"/>
      <c r="B293" s="199"/>
      <c r="C293" s="2" t="s">
        <v>45</v>
      </c>
      <c r="D293" s="24">
        <v>0</v>
      </c>
      <c r="E293" s="24"/>
      <c r="F293" s="24"/>
      <c r="G293" s="24"/>
      <c r="H293" s="24"/>
      <c r="I293" s="24"/>
      <c r="J293" s="24"/>
      <c r="K293" s="24"/>
      <c r="L293" s="24"/>
      <c r="M293" s="24">
        <f>D293+E293+F293+G293+H293+J293+I293</f>
        <v>0</v>
      </c>
      <c r="N293" s="33">
        <v>0</v>
      </c>
      <c r="O293" s="14">
        <f t="shared" si="58"/>
        <v>0</v>
      </c>
    </row>
    <row r="294" spans="1:15" x14ac:dyDescent="0.3">
      <c r="A294" s="177"/>
      <c r="B294" s="181"/>
      <c r="C294" s="6" t="s">
        <v>46</v>
      </c>
      <c r="D294" s="97">
        <v>0</v>
      </c>
      <c r="E294" s="97">
        <f t="shared" ref="E294:O294" si="59">SUM(E292:E293)</f>
        <v>0</v>
      </c>
      <c r="F294" s="97">
        <f t="shared" si="59"/>
        <v>0</v>
      </c>
      <c r="G294" s="97">
        <f t="shared" si="59"/>
        <v>0</v>
      </c>
      <c r="H294" s="97">
        <f t="shared" si="59"/>
        <v>0</v>
      </c>
      <c r="I294" s="97">
        <f t="shared" si="59"/>
        <v>0</v>
      </c>
      <c r="J294" s="97">
        <f t="shared" si="59"/>
        <v>0</v>
      </c>
      <c r="K294" s="97">
        <f t="shared" si="59"/>
        <v>0</v>
      </c>
      <c r="L294" s="97">
        <f t="shared" si="59"/>
        <v>0</v>
      </c>
      <c r="M294" s="97">
        <f t="shared" si="59"/>
        <v>0</v>
      </c>
      <c r="N294" s="49">
        <f t="shared" si="59"/>
        <v>0</v>
      </c>
      <c r="O294" s="26">
        <f t="shared" si="59"/>
        <v>0</v>
      </c>
    </row>
    <row r="295" spans="1:15" x14ac:dyDescent="0.3">
      <c r="A295" s="177"/>
      <c r="B295" s="180" t="s">
        <v>18</v>
      </c>
      <c r="C295" s="2" t="s">
        <v>40</v>
      </c>
      <c r="D295" s="24">
        <v>2629062</v>
      </c>
      <c r="E295" s="24"/>
      <c r="F295" s="28"/>
      <c r="G295" s="24"/>
      <c r="H295" s="24"/>
      <c r="I295" s="24"/>
      <c r="J295" s="24"/>
      <c r="K295" s="24"/>
      <c r="L295" s="24"/>
      <c r="M295" s="24">
        <f>D295+E295+F295+G295+H295+J295+I295</f>
        <v>2629062</v>
      </c>
      <c r="N295" s="33">
        <v>1093792</v>
      </c>
      <c r="O295" s="14">
        <f t="shared" ref="O295:O299" si="60">M295-N295</f>
        <v>1535270</v>
      </c>
    </row>
    <row r="296" spans="1:15" x14ac:dyDescent="0.3">
      <c r="A296" s="177"/>
      <c r="B296" s="199"/>
      <c r="C296" s="2" t="s">
        <v>47</v>
      </c>
      <c r="D296" s="24">
        <v>100000</v>
      </c>
      <c r="E296" s="24"/>
      <c r="F296" s="28"/>
      <c r="G296" s="24"/>
      <c r="H296" s="24"/>
      <c r="I296" s="24"/>
      <c r="J296" s="24"/>
      <c r="K296" s="24"/>
      <c r="L296" s="24"/>
      <c r="M296" s="24">
        <f>D296+E296+F296+G296+H296+J296+I296</f>
        <v>100000</v>
      </c>
      <c r="N296" s="33">
        <v>0</v>
      </c>
      <c r="O296" s="14">
        <f t="shared" si="60"/>
        <v>100000</v>
      </c>
    </row>
    <row r="297" spans="1:15" x14ac:dyDescent="0.3">
      <c r="A297" s="177"/>
      <c r="B297" s="199"/>
      <c r="C297" s="2" t="s">
        <v>48</v>
      </c>
      <c r="D297" s="24">
        <v>5000</v>
      </c>
      <c r="E297" s="24"/>
      <c r="F297" s="28"/>
      <c r="G297" s="24"/>
      <c r="H297" s="24"/>
      <c r="I297" s="24"/>
      <c r="J297" s="24"/>
      <c r="K297" s="24"/>
      <c r="L297" s="24"/>
      <c r="M297" s="24">
        <f>D297+E297+F297+G297+H297+J297+I297</f>
        <v>5000</v>
      </c>
      <c r="N297" s="33">
        <v>0</v>
      </c>
      <c r="O297" s="14">
        <f t="shared" si="60"/>
        <v>5000</v>
      </c>
    </row>
    <row r="298" spans="1:15" x14ac:dyDescent="0.3">
      <c r="A298" s="177"/>
      <c r="B298" s="199"/>
      <c r="C298" s="2" t="s">
        <v>50</v>
      </c>
      <c r="D298" s="24">
        <v>12000</v>
      </c>
      <c r="E298" s="24"/>
      <c r="F298" s="28"/>
      <c r="G298" s="24"/>
      <c r="H298" s="24"/>
      <c r="I298" s="24"/>
      <c r="J298" s="24"/>
      <c r="K298" s="24"/>
      <c r="L298" s="24"/>
      <c r="M298" s="24">
        <f>D298+E298+F298+G298+H298+J298+I298</f>
        <v>12000</v>
      </c>
      <c r="N298" s="33">
        <v>0</v>
      </c>
      <c r="O298" s="14">
        <f t="shared" si="60"/>
        <v>12000</v>
      </c>
    </row>
    <row r="299" spans="1:15" x14ac:dyDescent="0.3">
      <c r="A299" s="177"/>
      <c r="B299" s="199"/>
      <c r="C299" s="2" t="s">
        <v>51</v>
      </c>
      <c r="D299" s="24">
        <v>0</v>
      </c>
      <c r="E299" s="24"/>
      <c r="F299" s="28"/>
      <c r="G299" s="24"/>
      <c r="H299" s="24"/>
      <c r="I299" s="24"/>
      <c r="J299" s="24"/>
      <c r="K299" s="24"/>
      <c r="L299" s="24"/>
      <c r="M299" s="24">
        <f>D299+E299+F299+G299+H299+J299+I299</f>
        <v>0</v>
      </c>
      <c r="N299" s="33">
        <v>0</v>
      </c>
      <c r="O299" s="14">
        <f t="shared" si="60"/>
        <v>0</v>
      </c>
    </row>
    <row r="300" spans="1:15" x14ac:dyDescent="0.3">
      <c r="A300" s="177"/>
      <c r="B300" s="199"/>
      <c r="C300" s="6" t="s">
        <v>41</v>
      </c>
      <c r="D300" s="97">
        <f>SUM(D295:D299)</f>
        <v>2746062</v>
      </c>
      <c r="E300" s="97">
        <f t="shared" ref="E300:O300" si="61">SUM(E295:E299)</f>
        <v>0</v>
      </c>
      <c r="F300" s="97">
        <f t="shared" si="61"/>
        <v>0</v>
      </c>
      <c r="G300" s="97">
        <f t="shared" si="61"/>
        <v>0</v>
      </c>
      <c r="H300" s="97">
        <f t="shared" si="61"/>
        <v>0</v>
      </c>
      <c r="I300" s="97">
        <f t="shared" si="61"/>
        <v>0</v>
      </c>
      <c r="J300" s="97">
        <f t="shared" si="61"/>
        <v>0</v>
      </c>
      <c r="K300" s="97">
        <f t="shared" si="61"/>
        <v>0</v>
      </c>
      <c r="L300" s="97">
        <f t="shared" si="61"/>
        <v>0</v>
      </c>
      <c r="M300" s="97">
        <f t="shared" si="61"/>
        <v>2746062</v>
      </c>
      <c r="N300" s="49">
        <f t="shared" si="61"/>
        <v>1093792</v>
      </c>
      <c r="O300" s="26">
        <f t="shared" si="61"/>
        <v>1652270</v>
      </c>
    </row>
    <row r="301" spans="1:15" x14ac:dyDescent="0.3">
      <c r="A301" s="177"/>
      <c r="B301" s="199"/>
      <c r="C301" s="57" t="s">
        <v>42</v>
      </c>
      <c r="D301" s="98">
        <v>495561</v>
      </c>
      <c r="E301" s="98"/>
      <c r="F301" s="98"/>
      <c r="G301" s="98"/>
      <c r="H301" s="98"/>
      <c r="I301" s="98"/>
      <c r="J301" s="98"/>
      <c r="K301" s="98"/>
      <c r="L301" s="98"/>
      <c r="M301" s="99">
        <f>D301+E301+F301+G301+H301+J301</f>
        <v>495561</v>
      </c>
      <c r="N301" s="133">
        <v>193195</v>
      </c>
      <c r="O301" s="55">
        <f t="shared" ref="O301:O309" si="62">M301-N301</f>
        <v>302366</v>
      </c>
    </row>
    <row r="302" spans="1:15" x14ac:dyDescent="0.3">
      <c r="A302" s="177"/>
      <c r="B302" s="199"/>
      <c r="C302" s="2" t="s">
        <v>43</v>
      </c>
      <c r="D302" s="24">
        <v>20000</v>
      </c>
      <c r="E302" s="24"/>
      <c r="F302" s="24"/>
      <c r="G302" s="24"/>
      <c r="H302" s="24"/>
      <c r="I302" s="24"/>
      <c r="J302" s="24"/>
      <c r="K302" s="24"/>
      <c r="L302" s="24"/>
      <c r="M302" s="28">
        <f t="shared" ref="M302:M309" si="63">D302+E302+F302+G302+H302+J302+I302+K302+L302</f>
        <v>20000</v>
      </c>
      <c r="N302" s="33">
        <v>0</v>
      </c>
      <c r="O302" s="14">
        <f t="shared" si="62"/>
        <v>20000</v>
      </c>
    </row>
    <row r="303" spans="1:15" x14ac:dyDescent="0.3">
      <c r="A303" s="177"/>
      <c r="B303" s="199"/>
      <c r="C303" s="2" t="s">
        <v>53</v>
      </c>
      <c r="D303" s="24">
        <v>50000</v>
      </c>
      <c r="E303" s="24"/>
      <c r="F303" s="24"/>
      <c r="G303" s="24"/>
      <c r="H303" s="24"/>
      <c r="I303" s="24"/>
      <c r="J303" s="24"/>
      <c r="K303" s="24"/>
      <c r="L303" s="24"/>
      <c r="M303" s="28">
        <f t="shared" si="63"/>
        <v>50000</v>
      </c>
      <c r="N303" s="33">
        <v>0</v>
      </c>
      <c r="O303" s="14">
        <f t="shared" si="62"/>
        <v>50000</v>
      </c>
    </row>
    <row r="304" spans="1:15" x14ac:dyDescent="0.3">
      <c r="A304" s="177"/>
      <c r="B304" s="199"/>
      <c r="C304" s="30" t="s">
        <v>55</v>
      </c>
      <c r="D304" s="24">
        <v>0</v>
      </c>
      <c r="E304" s="24"/>
      <c r="F304" s="24"/>
      <c r="G304" s="24"/>
      <c r="H304" s="24"/>
      <c r="I304" s="24"/>
      <c r="J304" s="24"/>
      <c r="K304" s="24"/>
      <c r="L304" s="24"/>
      <c r="M304" s="28">
        <f t="shared" si="63"/>
        <v>0</v>
      </c>
      <c r="N304" s="33">
        <v>0</v>
      </c>
      <c r="O304" s="33">
        <f t="shared" si="62"/>
        <v>0</v>
      </c>
    </row>
    <row r="305" spans="1:16" s="19" customFormat="1" x14ac:dyDescent="0.3">
      <c r="A305" s="177"/>
      <c r="B305" s="199"/>
      <c r="C305" s="30" t="s">
        <v>57</v>
      </c>
      <c r="D305" s="28">
        <v>5000</v>
      </c>
      <c r="E305" s="28"/>
      <c r="F305" s="28"/>
      <c r="G305" s="28"/>
      <c r="H305" s="28"/>
      <c r="I305" s="28"/>
      <c r="J305" s="28"/>
      <c r="K305" s="28"/>
      <c r="L305" s="28"/>
      <c r="M305" s="28">
        <f t="shared" si="63"/>
        <v>5000</v>
      </c>
      <c r="N305" s="32">
        <v>0</v>
      </c>
      <c r="O305" s="21">
        <f t="shared" si="62"/>
        <v>5000</v>
      </c>
      <c r="P305" s="53"/>
    </row>
    <row r="306" spans="1:16" x14ac:dyDescent="0.3">
      <c r="A306" s="177"/>
      <c r="B306" s="199"/>
      <c r="C306" s="2" t="s">
        <v>44</v>
      </c>
      <c r="D306" s="24">
        <v>8400</v>
      </c>
      <c r="E306" s="24"/>
      <c r="F306" s="24"/>
      <c r="G306" s="24"/>
      <c r="H306" s="28"/>
      <c r="I306" s="28"/>
      <c r="J306" s="24"/>
      <c r="K306" s="24"/>
      <c r="L306" s="24"/>
      <c r="M306" s="28">
        <f t="shared" si="63"/>
        <v>8400</v>
      </c>
      <c r="N306" s="33">
        <v>2100</v>
      </c>
      <c r="O306" s="14">
        <f t="shared" si="62"/>
        <v>6300</v>
      </c>
    </row>
    <row r="307" spans="1:16" x14ac:dyDescent="0.3">
      <c r="A307" s="177"/>
      <c r="B307" s="199"/>
      <c r="C307" s="2" t="s">
        <v>58</v>
      </c>
      <c r="D307" s="24">
        <v>0</v>
      </c>
      <c r="E307" s="24"/>
      <c r="F307" s="24"/>
      <c r="G307" s="24"/>
      <c r="H307" s="28"/>
      <c r="I307" s="28"/>
      <c r="J307" s="24"/>
      <c r="K307" s="24"/>
      <c r="L307" s="24"/>
      <c r="M307" s="28">
        <f t="shared" si="63"/>
        <v>0</v>
      </c>
      <c r="N307" s="33">
        <v>0</v>
      </c>
      <c r="O307" s="14">
        <f t="shared" si="62"/>
        <v>0</v>
      </c>
    </row>
    <row r="308" spans="1:16" x14ac:dyDescent="0.3">
      <c r="A308" s="177"/>
      <c r="B308" s="199"/>
      <c r="C308" s="2" t="s">
        <v>45</v>
      </c>
      <c r="D308" s="24">
        <v>18050</v>
      </c>
      <c r="E308" s="24"/>
      <c r="F308" s="24"/>
      <c r="G308" s="24"/>
      <c r="H308" s="28"/>
      <c r="I308" s="28"/>
      <c r="J308" s="24"/>
      <c r="K308" s="24"/>
      <c r="L308" s="24"/>
      <c r="M308" s="28">
        <f t="shared" si="63"/>
        <v>18050</v>
      </c>
      <c r="N308" s="33">
        <v>0</v>
      </c>
      <c r="O308" s="14">
        <f t="shared" si="62"/>
        <v>18050</v>
      </c>
    </row>
    <row r="309" spans="1:16" x14ac:dyDescent="0.3">
      <c r="A309" s="177"/>
      <c r="B309" s="199"/>
      <c r="C309" s="2" t="s">
        <v>60</v>
      </c>
      <c r="D309" s="24">
        <v>0</v>
      </c>
      <c r="E309" s="24"/>
      <c r="F309" s="24"/>
      <c r="G309" s="24"/>
      <c r="H309" s="24"/>
      <c r="I309" s="24"/>
      <c r="J309" s="24"/>
      <c r="K309" s="24"/>
      <c r="L309" s="24"/>
      <c r="M309" s="28">
        <f t="shared" si="63"/>
        <v>0</v>
      </c>
      <c r="N309" s="33">
        <v>0</v>
      </c>
      <c r="O309" s="14">
        <f t="shared" si="62"/>
        <v>0</v>
      </c>
    </row>
    <row r="310" spans="1:16" x14ac:dyDescent="0.3">
      <c r="A310" s="177"/>
      <c r="B310" s="199"/>
      <c r="C310" s="6" t="s">
        <v>46</v>
      </c>
      <c r="D310" s="97">
        <f>SUM(D302:D309)</f>
        <v>101450</v>
      </c>
      <c r="E310" s="97">
        <f t="shared" ref="E310:O310" si="64">SUM(E302:E309)</f>
        <v>0</v>
      </c>
      <c r="F310" s="97">
        <f t="shared" si="64"/>
        <v>0</v>
      </c>
      <c r="G310" s="97">
        <f t="shared" si="64"/>
        <v>0</v>
      </c>
      <c r="H310" s="97">
        <f t="shared" si="64"/>
        <v>0</v>
      </c>
      <c r="I310" s="97">
        <f t="shared" si="64"/>
        <v>0</v>
      </c>
      <c r="J310" s="97">
        <f t="shared" si="64"/>
        <v>0</v>
      </c>
      <c r="K310" s="97">
        <f t="shared" si="64"/>
        <v>0</v>
      </c>
      <c r="L310" s="97">
        <f t="shared" si="64"/>
        <v>0</v>
      </c>
      <c r="M310" s="97">
        <f t="shared" si="64"/>
        <v>101450</v>
      </c>
      <c r="N310" s="49">
        <f t="shared" si="64"/>
        <v>2100</v>
      </c>
      <c r="O310" s="26">
        <f t="shared" si="64"/>
        <v>99350</v>
      </c>
    </row>
    <row r="311" spans="1:16" x14ac:dyDescent="0.3">
      <c r="A311" s="177"/>
      <c r="B311" s="199"/>
      <c r="C311" s="2" t="s">
        <v>112</v>
      </c>
      <c r="D311" s="24">
        <v>0</v>
      </c>
      <c r="E311" s="24"/>
      <c r="F311" s="24"/>
      <c r="G311" s="24"/>
      <c r="H311" s="24"/>
      <c r="I311" s="24"/>
      <c r="J311" s="24"/>
      <c r="K311" s="24"/>
      <c r="L311" s="24"/>
      <c r="M311" s="24">
        <f>D311+E311+F311+G311+H311+J311+I311</f>
        <v>0</v>
      </c>
      <c r="N311" s="33">
        <v>0</v>
      </c>
      <c r="O311" s="14">
        <f t="shared" ref="O311:O312" si="65">M311-N311</f>
        <v>0</v>
      </c>
    </row>
    <row r="312" spans="1:16" x14ac:dyDescent="0.3">
      <c r="A312" s="177"/>
      <c r="B312" s="199"/>
      <c r="C312" s="2" t="s">
        <v>113</v>
      </c>
      <c r="D312" s="24">
        <v>0</v>
      </c>
      <c r="E312" s="24"/>
      <c r="F312" s="24"/>
      <c r="G312" s="24"/>
      <c r="H312" s="24"/>
      <c r="I312" s="24"/>
      <c r="J312" s="24"/>
      <c r="K312" s="24"/>
      <c r="L312" s="24"/>
      <c r="M312" s="24">
        <f>D312+E312+F312+G312+H312+J312+I312</f>
        <v>0</v>
      </c>
      <c r="N312" s="33">
        <v>0</v>
      </c>
      <c r="O312" s="14">
        <f t="shared" si="65"/>
        <v>0</v>
      </c>
    </row>
    <row r="313" spans="1:16" x14ac:dyDescent="0.3">
      <c r="A313" s="177"/>
      <c r="B313" s="181"/>
      <c r="C313" s="6" t="s">
        <v>114</v>
      </c>
      <c r="D313" s="97">
        <f>SUM(D311:D312)</f>
        <v>0</v>
      </c>
      <c r="E313" s="97">
        <f t="shared" ref="E313:O313" si="66">SUM(E311:E312)</f>
        <v>0</v>
      </c>
      <c r="F313" s="97">
        <f t="shared" si="66"/>
        <v>0</v>
      </c>
      <c r="G313" s="97">
        <f t="shared" si="66"/>
        <v>0</v>
      </c>
      <c r="H313" s="97">
        <f t="shared" si="66"/>
        <v>0</v>
      </c>
      <c r="I313" s="97">
        <f t="shared" si="66"/>
        <v>0</v>
      </c>
      <c r="J313" s="97">
        <f t="shared" si="66"/>
        <v>0</v>
      </c>
      <c r="K313" s="97">
        <f t="shared" si="66"/>
        <v>0</v>
      </c>
      <c r="L313" s="97">
        <f t="shared" si="66"/>
        <v>0</v>
      </c>
      <c r="M313" s="97">
        <f t="shared" si="66"/>
        <v>0</v>
      </c>
      <c r="N313" s="49">
        <f t="shared" si="66"/>
        <v>0</v>
      </c>
      <c r="O313" s="26">
        <f t="shared" si="66"/>
        <v>0</v>
      </c>
    </row>
    <row r="314" spans="1:16" x14ac:dyDescent="0.3">
      <c r="A314" s="177"/>
      <c r="B314" s="179" t="s">
        <v>21</v>
      </c>
      <c r="C314" s="2" t="s">
        <v>62</v>
      </c>
      <c r="D314" s="24">
        <v>72000</v>
      </c>
      <c r="E314" s="24"/>
      <c r="F314" s="24"/>
      <c r="G314" s="24"/>
      <c r="H314" s="24"/>
      <c r="I314" s="24"/>
      <c r="J314" s="24"/>
      <c r="K314" s="24"/>
      <c r="L314" s="24"/>
      <c r="M314" s="24">
        <f>D314+E314+F314+G314+H314+J314+I314</f>
        <v>72000</v>
      </c>
      <c r="N314" s="33">
        <v>24000</v>
      </c>
      <c r="O314" s="14">
        <f t="shared" ref="O314:O317" si="67">M314-N314</f>
        <v>48000</v>
      </c>
    </row>
    <row r="315" spans="1:16" s="19" customFormat="1" x14ac:dyDescent="0.3">
      <c r="A315" s="177"/>
      <c r="B315" s="179"/>
      <c r="C315" s="30" t="s">
        <v>57</v>
      </c>
      <c r="D315" s="28">
        <v>15000</v>
      </c>
      <c r="E315" s="28"/>
      <c r="F315" s="28"/>
      <c r="G315" s="28"/>
      <c r="H315" s="28"/>
      <c r="I315" s="28"/>
      <c r="J315" s="28"/>
      <c r="K315" s="28"/>
      <c r="L315" s="28"/>
      <c r="M315" s="28">
        <f>D315+E315+F315+G315+H315+J315+I315</f>
        <v>15000</v>
      </c>
      <c r="N315" s="32">
        <v>12000</v>
      </c>
      <c r="O315" s="21">
        <f t="shared" si="67"/>
        <v>3000</v>
      </c>
      <c r="P315" s="53"/>
    </row>
    <row r="316" spans="1:16" x14ac:dyDescent="0.3">
      <c r="A316" s="177"/>
      <c r="B316" s="179"/>
      <c r="C316" s="2" t="s">
        <v>58</v>
      </c>
      <c r="D316" s="24">
        <v>0</v>
      </c>
      <c r="E316" s="24"/>
      <c r="F316" s="24"/>
      <c r="G316" s="24"/>
      <c r="H316" s="24"/>
      <c r="I316" s="24"/>
      <c r="J316" s="24"/>
      <c r="K316" s="24"/>
      <c r="L316" s="24"/>
      <c r="M316" s="24">
        <f>D316+E316+F316+G316+H316+J316+I316</f>
        <v>0</v>
      </c>
      <c r="N316" s="33">
        <v>0</v>
      </c>
      <c r="O316" s="14">
        <f t="shared" si="67"/>
        <v>0</v>
      </c>
    </row>
    <row r="317" spans="1:16" x14ac:dyDescent="0.3">
      <c r="A317" s="177"/>
      <c r="B317" s="179"/>
      <c r="C317" s="2" t="s">
        <v>45</v>
      </c>
      <c r="D317" s="24">
        <v>23490</v>
      </c>
      <c r="E317" s="24"/>
      <c r="F317" s="24"/>
      <c r="G317" s="24"/>
      <c r="H317" s="24"/>
      <c r="I317" s="24"/>
      <c r="J317" s="24"/>
      <c r="K317" s="24"/>
      <c r="L317" s="24"/>
      <c r="M317" s="24">
        <f>D317+E317+F317+G317+H317+J317+I317</f>
        <v>23490</v>
      </c>
      <c r="N317" s="33">
        <v>9720</v>
      </c>
      <c r="O317" s="21">
        <f t="shared" si="67"/>
        <v>13770</v>
      </c>
    </row>
    <row r="318" spans="1:16" x14ac:dyDescent="0.3">
      <c r="A318" s="177"/>
      <c r="B318" s="179"/>
      <c r="C318" s="6" t="s">
        <v>46</v>
      </c>
      <c r="D318" s="97">
        <f>SUM(D314:D317)</f>
        <v>110490</v>
      </c>
      <c r="E318" s="97">
        <f t="shared" ref="E318:O318" si="68">SUM(E314:E317)</f>
        <v>0</v>
      </c>
      <c r="F318" s="97">
        <f t="shared" si="68"/>
        <v>0</v>
      </c>
      <c r="G318" s="97">
        <f t="shared" si="68"/>
        <v>0</v>
      </c>
      <c r="H318" s="97">
        <f t="shared" si="68"/>
        <v>0</v>
      </c>
      <c r="I318" s="97">
        <f t="shared" si="68"/>
        <v>0</v>
      </c>
      <c r="J318" s="97">
        <f t="shared" si="68"/>
        <v>0</v>
      </c>
      <c r="K318" s="97">
        <f t="shared" si="68"/>
        <v>0</v>
      </c>
      <c r="L318" s="97">
        <f t="shared" si="68"/>
        <v>0</v>
      </c>
      <c r="M318" s="97">
        <f t="shared" si="68"/>
        <v>110490</v>
      </c>
      <c r="N318" s="49">
        <f t="shared" si="68"/>
        <v>45720</v>
      </c>
      <c r="O318" s="26">
        <f t="shared" si="68"/>
        <v>64770</v>
      </c>
    </row>
    <row r="319" spans="1:16" x14ac:dyDescent="0.3">
      <c r="A319" s="198" t="s">
        <v>88</v>
      </c>
      <c r="B319" s="180" t="s">
        <v>18</v>
      </c>
      <c r="C319" s="2" t="s">
        <v>40</v>
      </c>
      <c r="D319" s="24">
        <v>129001</v>
      </c>
      <c r="E319" s="24"/>
      <c r="F319" s="24">
        <v>145255</v>
      </c>
      <c r="G319" s="24"/>
      <c r="H319" s="24"/>
      <c r="I319" s="24"/>
      <c r="J319" s="24"/>
      <c r="K319" s="24"/>
      <c r="L319" s="24"/>
      <c r="M319" s="24">
        <f>D319+E319+F319+G319+H319+J319+I319+K319</f>
        <v>274256</v>
      </c>
      <c r="N319" s="33">
        <v>106572</v>
      </c>
      <c r="O319" s="14">
        <f t="shared" ref="O319:O320" si="69">M319-N319</f>
        <v>167684</v>
      </c>
    </row>
    <row r="320" spans="1:16" x14ac:dyDescent="0.3">
      <c r="A320" s="196"/>
      <c r="B320" s="181"/>
      <c r="C320" s="2" t="s">
        <v>42</v>
      </c>
      <c r="D320" s="24">
        <v>22575</v>
      </c>
      <c r="E320" s="24"/>
      <c r="F320" s="24">
        <v>23024</v>
      </c>
      <c r="G320" s="24"/>
      <c r="H320" s="24"/>
      <c r="I320" s="24"/>
      <c r="J320" s="24"/>
      <c r="K320" s="24"/>
      <c r="L320" s="24"/>
      <c r="M320" s="24">
        <f>D320+E320+F320+G320+H320+J320+I320+K320</f>
        <v>45599</v>
      </c>
      <c r="N320" s="33">
        <v>18650</v>
      </c>
      <c r="O320" s="14">
        <f t="shared" si="69"/>
        <v>26949</v>
      </c>
    </row>
    <row r="321" spans="1:15" x14ac:dyDescent="0.3">
      <c r="A321" s="212" t="s">
        <v>118</v>
      </c>
      <c r="B321" s="213"/>
      <c r="C321" s="214"/>
      <c r="D321" s="115">
        <f>SUM(D287+D290+D291+D294+D300+D301+D310+D313+D318+D319+D320)</f>
        <v>3605139</v>
      </c>
      <c r="E321" s="101">
        <f t="shared" ref="E321:O321" si="70">SUM(E287+E290+E291+E294+E300+E301+E310+E313+E318+E319+E320)</f>
        <v>0</v>
      </c>
      <c r="F321" s="101">
        <f t="shared" si="70"/>
        <v>168279</v>
      </c>
      <c r="G321" s="101">
        <f t="shared" si="70"/>
        <v>0</v>
      </c>
      <c r="H321" s="101">
        <f t="shared" si="70"/>
        <v>0</v>
      </c>
      <c r="I321" s="101">
        <f t="shared" si="70"/>
        <v>0</v>
      </c>
      <c r="J321" s="101">
        <f t="shared" si="70"/>
        <v>0</v>
      </c>
      <c r="K321" s="101">
        <f t="shared" si="70"/>
        <v>0</v>
      </c>
      <c r="L321" s="101">
        <f t="shared" si="70"/>
        <v>0</v>
      </c>
      <c r="M321" s="101">
        <f t="shared" si="70"/>
        <v>3773418</v>
      </c>
      <c r="N321" s="135">
        <f>SUM(N287+N290+N291+N294+N300+N301+N310+N313+N318+N319+N320)</f>
        <v>1460029</v>
      </c>
      <c r="O321" s="59">
        <f t="shared" si="70"/>
        <v>2313389</v>
      </c>
    </row>
    <row r="322" spans="1:15" x14ac:dyDescent="0.3">
      <c r="A322" s="177" t="s">
        <v>69</v>
      </c>
      <c r="B322" s="179" t="s">
        <v>39</v>
      </c>
      <c r="C322" s="7" t="s">
        <v>40</v>
      </c>
      <c r="D322" s="102">
        <v>978360</v>
      </c>
      <c r="E322" s="102">
        <v>-33724</v>
      </c>
      <c r="F322" s="102"/>
      <c r="G322" s="102"/>
      <c r="H322" s="102"/>
      <c r="I322" s="102"/>
      <c r="J322" s="102"/>
      <c r="K322" s="102"/>
      <c r="L322" s="102"/>
      <c r="M322" s="24">
        <f>D322+E322+F322+G322+H322+J322+I322</f>
        <v>944636</v>
      </c>
      <c r="N322" s="136">
        <v>352061</v>
      </c>
      <c r="O322" s="14">
        <f t="shared" ref="O322:O389" si="71">M322-N322</f>
        <v>592575</v>
      </c>
    </row>
    <row r="323" spans="1:15" x14ac:dyDescent="0.3">
      <c r="A323" s="177"/>
      <c r="B323" s="179"/>
      <c r="C323" s="7" t="s">
        <v>51</v>
      </c>
      <c r="D323" s="102">
        <v>0</v>
      </c>
      <c r="E323" s="102">
        <v>33724</v>
      </c>
      <c r="F323" s="102"/>
      <c r="G323" s="102"/>
      <c r="H323" s="102"/>
      <c r="I323" s="102"/>
      <c r="J323" s="102"/>
      <c r="K323" s="102"/>
      <c r="L323" s="102"/>
      <c r="M323" s="24">
        <f>D323+E323+F323+G323+H323+J323+I323</f>
        <v>33724</v>
      </c>
      <c r="N323" s="136">
        <v>33724</v>
      </c>
      <c r="O323" s="21">
        <f t="shared" si="71"/>
        <v>0</v>
      </c>
    </row>
    <row r="324" spans="1:15" x14ac:dyDescent="0.3">
      <c r="A324" s="177"/>
      <c r="B324" s="179"/>
      <c r="C324" s="6" t="s">
        <v>41</v>
      </c>
      <c r="D324" s="97">
        <f>SUM(D322:D323)</f>
        <v>978360</v>
      </c>
      <c r="E324" s="97">
        <f t="shared" ref="E324:O324" si="72">SUM(E322:E323)</f>
        <v>0</v>
      </c>
      <c r="F324" s="97">
        <f t="shared" si="72"/>
        <v>0</v>
      </c>
      <c r="G324" s="97">
        <f t="shared" si="72"/>
        <v>0</v>
      </c>
      <c r="H324" s="97">
        <f t="shared" si="72"/>
        <v>0</v>
      </c>
      <c r="I324" s="97">
        <f t="shared" si="72"/>
        <v>0</v>
      </c>
      <c r="J324" s="97">
        <f t="shared" si="72"/>
        <v>0</v>
      </c>
      <c r="K324" s="97">
        <f t="shared" si="72"/>
        <v>0</v>
      </c>
      <c r="L324" s="97">
        <f t="shared" si="72"/>
        <v>0</v>
      </c>
      <c r="M324" s="97">
        <f t="shared" si="72"/>
        <v>978360</v>
      </c>
      <c r="N324" s="49">
        <f t="shared" si="72"/>
        <v>385785</v>
      </c>
      <c r="O324" s="26">
        <f t="shared" si="72"/>
        <v>592575</v>
      </c>
    </row>
    <row r="325" spans="1:15" x14ac:dyDescent="0.3">
      <c r="A325" s="177"/>
      <c r="B325" s="179"/>
      <c r="C325" s="57" t="s">
        <v>42</v>
      </c>
      <c r="D325" s="98">
        <v>85607</v>
      </c>
      <c r="E325" s="98"/>
      <c r="F325" s="98"/>
      <c r="G325" s="98"/>
      <c r="H325" s="98"/>
      <c r="I325" s="98"/>
      <c r="J325" s="98"/>
      <c r="K325" s="98"/>
      <c r="L325" s="98"/>
      <c r="M325" s="99">
        <f>D325+E325+F325+G325+H325+J325</f>
        <v>85607</v>
      </c>
      <c r="N325" s="133">
        <v>37949</v>
      </c>
      <c r="O325" s="55">
        <f t="shared" si="71"/>
        <v>47658</v>
      </c>
    </row>
    <row r="326" spans="1:15" x14ac:dyDescent="0.3">
      <c r="A326" s="177"/>
      <c r="B326" s="179"/>
      <c r="C326" s="2" t="s">
        <v>43</v>
      </c>
      <c r="D326" s="24">
        <v>0</v>
      </c>
      <c r="E326" s="24"/>
      <c r="F326" s="24"/>
      <c r="G326" s="24"/>
      <c r="H326" s="24"/>
      <c r="I326" s="24"/>
      <c r="J326" s="24"/>
      <c r="K326" s="24"/>
      <c r="L326" s="24"/>
      <c r="M326" s="24">
        <f>D326+E326+F326+G326+H326+J326+I326</f>
        <v>0</v>
      </c>
      <c r="N326" s="33">
        <v>0</v>
      </c>
      <c r="O326" s="32">
        <f t="shared" si="71"/>
        <v>0</v>
      </c>
    </row>
    <row r="327" spans="1:15" x14ac:dyDescent="0.3">
      <c r="A327" s="177"/>
      <c r="B327" s="179"/>
      <c r="C327" s="30" t="s">
        <v>44</v>
      </c>
      <c r="D327" s="24">
        <v>0</v>
      </c>
      <c r="E327" s="24"/>
      <c r="F327" s="24"/>
      <c r="G327" s="24"/>
      <c r="H327" s="24"/>
      <c r="I327" s="24"/>
      <c r="J327" s="24"/>
      <c r="K327" s="24"/>
      <c r="L327" s="24"/>
      <c r="M327" s="24">
        <f>D327+E327+F327+G327+H327+J327+I327</f>
        <v>0</v>
      </c>
      <c r="N327" s="33">
        <v>0</v>
      </c>
      <c r="O327" s="32">
        <f t="shared" si="71"/>
        <v>0</v>
      </c>
    </row>
    <row r="328" spans="1:15" x14ac:dyDescent="0.3">
      <c r="A328" s="177"/>
      <c r="B328" s="179"/>
      <c r="C328" s="2" t="s">
        <v>45</v>
      </c>
      <c r="D328" s="24">
        <v>0</v>
      </c>
      <c r="E328" s="24"/>
      <c r="F328" s="24"/>
      <c r="G328" s="24"/>
      <c r="H328" s="24"/>
      <c r="I328" s="24"/>
      <c r="J328" s="24"/>
      <c r="K328" s="24"/>
      <c r="L328" s="24"/>
      <c r="M328" s="24">
        <f>D328+E328+F328+G328+H328+J328+I328</f>
        <v>0</v>
      </c>
      <c r="N328" s="33">
        <v>0</v>
      </c>
      <c r="O328" s="32">
        <f t="shared" si="71"/>
        <v>0</v>
      </c>
    </row>
    <row r="329" spans="1:15" x14ac:dyDescent="0.3">
      <c r="A329" s="177"/>
      <c r="B329" s="179"/>
      <c r="C329" s="6" t="s">
        <v>46</v>
      </c>
      <c r="D329" s="97">
        <f>SUM(D326:D328)</f>
        <v>0</v>
      </c>
      <c r="E329" s="97">
        <f t="shared" ref="E329:O329" si="73">SUM(E326:E328)</f>
        <v>0</v>
      </c>
      <c r="F329" s="97">
        <f t="shared" si="73"/>
        <v>0</v>
      </c>
      <c r="G329" s="97">
        <f t="shared" si="73"/>
        <v>0</v>
      </c>
      <c r="H329" s="97">
        <f t="shared" si="73"/>
        <v>0</v>
      </c>
      <c r="I329" s="97">
        <f t="shared" si="73"/>
        <v>0</v>
      </c>
      <c r="J329" s="97">
        <f t="shared" si="73"/>
        <v>0</v>
      </c>
      <c r="K329" s="97">
        <f t="shared" si="73"/>
        <v>0</v>
      </c>
      <c r="L329" s="97">
        <f t="shared" si="73"/>
        <v>0</v>
      </c>
      <c r="M329" s="97">
        <f t="shared" si="73"/>
        <v>0</v>
      </c>
      <c r="N329" s="49">
        <f t="shared" si="73"/>
        <v>0</v>
      </c>
      <c r="O329" s="34">
        <f t="shared" si="73"/>
        <v>0</v>
      </c>
    </row>
    <row r="330" spans="1:15" x14ac:dyDescent="0.3">
      <c r="A330" s="177"/>
      <c r="B330" s="179" t="s">
        <v>10</v>
      </c>
      <c r="C330" s="2" t="s">
        <v>40</v>
      </c>
      <c r="D330" s="28">
        <v>5856215</v>
      </c>
      <c r="E330" s="24">
        <v>-66119</v>
      </c>
      <c r="F330" s="24"/>
      <c r="G330" s="24"/>
      <c r="H330" s="24"/>
      <c r="I330" s="24"/>
      <c r="J330" s="24"/>
      <c r="K330" s="24"/>
      <c r="L330" s="24"/>
      <c r="M330" s="28">
        <f t="shared" ref="M330:M337" si="74">D330+E330+F330+G330+H330+J330+I330</f>
        <v>5790096</v>
      </c>
      <c r="N330" s="33">
        <v>2750097</v>
      </c>
      <c r="O330" s="14">
        <f t="shared" si="71"/>
        <v>3039999</v>
      </c>
    </row>
    <row r="331" spans="1:15" x14ac:dyDescent="0.3">
      <c r="A331" s="177"/>
      <c r="B331" s="179"/>
      <c r="C331" s="2" t="s">
        <v>63</v>
      </c>
      <c r="D331" s="24">
        <v>0</v>
      </c>
      <c r="E331" s="24"/>
      <c r="F331" s="24"/>
      <c r="G331" s="24"/>
      <c r="H331" s="24"/>
      <c r="I331" s="24"/>
      <c r="J331" s="24"/>
      <c r="K331" s="24"/>
      <c r="L331" s="24"/>
      <c r="M331" s="24">
        <f t="shared" si="74"/>
        <v>0</v>
      </c>
      <c r="N331" s="33">
        <v>0</v>
      </c>
      <c r="O331" s="14">
        <f t="shared" si="71"/>
        <v>0</v>
      </c>
    </row>
    <row r="332" spans="1:15" x14ac:dyDescent="0.3">
      <c r="A332" s="177"/>
      <c r="B332" s="179"/>
      <c r="C332" s="2" t="s">
        <v>47</v>
      </c>
      <c r="D332" s="24">
        <v>200000</v>
      </c>
      <c r="E332" s="24"/>
      <c r="F332" s="24"/>
      <c r="G332" s="24"/>
      <c r="H332" s="24"/>
      <c r="I332" s="24"/>
      <c r="J332" s="24"/>
      <c r="K332" s="24"/>
      <c r="L332" s="24"/>
      <c r="M332" s="24">
        <f t="shared" si="74"/>
        <v>200000</v>
      </c>
      <c r="N332" s="33">
        <v>0</v>
      </c>
      <c r="O332" s="14">
        <f t="shared" si="71"/>
        <v>200000</v>
      </c>
    </row>
    <row r="333" spans="1:15" x14ac:dyDescent="0.3">
      <c r="A333" s="177"/>
      <c r="B333" s="179"/>
      <c r="C333" s="2" t="s">
        <v>48</v>
      </c>
      <c r="D333" s="24">
        <v>10000</v>
      </c>
      <c r="E333" s="24"/>
      <c r="F333" s="24"/>
      <c r="G333" s="24"/>
      <c r="H333" s="24"/>
      <c r="I333" s="24"/>
      <c r="J333" s="24"/>
      <c r="K333" s="24"/>
      <c r="L333" s="24"/>
      <c r="M333" s="24">
        <f t="shared" si="74"/>
        <v>10000</v>
      </c>
      <c r="N333" s="33">
        <v>0</v>
      </c>
      <c r="O333" s="21">
        <f t="shared" si="71"/>
        <v>10000</v>
      </c>
    </row>
    <row r="334" spans="1:15" x14ac:dyDescent="0.3">
      <c r="A334" s="177"/>
      <c r="B334" s="179"/>
      <c r="C334" s="2" t="s">
        <v>49</v>
      </c>
      <c r="D334" s="24">
        <v>62000</v>
      </c>
      <c r="E334" s="24"/>
      <c r="F334" s="24"/>
      <c r="G334" s="24"/>
      <c r="H334" s="24"/>
      <c r="I334" s="24"/>
      <c r="J334" s="24"/>
      <c r="K334" s="24"/>
      <c r="L334" s="24"/>
      <c r="M334" s="24">
        <f t="shared" si="74"/>
        <v>62000</v>
      </c>
      <c r="N334" s="32">
        <v>10216</v>
      </c>
      <c r="O334" s="21">
        <f t="shared" si="71"/>
        <v>51784</v>
      </c>
    </row>
    <row r="335" spans="1:15" x14ac:dyDescent="0.3">
      <c r="A335" s="177"/>
      <c r="B335" s="179"/>
      <c r="C335" s="2" t="s">
        <v>50</v>
      </c>
      <c r="D335" s="24">
        <v>24000</v>
      </c>
      <c r="E335" s="24"/>
      <c r="F335" s="24"/>
      <c r="G335" s="24"/>
      <c r="H335" s="24"/>
      <c r="I335" s="24"/>
      <c r="J335" s="24"/>
      <c r="K335" s="24"/>
      <c r="L335" s="24"/>
      <c r="M335" s="24">
        <f t="shared" si="74"/>
        <v>24000</v>
      </c>
      <c r="N335" s="33">
        <v>0</v>
      </c>
      <c r="O335" s="21">
        <f t="shared" si="71"/>
        <v>24000</v>
      </c>
    </row>
    <row r="336" spans="1:15" x14ac:dyDescent="0.3">
      <c r="A336" s="177"/>
      <c r="B336" s="179"/>
      <c r="C336" s="2" t="s">
        <v>51</v>
      </c>
      <c r="D336" s="24">
        <v>0</v>
      </c>
      <c r="E336" s="24">
        <v>66119</v>
      </c>
      <c r="F336" s="24"/>
      <c r="G336" s="24"/>
      <c r="H336" s="24"/>
      <c r="I336" s="24"/>
      <c r="J336" s="24"/>
      <c r="K336" s="24"/>
      <c r="L336" s="24"/>
      <c r="M336" s="24">
        <f t="shared" si="74"/>
        <v>66119</v>
      </c>
      <c r="N336" s="33">
        <v>66119</v>
      </c>
      <c r="O336" s="21">
        <f t="shared" si="71"/>
        <v>0</v>
      </c>
    </row>
    <row r="337" spans="1:15" x14ac:dyDescent="0.3">
      <c r="A337" s="177"/>
      <c r="B337" s="179"/>
      <c r="C337" s="2" t="s">
        <v>52</v>
      </c>
      <c r="D337" s="24">
        <v>0</v>
      </c>
      <c r="E337" s="24"/>
      <c r="F337" s="24"/>
      <c r="G337" s="24"/>
      <c r="H337" s="24"/>
      <c r="I337" s="24"/>
      <c r="J337" s="24"/>
      <c r="K337" s="24"/>
      <c r="L337" s="24"/>
      <c r="M337" s="24">
        <f t="shared" si="74"/>
        <v>0</v>
      </c>
      <c r="N337" s="33">
        <v>0</v>
      </c>
      <c r="O337" s="21">
        <f t="shared" si="71"/>
        <v>0</v>
      </c>
    </row>
    <row r="338" spans="1:15" x14ac:dyDescent="0.3">
      <c r="A338" s="177"/>
      <c r="B338" s="179"/>
      <c r="C338" s="6" t="s">
        <v>41</v>
      </c>
      <c r="D338" s="97">
        <f>SUM(D330:D337)</f>
        <v>6152215</v>
      </c>
      <c r="E338" s="97">
        <f t="shared" ref="E338:O338" si="75">SUM(E330:E337)</f>
        <v>0</v>
      </c>
      <c r="F338" s="97">
        <f t="shared" si="75"/>
        <v>0</v>
      </c>
      <c r="G338" s="97">
        <f t="shared" si="75"/>
        <v>0</v>
      </c>
      <c r="H338" s="97">
        <f t="shared" si="75"/>
        <v>0</v>
      </c>
      <c r="I338" s="97">
        <f t="shared" si="75"/>
        <v>0</v>
      </c>
      <c r="J338" s="97">
        <f t="shared" si="75"/>
        <v>0</v>
      </c>
      <c r="K338" s="97">
        <f t="shared" si="75"/>
        <v>0</v>
      </c>
      <c r="L338" s="97">
        <f t="shared" si="75"/>
        <v>0</v>
      </c>
      <c r="M338" s="97">
        <f t="shared" si="75"/>
        <v>6152215</v>
      </c>
      <c r="N338" s="49">
        <f t="shared" si="75"/>
        <v>2826432</v>
      </c>
      <c r="O338" s="26">
        <f t="shared" si="75"/>
        <v>3325783</v>
      </c>
    </row>
    <row r="339" spans="1:15" x14ac:dyDescent="0.3">
      <c r="A339" s="177"/>
      <c r="B339" s="179"/>
      <c r="C339" s="57" t="s">
        <v>42</v>
      </c>
      <c r="D339" s="98">
        <v>1098088</v>
      </c>
      <c r="E339" s="98"/>
      <c r="F339" s="98"/>
      <c r="G339" s="98"/>
      <c r="H339" s="98"/>
      <c r="I339" s="98"/>
      <c r="J339" s="98"/>
      <c r="K339" s="98"/>
      <c r="L339" s="98"/>
      <c r="M339" s="99">
        <f>D339+E339+F339+G339+H339+J339</f>
        <v>1098088</v>
      </c>
      <c r="N339" s="133">
        <v>504749</v>
      </c>
      <c r="O339" s="55">
        <f t="shared" si="71"/>
        <v>593339</v>
      </c>
    </row>
    <row r="340" spans="1:15" x14ac:dyDescent="0.3">
      <c r="A340" s="177"/>
      <c r="B340" s="179"/>
      <c r="C340" s="2" t="s">
        <v>43</v>
      </c>
      <c r="D340" s="24">
        <v>150000</v>
      </c>
      <c r="E340" s="24"/>
      <c r="F340" s="24"/>
      <c r="G340" s="24"/>
      <c r="H340" s="24"/>
      <c r="I340" s="24"/>
      <c r="J340" s="24"/>
      <c r="K340" s="24"/>
      <c r="L340" s="24"/>
      <c r="M340" s="24">
        <f t="shared" ref="M340:M351" si="76">D340+E340+F340+G340+H340+J340+I340</f>
        <v>150000</v>
      </c>
      <c r="N340" s="33">
        <v>0</v>
      </c>
      <c r="O340" s="14">
        <f t="shared" si="71"/>
        <v>150000</v>
      </c>
    </row>
    <row r="341" spans="1:15" x14ac:dyDescent="0.3">
      <c r="A341" s="177"/>
      <c r="B341" s="179"/>
      <c r="C341" s="2" t="s">
        <v>53</v>
      </c>
      <c r="D341" s="24">
        <v>70000</v>
      </c>
      <c r="E341" s="24"/>
      <c r="F341" s="24"/>
      <c r="G341" s="24"/>
      <c r="H341" s="24"/>
      <c r="I341" s="24"/>
      <c r="J341" s="24"/>
      <c r="K341" s="24"/>
      <c r="L341" s="24"/>
      <c r="M341" s="24">
        <f t="shared" si="76"/>
        <v>70000</v>
      </c>
      <c r="N341" s="33">
        <v>0</v>
      </c>
      <c r="O341" s="14">
        <f t="shared" si="71"/>
        <v>70000</v>
      </c>
    </row>
    <row r="342" spans="1:15" x14ac:dyDescent="0.3">
      <c r="A342" s="177"/>
      <c r="B342" s="179"/>
      <c r="C342" s="2" t="s">
        <v>54</v>
      </c>
      <c r="D342" s="24">
        <v>38688</v>
      </c>
      <c r="E342" s="24"/>
      <c r="F342" s="24"/>
      <c r="G342" s="24"/>
      <c r="H342" s="24"/>
      <c r="I342" s="24"/>
      <c r="J342" s="24"/>
      <c r="K342" s="24"/>
      <c r="L342" s="24"/>
      <c r="M342" s="24">
        <f t="shared" si="76"/>
        <v>38688</v>
      </c>
      <c r="N342" s="33">
        <v>16595</v>
      </c>
      <c r="O342" s="14">
        <f t="shared" si="71"/>
        <v>22093</v>
      </c>
    </row>
    <row r="343" spans="1:15" x14ac:dyDescent="0.3">
      <c r="A343" s="177"/>
      <c r="B343" s="179"/>
      <c r="C343" s="2" t="s">
        <v>55</v>
      </c>
      <c r="D343" s="24">
        <v>36000</v>
      </c>
      <c r="E343" s="24"/>
      <c r="F343" s="24"/>
      <c r="G343" s="24"/>
      <c r="H343" s="24"/>
      <c r="I343" s="24"/>
      <c r="J343" s="24"/>
      <c r="K343" s="24"/>
      <c r="L343" s="24"/>
      <c r="M343" s="24">
        <f t="shared" si="76"/>
        <v>36000</v>
      </c>
      <c r="N343" s="33">
        <v>13302</v>
      </c>
      <c r="O343" s="14">
        <f t="shared" si="71"/>
        <v>22698</v>
      </c>
    </row>
    <row r="344" spans="1:15" x14ac:dyDescent="0.3">
      <c r="A344" s="177"/>
      <c r="B344" s="179"/>
      <c r="C344" s="2" t="s">
        <v>56</v>
      </c>
      <c r="D344" s="24">
        <v>438000</v>
      </c>
      <c r="E344" s="24"/>
      <c r="F344" s="24"/>
      <c r="G344" s="24"/>
      <c r="H344" s="24"/>
      <c r="I344" s="24"/>
      <c r="J344" s="24"/>
      <c r="K344" s="24"/>
      <c r="L344" s="24"/>
      <c r="M344" s="24">
        <f t="shared" si="76"/>
        <v>438000</v>
      </c>
      <c r="N344" s="33">
        <v>122823</v>
      </c>
      <c r="O344" s="14">
        <f t="shared" si="71"/>
        <v>315177</v>
      </c>
    </row>
    <row r="345" spans="1:15" x14ac:dyDescent="0.3">
      <c r="A345" s="177"/>
      <c r="B345" s="179"/>
      <c r="C345" s="2" t="s">
        <v>62</v>
      </c>
      <c r="D345" s="24">
        <v>0</v>
      </c>
      <c r="E345" s="24"/>
      <c r="F345" s="24"/>
      <c r="G345" s="24"/>
      <c r="H345" s="24"/>
      <c r="I345" s="24"/>
      <c r="J345" s="24"/>
      <c r="K345" s="24"/>
      <c r="L345" s="24"/>
      <c r="M345" s="24">
        <f t="shared" si="76"/>
        <v>0</v>
      </c>
      <c r="N345" s="33">
        <v>0</v>
      </c>
      <c r="O345" s="14">
        <f t="shared" si="71"/>
        <v>0</v>
      </c>
    </row>
    <row r="346" spans="1:15" x14ac:dyDescent="0.3">
      <c r="A346" s="177"/>
      <c r="B346" s="179"/>
      <c r="C346" s="2" t="s">
        <v>57</v>
      </c>
      <c r="D346" s="24">
        <v>0</v>
      </c>
      <c r="E346" s="24"/>
      <c r="F346" s="24"/>
      <c r="G346" s="24"/>
      <c r="H346" s="24"/>
      <c r="I346" s="24"/>
      <c r="J346" s="24"/>
      <c r="K346" s="24"/>
      <c r="L346" s="24"/>
      <c r="M346" s="24">
        <f t="shared" si="76"/>
        <v>0</v>
      </c>
      <c r="N346" s="33">
        <v>0</v>
      </c>
      <c r="O346" s="14">
        <f t="shared" si="71"/>
        <v>0</v>
      </c>
    </row>
    <row r="347" spans="1:15" x14ac:dyDescent="0.3">
      <c r="A347" s="177"/>
      <c r="B347" s="179"/>
      <c r="C347" s="2" t="s">
        <v>44</v>
      </c>
      <c r="D347" s="24">
        <v>16800</v>
      </c>
      <c r="E347" s="24"/>
      <c r="F347" s="24"/>
      <c r="G347" s="24"/>
      <c r="H347" s="24"/>
      <c r="I347" s="24"/>
      <c r="J347" s="24"/>
      <c r="K347" s="24"/>
      <c r="L347" s="24"/>
      <c r="M347" s="24">
        <f t="shared" si="76"/>
        <v>16800</v>
      </c>
      <c r="N347" s="33">
        <v>4200</v>
      </c>
      <c r="O347" s="14">
        <f t="shared" si="71"/>
        <v>12600</v>
      </c>
    </row>
    <row r="348" spans="1:15" x14ac:dyDescent="0.3">
      <c r="A348" s="177"/>
      <c r="B348" s="179"/>
      <c r="C348" s="2" t="s">
        <v>58</v>
      </c>
      <c r="D348" s="24">
        <v>0</v>
      </c>
      <c r="E348" s="24"/>
      <c r="F348" s="24"/>
      <c r="G348" s="24"/>
      <c r="H348" s="24"/>
      <c r="I348" s="24"/>
      <c r="J348" s="24"/>
      <c r="K348" s="24"/>
      <c r="L348" s="24"/>
      <c r="M348" s="24">
        <f t="shared" si="76"/>
        <v>0</v>
      </c>
      <c r="N348" s="33">
        <v>0</v>
      </c>
      <c r="O348" s="14">
        <f t="shared" si="71"/>
        <v>0</v>
      </c>
    </row>
    <row r="349" spans="1:15" x14ac:dyDescent="0.3">
      <c r="A349" s="177"/>
      <c r="B349" s="179"/>
      <c r="C349" s="2" t="s">
        <v>59</v>
      </c>
      <c r="D349" s="24">
        <v>15000</v>
      </c>
      <c r="E349" s="24"/>
      <c r="F349" s="24"/>
      <c r="G349" s="24"/>
      <c r="H349" s="24"/>
      <c r="I349" s="24"/>
      <c r="J349" s="24"/>
      <c r="K349" s="24"/>
      <c r="L349" s="24"/>
      <c r="M349" s="24">
        <f t="shared" si="76"/>
        <v>15000</v>
      </c>
      <c r="N349" s="33">
        <v>0</v>
      </c>
      <c r="O349" s="21">
        <f t="shared" si="71"/>
        <v>15000</v>
      </c>
    </row>
    <row r="350" spans="1:15" x14ac:dyDescent="0.3">
      <c r="A350" s="177"/>
      <c r="B350" s="179"/>
      <c r="C350" s="2" t="s">
        <v>45</v>
      </c>
      <c r="D350" s="24">
        <v>176694</v>
      </c>
      <c r="E350" s="24"/>
      <c r="F350" s="24"/>
      <c r="G350" s="24"/>
      <c r="H350" s="24"/>
      <c r="I350" s="24"/>
      <c r="J350" s="24"/>
      <c r="K350" s="24"/>
      <c r="L350" s="24"/>
      <c r="M350" s="24">
        <f t="shared" si="76"/>
        <v>176694</v>
      </c>
      <c r="N350" s="33">
        <v>36188</v>
      </c>
      <c r="O350" s="14">
        <f t="shared" si="71"/>
        <v>140506</v>
      </c>
    </row>
    <row r="351" spans="1:15" x14ac:dyDescent="0.3">
      <c r="A351" s="177"/>
      <c r="B351" s="179"/>
      <c r="C351" s="2" t="s">
        <v>60</v>
      </c>
      <c r="D351" s="24">
        <v>0</v>
      </c>
      <c r="E351" s="24"/>
      <c r="F351" s="24"/>
      <c r="G351" s="24"/>
      <c r="H351" s="24"/>
      <c r="I351" s="24"/>
      <c r="J351" s="24"/>
      <c r="K351" s="24"/>
      <c r="L351" s="24"/>
      <c r="M351" s="24">
        <f t="shared" si="76"/>
        <v>0</v>
      </c>
      <c r="N351" s="33">
        <v>0</v>
      </c>
      <c r="O351" s="14">
        <f t="shared" si="71"/>
        <v>0</v>
      </c>
    </row>
    <row r="352" spans="1:15" x14ac:dyDescent="0.3">
      <c r="A352" s="177"/>
      <c r="B352" s="179"/>
      <c r="C352" s="6" t="s">
        <v>46</v>
      </c>
      <c r="D352" s="97">
        <f>SUM(D340:D351)</f>
        <v>941182</v>
      </c>
      <c r="E352" s="97">
        <f t="shared" ref="E352:O352" si="77">SUM(E340:E351)</f>
        <v>0</v>
      </c>
      <c r="F352" s="97">
        <f t="shared" si="77"/>
        <v>0</v>
      </c>
      <c r="G352" s="97">
        <f t="shared" si="77"/>
        <v>0</v>
      </c>
      <c r="H352" s="97">
        <f t="shared" si="77"/>
        <v>0</v>
      </c>
      <c r="I352" s="97">
        <f t="shared" si="77"/>
        <v>0</v>
      </c>
      <c r="J352" s="97">
        <f t="shared" si="77"/>
        <v>0</v>
      </c>
      <c r="K352" s="97">
        <f t="shared" si="77"/>
        <v>0</v>
      </c>
      <c r="L352" s="97">
        <f t="shared" si="77"/>
        <v>0</v>
      </c>
      <c r="M352" s="97">
        <f t="shared" si="77"/>
        <v>941182</v>
      </c>
      <c r="N352" s="49">
        <f t="shared" si="77"/>
        <v>193108</v>
      </c>
      <c r="O352" s="26">
        <f t="shared" si="77"/>
        <v>748074</v>
      </c>
    </row>
    <row r="353" spans="1:15" x14ac:dyDescent="0.3">
      <c r="A353" s="177"/>
      <c r="B353" s="180" t="s">
        <v>18</v>
      </c>
      <c r="C353" s="2" t="s">
        <v>40</v>
      </c>
      <c r="D353" s="28">
        <v>5173896</v>
      </c>
      <c r="E353" s="28"/>
      <c r="F353" s="24"/>
      <c r="G353" s="24"/>
      <c r="H353" s="24"/>
      <c r="I353" s="24"/>
      <c r="J353" s="24"/>
      <c r="K353" s="24"/>
      <c r="L353" s="24"/>
      <c r="M353" s="28">
        <f>D353+E353+F353+G353+H353+J353+I353</f>
        <v>5173896</v>
      </c>
      <c r="N353" s="33">
        <v>2133896</v>
      </c>
      <c r="O353" s="14">
        <f t="shared" si="71"/>
        <v>3040000</v>
      </c>
    </row>
    <row r="354" spans="1:15" x14ac:dyDescent="0.3">
      <c r="A354" s="177"/>
      <c r="B354" s="199"/>
      <c r="C354" s="2" t="s">
        <v>47</v>
      </c>
      <c r="D354" s="24">
        <v>200000</v>
      </c>
      <c r="E354" s="28"/>
      <c r="F354" s="24"/>
      <c r="G354" s="24"/>
      <c r="H354" s="24"/>
      <c r="I354" s="24"/>
      <c r="J354" s="24"/>
      <c r="K354" s="24"/>
      <c r="L354" s="24"/>
      <c r="M354" s="24">
        <f>D354+E354+F354+G354+H354+J354+I354</f>
        <v>200000</v>
      </c>
      <c r="N354" s="33">
        <v>0</v>
      </c>
      <c r="O354" s="14">
        <f t="shared" si="71"/>
        <v>200000</v>
      </c>
    </row>
    <row r="355" spans="1:15" x14ac:dyDescent="0.3">
      <c r="A355" s="177"/>
      <c r="B355" s="199"/>
      <c r="C355" s="2" t="s">
        <v>48</v>
      </c>
      <c r="D355" s="24">
        <v>10000</v>
      </c>
      <c r="E355" s="28"/>
      <c r="F355" s="24"/>
      <c r="G355" s="24"/>
      <c r="H355" s="24"/>
      <c r="I355" s="24"/>
      <c r="J355" s="24"/>
      <c r="K355" s="24"/>
      <c r="L355" s="24"/>
      <c r="M355" s="24">
        <f>D355+E355+F355+G355+H355+J355+I355</f>
        <v>10000</v>
      </c>
      <c r="N355" s="33">
        <v>0</v>
      </c>
      <c r="O355" s="14">
        <f t="shared" si="71"/>
        <v>10000</v>
      </c>
    </row>
    <row r="356" spans="1:15" x14ac:dyDescent="0.3">
      <c r="A356" s="177"/>
      <c r="B356" s="199"/>
      <c r="C356" s="2" t="s">
        <v>50</v>
      </c>
      <c r="D356" s="24">
        <v>24000</v>
      </c>
      <c r="E356" s="28"/>
      <c r="F356" s="24"/>
      <c r="G356" s="24"/>
      <c r="H356" s="24"/>
      <c r="I356" s="24"/>
      <c r="J356" s="24"/>
      <c r="K356" s="24"/>
      <c r="L356" s="24"/>
      <c r="M356" s="24">
        <f>D356+E356+F356+G356+H356+J356+I356</f>
        <v>24000</v>
      </c>
      <c r="N356" s="33">
        <v>0</v>
      </c>
      <c r="O356" s="14">
        <f t="shared" si="71"/>
        <v>24000</v>
      </c>
    </row>
    <row r="357" spans="1:15" x14ac:dyDescent="0.3">
      <c r="A357" s="177"/>
      <c r="B357" s="199"/>
      <c r="C357" s="2" t="s">
        <v>51</v>
      </c>
      <c r="D357" s="24">
        <v>0</v>
      </c>
      <c r="E357" s="28"/>
      <c r="F357" s="24"/>
      <c r="G357" s="24"/>
      <c r="H357" s="24"/>
      <c r="I357" s="24"/>
      <c r="J357" s="24"/>
      <c r="K357" s="24"/>
      <c r="L357" s="24"/>
      <c r="M357" s="24">
        <f>D357+E357+F357+G357+H357+J357+I357</f>
        <v>0</v>
      </c>
      <c r="N357" s="33">
        <v>0</v>
      </c>
      <c r="O357" s="32">
        <f t="shared" si="71"/>
        <v>0</v>
      </c>
    </row>
    <row r="358" spans="1:15" x14ac:dyDescent="0.3">
      <c r="A358" s="177"/>
      <c r="B358" s="199"/>
      <c r="C358" s="6" t="s">
        <v>41</v>
      </c>
      <c r="D358" s="97">
        <f>SUM(D353:D357)</f>
        <v>5407896</v>
      </c>
      <c r="E358" s="97">
        <f t="shared" ref="E358:O358" si="78">SUM(E353:E357)</f>
        <v>0</v>
      </c>
      <c r="F358" s="97">
        <f t="shared" si="78"/>
        <v>0</v>
      </c>
      <c r="G358" s="97">
        <f t="shared" si="78"/>
        <v>0</v>
      </c>
      <c r="H358" s="97">
        <f t="shared" si="78"/>
        <v>0</v>
      </c>
      <c r="I358" s="97">
        <f t="shared" si="78"/>
        <v>0</v>
      </c>
      <c r="J358" s="97">
        <f t="shared" si="78"/>
        <v>0</v>
      </c>
      <c r="K358" s="97">
        <f t="shared" si="78"/>
        <v>0</v>
      </c>
      <c r="L358" s="97">
        <f t="shared" si="78"/>
        <v>0</v>
      </c>
      <c r="M358" s="97">
        <f t="shared" si="78"/>
        <v>5407896</v>
      </c>
      <c r="N358" s="49">
        <f t="shared" si="78"/>
        <v>2133896</v>
      </c>
      <c r="O358" s="26">
        <f t="shared" si="78"/>
        <v>3274000</v>
      </c>
    </row>
    <row r="359" spans="1:15" x14ac:dyDescent="0.3">
      <c r="A359" s="177"/>
      <c r="B359" s="199"/>
      <c r="C359" s="57" t="s">
        <v>42</v>
      </c>
      <c r="D359" s="98">
        <v>976382</v>
      </c>
      <c r="E359" s="98"/>
      <c r="F359" s="98"/>
      <c r="G359" s="98"/>
      <c r="H359" s="98"/>
      <c r="I359" s="98"/>
      <c r="J359" s="98"/>
      <c r="K359" s="98"/>
      <c r="L359" s="98"/>
      <c r="M359" s="99">
        <f>D359+E359+F359+G359+H359+J359</f>
        <v>976382</v>
      </c>
      <c r="N359" s="133">
        <v>376091</v>
      </c>
      <c r="O359" s="55">
        <f t="shared" si="71"/>
        <v>600291</v>
      </c>
    </row>
    <row r="360" spans="1:15" x14ac:dyDescent="0.3">
      <c r="A360" s="177"/>
      <c r="B360" s="199"/>
      <c r="C360" s="2" t="s">
        <v>43</v>
      </c>
      <c r="D360" s="24">
        <v>40000</v>
      </c>
      <c r="E360" s="24"/>
      <c r="F360" s="24"/>
      <c r="G360" s="24"/>
      <c r="H360" s="24"/>
      <c r="I360" s="24"/>
      <c r="J360" s="24"/>
      <c r="K360" s="24"/>
      <c r="L360" s="24"/>
      <c r="M360" s="24">
        <f t="shared" ref="M360:M367" si="79">D360+E360+F360+G360+H360+J360+I360</f>
        <v>40000</v>
      </c>
      <c r="N360" s="33">
        <v>0</v>
      </c>
      <c r="O360" s="21">
        <f t="shared" si="71"/>
        <v>40000</v>
      </c>
    </row>
    <row r="361" spans="1:15" x14ac:dyDescent="0.3">
      <c r="A361" s="177"/>
      <c r="B361" s="199"/>
      <c r="C361" s="2" t="s">
        <v>53</v>
      </c>
      <c r="D361" s="24">
        <v>10000</v>
      </c>
      <c r="E361" s="24"/>
      <c r="F361" s="24"/>
      <c r="G361" s="24"/>
      <c r="H361" s="24"/>
      <c r="I361" s="24"/>
      <c r="J361" s="24"/>
      <c r="K361" s="24"/>
      <c r="L361" s="24"/>
      <c r="M361" s="24">
        <f t="shared" si="79"/>
        <v>10000</v>
      </c>
      <c r="N361" s="33">
        <v>0</v>
      </c>
      <c r="O361" s="14">
        <f t="shared" si="71"/>
        <v>10000</v>
      </c>
    </row>
    <row r="362" spans="1:15" x14ac:dyDescent="0.3">
      <c r="A362" s="177"/>
      <c r="B362" s="199"/>
      <c r="C362" s="30" t="s">
        <v>55</v>
      </c>
      <c r="D362" s="24">
        <v>0</v>
      </c>
      <c r="E362" s="24"/>
      <c r="F362" s="24"/>
      <c r="G362" s="24"/>
      <c r="H362" s="24"/>
      <c r="I362" s="24"/>
      <c r="J362" s="24"/>
      <c r="K362" s="24"/>
      <c r="L362" s="24"/>
      <c r="M362" s="24">
        <f t="shared" si="79"/>
        <v>0</v>
      </c>
      <c r="N362" s="33">
        <v>0</v>
      </c>
      <c r="O362" s="14">
        <f t="shared" si="71"/>
        <v>0</v>
      </c>
    </row>
    <row r="363" spans="1:15" x14ac:dyDescent="0.3">
      <c r="A363" s="177"/>
      <c r="B363" s="199"/>
      <c r="C363" s="2" t="s">
        <v>57</v>
      </c>
      <c r="D363" s="24">
        <v>2000</v>
      </c>
      <c r="E363" s="24"/>
      <c r="F363" s="24"/>
      <c r="G363" s="24"/>
      <c r="H363" s="24"/>
      <c r="I363" s="24"/>
      <c r="J363" s="24"/>
      <c r="K363" s="24"/>
      <c r="L363" s="24"/>
      <c r="M363" s="24">
        <f t="shared" si="79"/>
        <v>2000</v>
      </c>
      <c r="N363" s="33">
        <v>0</v>
      </c>
      <c r="O363" s="14">
        <f t="shared" si="71"/>
        <v>2000</v>
      </c>
    </row>
    <row r="364" spans="1:15" x14ac:dyDescent="0.3">
      <c r="A364" s="177"/>
      <c r="B364" s="199"/>
      <c r="C364" s="2" t="s">
        <v>44</v>
      </c>
      <c r="D364" s="24">
        <v>16800</v>
      </c>
      <c r="E364" s="24"/>
      <c r="F364" s="24"/>
      <c r="G364" s="24"/>
      <c r="H364" s="24"/>
      <c r="I364" s="24"/>
      <c r="J364" s="24"/>
      <c r="K364" s="24"/>
      <c r="L364" s="24"/>
      <c r="M364" s="24">
        <f t="shared" si="79"/>
        <v>16800</v>
      </c>
      <c r="N364" s="33">
        <v>4200</v>
      </c>
      <c r="O364" s="14">
        <f t="shared" si="71"/>
        <v>12600</v>
      </c>
    </row>
    <row r="365" spans="1:15" x14ac:dyDescent="0.3">
      <c r="A365" s="177"/>
      <c r="B365" s="199"/>
      <c r="C365" s="2" t="s">
        <v>58</v>
      </c>
      <c r="D365" s="24">
        <v>0</v>
      </c>
      <c r="E365" s="24"/>
      <c r="F365" s="24"/>
      <c r="G365" s="24"/>
      <c r="H365" s="24"/>
      <c r="I365" s="24"/>
      <c r="J365" s="24"/>
      <c r="K365" s="24"/>
      <c r="L365" s="24"/>
      <c r="M365" s="24">
        <f t="shared" si="79"/>
        <v>0</v>
      </c>
      <c r="N365" s="33">
        <v>0</v>
      </c>
      <c r="O365" s="14">
        <f t="shared" si="71"/>
        <v>0</v>
      </c>
    </row>
    <row r="366" spans="1:15" x14ac:dyDescent="0.3">
      <c r="A366" s="177"/>
      <c r="B366" s="199"/>
      <c r="C366" s="2" t="s">
        <v>59</v>
      </c>
      <c r="D366" s="24">
        <v>14000</v>
      </c>
      <c r="E366" s="24"/>
      <c r="F366" s="24"/>
      <c r="G366" s="24"/>
      <c r="H366" s="24"/>
      <c r="I366" s="24"/>
      <c r="J366" s="24"/>
      <c r="K366" s="24"/>
      <c r="L366" s="24"/>
      <c r="M366" s="24">
        <f t="shared" si="79"/>
        <v>14000</v>
      </c>
      <c r="N366" s="33">
        <v>3920</v>
      </c>
      <c r="O366" s="14">
        <f t="shared" si="71"/>
        <v>10080</v>
      </c>
    </row>
    <row r="367" spans="1:15" x14ac:dyDescent="0.3">
      <c r="A367" s="177"/>
      <c r="B367" s="199"/>
      <c r="C367" s="2" t="s">
        <v>45</v>
      </c>
      <c r="D367" s="24">
        <v>9640</v>
      </c>
      <c r="E367" s="24"/>
      <c r="F367" s="24"/>
      <c r="G367" s="24"/>
      <c r="H367" s="24"/>
      <c r="I367" s="24"/>
      <c r="J367" s="24"/>
      <c r="K367" s="24"/>
      <c r="L367" s="24"/>
      <c r="M367" s="24">
        <f t="shared" si="79"/>
        <v>9640</v>
      </c>
      <c r="N367" s="33">
        <v>0</v>
      </c>
      <c r="O367" s="21">
        <f t="shared" si="71"/>
        <v>9640</v>
      </c>
    </row>
    <row r="368" spans="1:15" x14ac:dyDescent="0.3">
      <c r="A368" s="177"/>
      <c r="B368" s="199"/>
      <c r="C368" s="6" t="s">
        <v>46</v>
      </c>
      <c r="D368" s="97">
        <f>SUM(D360:D367)</f>
        <v>92440</v>
      </c>
      <c r="E368" s="97">
        <f t="shared" ref="E368:O368" si="80">SUM(E360:E367)</f>
        <v>0</v>
      </c>
      <c r="F368" s="97">
        <f t="shared" si="80"/>
        <v>0</v>
      </c>
      <c r="G368" s="97">
        <f t="shared" si="80"/>
        <v>0</v>
      </c>
      <c r="H368" s="97">
        <f t="shared" si="80"/>
        <v>0</v>
      </c>
      <c r="I368" s="97">
        <f t="shared" si="80"/>
        <v>0</v>
      </c>
      <c r="J368" s="97">
        <f t="shared" si="80"/>
        <v>0</v>
      </c>
      <c r="K368" s="97">
        <f t="shared" si="80"/>
        <v>0</v>
      </c>
      <c r="L368" s="97">
        <f t="shared" si="80"/>
        <v>0</v>
      </c>
      <c r="M368" s="97">
        <f t="shared" si="80"/>
        <v>92440</v>
      </c>
      <c r="N368" s="49">
        <f t="shared" si="80"/>
        <v>8120</v>
      </c>
      <c r="O368" s="26">
        <f t="shared" si="80"/>
        <v>84320</v>
      </c>
    </row>
    <row r="369" spans="1:15" x14ac:dyDescent="0.3">
      <c r="A369" s="177"/>
      <c r="B369" s="199"/>
      <c r="C369" s="2" t="s">
        <v>112</v>
      </c>
      <c r="D369" s="24">
        <v>0</v>
      </c>
      <c r="E369" s="24"/>
      <c r="F369" s="24"/>
      <c r="G369" s="24"/>
      <c r="H369" s="24"/>
      <c r="I369" s="24"/>
      <c r="J369" s="24"/>
      <c r="K369" s="24"/>
      <c r="L369" s="24"/>
      <c r="M369" s="24">
        <f>D369+E369+F369+G369+H369+J369+I369</f>
        <v>0</v>
      </c>
      <c r="N369" s="33">
        <v>0</v>
      </c>
      <c r="O369" s="14">
        <f t="shared" si="71"/>
        <v>0</v>
      </c>
    </row>
    <row r="370" spans="1:15" x14ac:dyDescent="0.3">
      <c r="A370" s="177"/>
      <c r="B370" s="199"/>
      <c r="C370" s="2" t="s">
        <v>113</v>
      </c>
      <c r="D370" s="24">
        <v>0</v>
      </c>
      <c r="E370" s="24"/>
      <c r="F370" s="24"/>
      <c r="G370" s="24"/>
      <c r="H370" s="24"/>
      <c r="I370" s="24"/>
      <c r="J370" s="24"/>
      <c r="K370" s="24"/>
      <c r="L370" s="24"/>
      <c r="M370" s="24">
        <f>D370+E370+F370+G370+H370+J370+I370</f>
        <v>0</v>
      </c>
      <c r="N370" s="33">
        <v>0</v>
      </c>
      <c r="O370" s="14">
        <f t="shared" si="71"/>
        <v>0</v>
      </c>
    </row>
    <row r="371" spans="1:15" x14ac:dyDescent="0.3">
      <c r="A371" s="177"/>
      <c r="B371" s="181"/>
      <c r="C371" s="6" t="s">
        <v>114</v>
      </c>
      <c r="D371" s="97">
        <f>SUM(D369:D370)</f>
        <v>0</v>
      </c>
      <c r="E371" s="97">
        <f t="shared" ref="E371:O371" si="81">SUM(E369:E370)</f>
        <v>0</v>
      </c>
      <c r="F371" s="97">
        <f t="shared" si="81"/>
        <v>0</v>
      </c>
      <c r="G371" s="97">
        <f t="shared" si="81"/>
        <v>0</v>
      </c>
      <c r="H371" s="97">
        <f t="shared" si="81"/>
        <v>0</v>
      </c>
      <c r="I371" s="97">
        <f t="shared" si="81"/>
        <v>0</v>
      </c>
      <c r="J371" s="97">
        <f t="shared" si="81"/>
        <v>0</v>
      </c>
      <c r="K371" s="97">
        <f t="shared" si="81"/>
        <v>0</v>
      </c>
      <c r="L371" s="97">
        <f t="shared" si="81"/>
        <v>0</v>
      </c>
      <c r="M371" s="97">
        <f t="shared" si="81"/>
        <v>0</v>
      </c>
      <c r="N371" s="49">
        <f t="shared" si="81"/>
        <v>0</v>
      </c>
      <c r="O371" s="26">
        <f t="shared" si="81"/>
        <v>0</v>
      </c>
    </row>
    <row r="372" spans="1:15" x14ac:dyDescent="0.3">
      <c r="A372" s="177"/>
      <c r="B372" s="179" t="s">
        <v>21</v>
      </c>
      <c r="C372" s="2" t="s">
        <v>62</v>
      </c>
      <c r="D372" s="24">
        <v>0</v>
      </c>
      <c r="E372" s="24"/>
      <c r="F372" s="24"/>
      <c r="G372" s="24"/>
      <c r="H372" s="24"/>
      <c r="I372" s="24"/>
      <c r="J372" s="24"/>
      <c r="K372" s="24"/>
      <c r="L372" s="24"/>
      <c r="M372" s="24">
        <f>D372+E372+F372+G372+H372+J372+I372</f>
        <v>0</v>
      </c>
      <c r="N372" s="33">
        <v>0</v>
      </c>
      <c r="O372" s="14">
        <f t="shared" si="71"/>
        <v>0</v>
      </c>
    </row>
    <row r="373" spans="1:15" x14ac:dyDescent="0.3">
      <c r="A373" s="177"/>
      <c r="B373" s="179"/>
      <c r="C373" s="2" t="s">
        <v>57</v>
      </c>
      <c r="D373" s="24">
        <v>0</v>
      </c>
      <c r="E373" s="24"/>
      <c r="F373" s="24"/>
      <c r="G373" s="24"/>
      <c r="H373" s="24"/>
      <c r="I373" s="24"/>
      <c r="J373" s="24"/>
      <c r="K373" s="24"/>
      <c r="L373" s="24"/>
      <c r="M373" s="24">
        <f>D373+E373+F373+G373+H373+J373+I373</f>
        <v>0</v>
      </c>
      <c r="N373" s="33">
        <v>0</v>
      </c>
      <c r="O373" s="14">
        <f t="shared" si="71"/>
        <v>0</v>
      </c>
    </row>
    <row r="374" spans="1:15" x14ac:dyDescent="0.3">
      <c r="A374" s="177"/>
      <c r="B374" s="179"/>
      <c r="C374" s="2" t="s">
        <v>64</v>
      </c>
      <c r="D374" s="24">
        <v>0</v>
      </c>
      <c r="E374" s="24"/>
      <c r="F374" s="24"/>
      <c r="G374" s="24"/>
      <c r="H374" s="24"/>
      <c r="I374" s="24"/>
      <c r="J374" s="24"/>
      <c r="K374" s="24"/>
      <c r="L374" s="24"/>
      <c r="M374" s="24">
        <f>D374+E374+F374+G374+H374+J374+I374</f>
        <v>0</v>
      </c>
      <c r="N374" s="33">
        <v>0</v>
      </c>
      <c r="O374" s="14">
        <f t="shared" si="71"/>
        <v>0</v>
      </c>
    </row>
    <row r="375" spans="1:15" x14ac:dyDescent="0.3">
      <c r="A375" s="177"/>
      <c r="B375" s="179"/>
      <c r="C375" s="2" t="s">
        <v>58</v>
      </c>
      <c r="D375" s="24">
        <v>0</v>
      </c>
      <c r="E375" s="24"/>
      <c r="F375" s="24"/>
      <c r="G375" s="24"/>
      <c r="H375" s="24"/>
      <c r="I375" s="24"/>
      <c r="J375" s="24"/>
      <c r="K375" s="24"/>
      <c r="L375" s="24"/>
      <c r="M375" s="24">
        <f>D375+E375+F375+G375+H375+J375+I375</f>
        <v>0</v>
      </c>
      <c r="N375" s="33">
        <v>0</v>
      </c>
      <c r="O375" s="14">
        <f t="shared" si="71"/>
        <v>0</v>
      </c>
    </row>
    <row r="376" spans="1:15" x14ac:dyDescent="0.3">
      <c r="A376" s="177"/>
      <c r="B376" s="179"/>
      <c r="C376" s="2" t="s">
        <v>45</v>
      </c>
      <c r="D376" s="24">
        <v>0</v>
      </c>
      <c r="E376" s="24"/>
      <c r="F376" s="24"/>
      <c r="G376" s="24"/>
      <c r="H376" s="24"/>
      <c r="I376" s="24"/>
      <c r="J376" s="24"/>
      <c r="K376" s="24"/>
      <c r="L376" s="24"/>
      <c r="M376" s="24">
        <f>D376+E376+F376+G376+H376+J376+I376</f>
        <v>0</v>
      </c>
      <c r="N376" s="33">
        <v>0</v>
      </c>
      <c r="O376" s="14">
        <f t="shared" si="71"/>
        <v>0</v>
      </c>
    </row>
    <row r="377" spans="1:15" x14ac:dyDescent="0.3">
      <c r="A377" s="177"/>
      <c r="B377" s="179"/>
      <c r="C377" s="6" t="s">
        <v>46</v>
      </c>
      <c r="D377" s="97">
        <v>0</v>
      </c>
      <c r="E377" s="97">
        <f t="shared" ref="E377:O377" si="82">SUM(E372:E376)</f>
        <v>0</v>
      </c>
      <c r="F377" s="97">
        <f t="shared" si="82"/>
        <v>0</v>
      </c>
      <c r="G377" s="97">
        <f t="shared" si="82"/>
        <v>0</v>
      </c>
      <c r="H377" s="97">
        <f t="shared" si="82"/>
        <v>0</v>
      </c>
      <c r="I377" s="97">
        <f t="shared" si="82"/>
        <v>0</v>
      </c>
      <c r="J377" s="97">
        <f t="shared" si="82"/>
        <v>0</v>
      </c>
      <c r="K377" s="97">
        <f t="shared" si="82"/>
        <v>0</v>
      </c>
      <c r="L377" s="97">
        <f t="shared" si="82"/>
        <v>0</v>
      </c>
      <c r="M377" s="97">
        <f t="shared" si="82"/>
        <v>0</v>
      </c>
      <c r="N377" s="49">
        <f>SUM(N372:N376)</f>
        <v>0</v>
      </c>
      <c r="O377" s="26">
        <f t="shared" si="82"/>
        <v>0</v>
      </c>
    </row>
    <row r="378" spans="1:15" x14ac:dyDescent="0.3">
      <c r="A378" s="198" t="s">
        <v>89</v>
      </c>
      <c r="B378" s="180" t="s">
        <v>18</v>
      </c>
      <c r="C378" s="2" t="s">
        <v>40</v>
      </c>
      <c r="D378" s="24">
        <v>177200</v>
      </c>
      <c r="E378" s="24"/>
      <c r="F378" s="24">
        <v>280192</v>
      </c>
      <c r="G378" s="24"/>
      <c r="H378" s="24"/>
      <c r="I378" s="24"/>
      <c r="J378" s="24"/>
      <c r="K378" s="24"/>
      <c r="L378" s="24"/>
      <c r="M378" s="24">
        <f t="shared" ref="M378:M383" si="83">D378+E378+F378+G378+H378+J378+I378+K378</f>
        <v>457392</v>
      </c>
      <c r="N378" s="33">
        <v>175488</v>
      </c>
      <c r="O378" s="14">
        <f t="shared" si="71"/>
        <v>281904</v>
      </c>
    </row>
    <row r="379" spans="1:15" x14ac:dyDescent="0.3">
      <c r="A379" s="196"/>
      <c r="B379" s="181"/>
      <c r="C379" s="2" t="s">
        <v>42</v>
      </c>
      <c r="D379" s="24">
        <v>31010</v>
      </c>
      <c r="E379" s="24"/>
      <c r="F379" s="24">
        <v>45006</v>
      </c>
      <c r="G379" s="24"/>
      <c r="H379" s="24"/>
      <c r="I379" s="24"/>
      <c r="J379" s="24"/>
      <c r="K379" s="24"/>
      <c r="L379" s="24"/>
      <c r="M379" s="24">
        <f t="shared" si="83"/>
        <v>76016</v>
      </c>
      <c r="N379" s="33">
        <v>30710</v>
      </c>
      <c r="O379" s="14">
        <f t="shared" si="71"/>
        <v>45306</v>
      </c>
    </row>
    <row r="380" spans="1:15" x14ac:dyDescent="0.3">
      <c r="A380" s="198" t="s">
        <v>90</v>
      </c>
      <c r="B380" s="180" t="s">
        <v>10</v>
      </c>
      <c r="C380" s="2" t="s">
        <v>40</v>
      </c>
      <c r="D380" s="24">
        <v>243140</v>
      </c>
      <c r="E380" s="24"/>
      <c r="F380" s="24">
        <v>309436</v>
      </c>
      <c r="G380" s="24"/>
      <c r="H380" s="24"/>
      <c r="I380" s="24"/>
      <c r="J380" s="24"/>
      <c r="K380" s="24"/>
      <c r="L380" s="24"/>
      <c r="M380" s="24">
        <f t="shared" si="83"/>
        <v>552576</v>
      </c>
      <c r="N380" s="33">
        <v>283439</v>
      </c>
      <c r="O380" s="14">
        <f t="shared" si="71"/>
        <v>269137</v>
      </c>
    </row>
    <row r="381" spans="1:15" x14ac:dyDescent="0.3">
      <c r="A381" s="196"/>
      <c r="B381" s="181"/>
      <c r="C381" s="2" t="s">
        <v>42</v>
      </c>
      <c r="D381" s="24">
        <v>42550</v>
      </c>
      <c r="E381" s="24"/>
      <c r="F381" s="24">
        <v>50307</v>
      </c>
      <c r="G381" s="24"/>
      <c r="H381" s="24"/>
      <c r="I381" s="24"/>
      <c r="J381" s="24"/>
      <c r="K381" s="24"/>
      <c r="L381" s="24"/>
      <c r="M381" s="24">
        <f t="shared" si="83"/>
        <v>92857</v>
      </c>
      <c r="N381" s="33">
        <v>49601</v>
      </c>
      <c r="O381" s="14">
        <f t="shared" si="71"/>
        <v>43256</v>
      </c>
    </row>
    <row r="382" spans="1:15" x14ac:dyDescent="0.3">
      <c r="A382" s="198" t="s">
        <v>91</v>
      </c>
      <c r="B382" s="180" t="s">
        <v>10</v>
      </c>
      <c r="C382" s="2" t="s">
        <v>51</v>
      </c>
      <c r="D382" s="24">
        <v>6900</v>
      </c>
      <c r="E382" s="24"/>
      <c r="F382" s="24"/>
      <c r="G382" s="24"/>
      <c r="H382" s="24"/>
      <c r="I382" s="24"/>
      <c r="J382" s="24"/>
      <c r="K382" s="24"/>
      <c r="L382" s="24"/>
      <c r="M382" s="24">
        <f t="shared" si="83"/>
        <v>6900</v>
      </c>
      <c r="N382" s="33">
        <v>4500</v>
      </c>
      <c r="O382" s="14">
        <f t="shared" si="71"/>
        <v>2400</v>
      </c>
    </row>
    <row r="383" spans="1:15" x14ac:dyDescent="0.3">
      <c r="A383" s="196"/>
      <c r="B383" s="181"/>
      <c r="C383" s="2" t="s">
        <v>42</v>
      </c>
      <c r="D383" s="24">
        <v>1208</v>
      </c>
      <c r="E383" s="24"/>
      <c r="F383" s="24"/>
      <c r="G383" s="24"/>
      <c r="H383" s="24"/>
      <c r="I383" s="24"/>
      <c r="J383" s="24"/>
      <c r="K383" s="24"/>
      <c r="L383" s="24"/>
      <c r="M383" s="24">
        <f t="shared" si="83"/>
        <v>1208</v>
      </c>
      <c r="N383" s="33">
        <v>789</v>
      </c>
      <c r="O383" s="14">
        <f t="shared" si="71"/>
        <v>419</v>
      </c>
    </row>
    <row r="384" spans="1:15" x14ac:dyDescent="0.3">
      <c r="A384" s="212" t="s">
        <v>119</v>
      </c>
      <c r="B384" s="213"/>
      <c r="C384" s="214"/>
      <c r="D384" s="115">
        <f>SUM(D324+D325+D329+D338+D339+D352+D358+D359+D368+D371+D377+D378+D379+D380+D381+D382+D383)</f>
        <v>16234178</v>
      </c>
      <c r="E384" s="101">
        <f t="shared" ref="E384:O384" si="84">SUM(E324+E325+E329+E338+E339+E352+E358+E359+E371+E377+E378+E379+E380+E381+E382+E383+E368)</f>
        <v>0</v>
      </c>
      <c r="F384" s="101">
        <f t="shared" si="84"/>
        <v>684941</v>
      </c>
      <c r="G384" s="101">
        <f t="shared" si="84"/>
        <v>0</v>
      </c>
      <c r="H384" s="101">
        <f t="shared" si="84"/>
        <v>0</v>
      </c>
      <c r="I384" s="101">
        <f t="shared" si="84"/>
        <v>0</v>
      </c>
      <c r="J384" s="101">
        <f t="shared" si="84"/>
        <v>0</v>
      </c>
      <c r="K384" s="101">
        <f t="shared" si="84"/>
        <v>0</v>
      </c>
      <c r="L384" s="101">
        <f t="shared" si="84"/>
        <v>0</v>
      </c>
      <c r="M384" s="101">
        <f t="shared" si="84"/>
        <v>16919119</v>
      </c>
      <c r="N384" s="135">
        <f>SUM(N324+N325+N329+N338+N339+N352+N358+N359+N371+N377+N378+N379+N380+N381+N382+N383+N368)</f>
        <v>7010657</v>
      </c>
      <c r="O384" s="59">
        <f t="shared" si="84"/>
        <v>9908462</v>
      </c>
    </row>
    <row r="385" spans="1:16" x14ac:dyDescent="0.3">
      <c r="A385" s="177" t="s">
        <v>145</v>
      </c>
      <c r="B385" s="4" t="s">
        <v>6</v>
      </c>
      <c r="C385" s="2" t="s">
        <v>67</v>
      </c>
      <c r="D385" s="24">
        <v>0</v>
      </c>
      <c r="E385" s="24"/>
      <c r="F385" s="24"/>
      <c r="G385" s="24"/>
      <c r="H385" s="24"/>
      <c r="I385" s="24"/>
      <c r="J385" s="24"/>
      <c r="K385" s="24"/>
      <c r="L385" s="24"/>
      <c r="M385" s="24">
        <f>D385+E385+F385+G385+H385+J385+I385</f>
        <v>0</v>
      </c>
      <c r="N385" s="33">
        <v>0</v>
      </c>
      <c r="O385" s="14">
        <f t="shared" si="71"/>
        <v>0</v>
      </c>
    </row>
    <row r="386" spans="1:16" x14ac:dyDescent="0.3">
      <c r="A386" s="177"/>
      <c r="B386" s="180" t="s">
        <v>39</v>
      </c>
      <c r="C386" s="2" t="s">
        <v>40</v>
      </c>
      <c r="D386" s="24">
        <v>978360</v>
      </c>
      <c r="E386" s="24"/>
      <c r="F386" s="24"/>
      <c r="G386" s="24"/>
      <c r="H386" s="24"/>
      <c r="I386" s="24"/>
      <c r="J386" s="24"/>
      <c r="K386" s="24"/>
      <c r="L386" s="24"/>
      <c r="M386" s="24">
        <f>D386+E386+F386+G386+H386+J386+I386</f>
        <v>978360</v>
      </c>
      <c r="N386" s="33">
        <v>407650</v>
      </c>
      <c r="O386" s="14">
        <f t="shared" si="71"/>
        <v>570710</v>
      </c>
    </row>
    <row r="387" spans="1:16" x14ac:dyDescent="0.3">
      <c r="A387" s="177"/>
      <c r="B387" s="199"/>
      <c r="C387" s="2" t="s">
        <v>51</v>
      </c>
      <c r="D387" s="24">
        <v>0</v>
      </c>
      <c r="E387" s="24"/>
      <c r="F387" s="24"/>
      <c r="G387" s="24"/>
      <c r="H387" s="24"/>
      <c r="I387" s="24"/>
      <c r="J387" s="24"/>
      <c r="K387" s="24"/>
      <c r="L387" s="24"/>
      <c r="M387" s="24">
        <f>D387+E387+F387+G387+H387+J387+I387</f>
        <v>0</v>
      </c>
      <c r="N387" s="33">
        <v>0</v>
      </c>
      <c r="O387" s="14">
        <f t="shared" si="71"/>
        <v>0</v>
      </c>
    </row>
    <row r="388" spans="1:16" x14ac:dyDescent="0.3">
      <c r="A388" s="177"/>
      <c r="B388" s="199"/>
      <c r="C388" s="6" t="s">
        <v>41</v>
      </c>
      <c r="D388" s="97">
        <f>SUM(D386:D387)</f>
        <v>978360</v>
      </c>
      <c r="E388" s="97">
        <f t="shared" ref="E388:O388" si="85">SUM(E386:E387)</f>
        <v>0</v>
      </c>
      <c r="F388" s="97">
        <f t="shared" si="85"/>
        <v>0</v>
      </c>
      <c r="G388" s="97">
        <f t="shared" si="85"/>
        <v>0</v>
      </c>
      <c r="H388" s="97">
        <f t="shared" si="85"/>
        <v>0</v>
      </c>
      <c r="I388" s="97">
        <f t="shared" si="85"/>
        <v>0</v>
      </c>
      <c r="J388" s="97">
        <f t="shared" si="85"/>
        <v>0</v>
      </c>
      <c r="K388" s="97">
        <f t="shared" si="85"/>
        <v>0</v>
      </c>
      <c r="L388" s="97">
        <f t="shared" si="85"/>
        <v>0</v>
      </c>
      <c r="M388" s="97">
        <f t="shared" si="85"/>
        <v>978360</v>
      </c>
      <c r="N388" s="49">
        <f t="shared" si="85"/>
        <v>407650</v>
      </c>
      <c r="O388" s="26">
        <f t="shared" si="85"/>
        <v>570710</v>
      </c>
    </row>
    <row r="389" spans="1:16" x14ac:dyDescent="0.3">
      <c r="A389" s="177"/>
      <c r="B389" s="199"/>
      <c r="C389" s="57" t="s">
        <v>42</v>
      </c>
      <c r="D389" s="98">
        <v>85607</v>
      </c>
      <c r="E389" s="98"/>
      <c r="F389" s="98"/>
      <c r="G389" s="98"/>
      <c r="H389" s="98"/>
      <c r="I389" s="98"/>
      <c r="J389" s="98"/>
      <c r="K389" s="98"/>
      <c r="L389" s="98"/>
      <c r="M389" s="99">
        <f>D389+E389+F389+G389+H389+J389</f>
        <v>85607</v>
      </c>
      <c r="N389" s="133">
        <v>35670</v>
      </c>
      <c r="O389" s="55">
        <f t="shared" si="71"/>
        <v>49937</v>
      </c>
    </row>
    <row r="390" spans="1:16" x14ac:dyDescent="0.3">
      <c r="A390" s="177"/>
      <c r="B390" s="199"/>
      <c r="C390" s="2" t="s">
        <v>43</v>
      </c>
      <c r="D390" s="24">
        <v>0</v>
      </c>
      <c r="E390" s="24"/>
      <c r="F390" s="24"/>
      <c r="G390" s="24"/>
      <c r="H390" s="24"/>
      <c r="I390" s="24"/>
      <c r="J390" s="24"/>
      <c r="K390" s="24"/>
      <c r="L390" s="24"/>
      <c r="M390" s="24">
        <f>D390+E390+F390+G390+H390+J390+I390</f>
        <v>0</v>
      </c>
      <c r="N390" s="33">
        <v>0</v>
      </c>
      <c r="O390" s="32">
        <f t="shared" ref="O390:O393" si="86">M390-N390</f>
        <v>0</v>
      </c>
    </row>
    <row r="391" spans="1:16" x14ac:dyDescent="0.3">
      <c r="A391" s="177"/>
      <c r="B391" s="199"/>
      <c r="C391" s="2" t="s">
        <v>53</v>
      </c>
      <c r="D391" s="24">
        <v>0</v>
      </c>
      <c r="E391" s="24"/>
      <c r="F391" s="24"/>
      <c r="G391" s="24"/>
      <c r="H391" s="24"/>
      <c r="I391" s="24"/>
      <c r="J391" s="24"/>
      <c r="K391" s="24"/>
      <c r="L391" s="24"/>
      <c r="M391" s="24">
        <f>D391+E391+F391+G391+H391+J391+I391</f>
        <v>0</v>
      </c>
      <c r="N391" s="33">
        <v>0</v>
      </c>
      <c r="O391" s="32">
        <f t="shared" si="86"/>
        <v>0</v>
      </c>
    </row>
    <row r="392" spans="1:16" x14ac:dyDescent="0.3">
      <c r="A392" s="177"/>
      <c r="B392" s="199"/>
      <c r="C392" s="30" t="s">
        <v>44</v>
      </c>
      <c r="D392" s="24">
        <v>0</v>
      </c>
      <c r="E392" s="24"/>
      <c r="F392" s="24"/>
      <c r="G392" s="24"/>
      <c r="H392" s="24"/>
      <c r="I392" s="24"/>
      <c r="J392" s="24"/>
      <c r="K392" s="24"/>
      <c r="L392" s="24"/>
      <c r="M392" s="24">
        <f>D392+E392+F392+G392+H392+J392+I392</f>
        <v>0</v>
      </c>
      <c r="N392" s="33">
        <v>0</v>
      </c>
      <c r="O392" s="32">
        <f t="shared" si="86"/>
        <v>0</v>
      </c>
    </row>
    <row r="393" spans="1:16" x14ac:dyDescent="0.3">
      <c r="A393" s="177"/>
      <c r="B393" s="199"/>
      <c r="C393" s="2" t="s">
        <v>45</v>
      </c>
      <c r="D393" s="24">
        <v>0</v>
      </c>
      <c r="E393" s="24"/>
      <c r="F393" s="24"/>
      <c r="G393" s="24"/>
      <c r="H393" s="24"/>
      <c r="I393" s="24"/>
      <c r="J393" s="24"/>
      <c r="K393" s="24"/>
      <c r="L393" s="24"/>
      <c r="M393" s="24">
        <f>D393+E393+F393+G393+H393+J393+I393</f>
        <v>0</v>
      </c>
      <c r="N393" s="33">
        <v>0</v>
      </c>
      <c r="O393" s="32">
        <f t="shared" si="86"/>
        <v>0</v>
      </c>
    </row>
    <row r="394" spans="1:16" x14ac:dyDescent="0.3">
      <c r="A394" s="177"/>
      <c r="B394" s="181"/>
      <c r="C394" s="6" t="s">
        <v>46</v>
      </c>
      <c r="D394" s="97">
        <f>SUM(D390:D393)</f>
        <v>0</v>
      </c>
      <c r="E394" s="97">
        <f t="shared" ref="E394:O394" si="87">SUM(E390:E393)</f>
        <v>0</v>
      </c>
      <c r="F394" s="97">
        <f t="shared" si="87"/>
        <v>0</v>
      </c>
      <c r="G394" s="97">
        <f t="shared" si="87"/>
        <v>0</v>
      </c>
      <c r="H394" s="97">
        <f t="shared" si="87"/>
        <v>0</v>
      </c>
      <c r="I394" s="97">
        <f t="shared" si="87"/>
        <v>0</v>
      </c>
      <c r="J394" s="97">
        <f t="shared" si="87"/>
        <v>0</v>
      </c>
      <c r="K394" s="97">
        <f t="shared" si="87"/>
        <v>0</v>
      </c>
      <c r="L394" s="97">
        <f t="shared" si="87"/>
        <v>0</v>
      </c>
      <c r="M394" s="97">
        <f t="shared" si="87"/>
        <v>0</v>
      </c>
      <c r="N394" s="49">
        <f t="shared" si="87"/>
        <v>0</v>
      </c>
      <c r="O394" s="34">
        <f t="shared" si="87"/>
        <v>0</v>
      </c>
      <c r="P394" s="53"/>
    </row>
    <row r="395" spans="1:16" x14ac:dyDescent="0.3">
      <c r="A395" s="177"/>
      <c r="B395" s="180" t="s">
        <v>18</v>
      </c>
      <c r="C395" s="2" t="s">
        <v>40</v>
      </c>
      <c r="D395" s="24">
        <v>2612064</v>
      </c>
      <c r="E395" s="24"/>
      <c r="F395" s="24"/>
      <c r="G395" s="24"/>
      <c r="H395" s="24"/>
      <c r="I395" s="24"/>
      <c r="J395" s="24"/>
      <c r="K395" s="24"/>
      <c r="L395" s="24"/>
      <c r="M395" s="24">
        <f>D395+E395+F395+G395+H395+J395+I395</f>
        <v>2612064</v>
      </c>
      <c r="N395" s="33">
        <v>1076796</v>
      </c>
      <c r="O395" s="14">
        <f t="shared" ref="O395:O399" si="88">M395-N395</f>
        <v>1535268</v>
      </c>
    </row>
    <row r="396" spans="1:16" x14ac:dyDescent="0.3">
      <c r="A396" s="177"/>
      <c r="B396" s="199"/>
      <c r="C396" s="2" t="s">
        <v>47</v>
      </c>
      <c r="D396" s="24">
        <v>100000</v>
      </c>
      <c r="E396" s="24"/>
      <c r="F396" s="24"/>
      <c r="G396" s="24"/>
      <c r="H396" s="24"/>
      <c r="I396" s="24"/>
      <c r="J396" s="24"/>
      <c r="K396" s="24"/>
      <c r="L396" s="24"/>
      <c r="M396" s="24">
        <f>D396+E396+F396+G396+H396+J396+I396</f>
        <v>100000</v>
      </c>
      <c r="N396" s="33">
        <v>0</v>
      </c>
      <c r="O396" s="14">
        <f t="shared" si="88"/>
        <v>100000</v>
      </c>
    </row>
    <row r="397" spans="1:16" x14ac:dyDescent="0.3">
      <c r="A397" s="177"/>
      <c r="B397" s="199"/>
      <c r="C397" s="2" t="s">
        <v>48</v>
      </c>
      <c r="D397" s="24">
        <v>5000</v>
      </c>
      <c r="E397" s="24"/>
      <c r="F397" s="24"/>
      <c r="G397" s="24"/>
      <c r="H397" s="24"/>
      <c r="I397" s="24"/>
      <c r="J397" s="24"/>
      <c r="K397" s="24"/>
      <c r="L397" s="24"/>
      <c r="M397" s="24">
        <f>D397+E397+F397+G397+H397+J397+I397</f>
        <v>5000</v>
      </c>
      <c r="N397" s="33">
        <v>0</v>
      </c>
      <c r="O397" s="14">
        <f t="shared" si="88"/>
        <v>5000</v>
      </c>
    </row>
    <row r="398" spans="1:16" x14ac:dyDescent="0.3">
      <c r="A398" s="177"/>
      <c r="B398" s="199"/>
      <c r="C398" s="2" t="s">
        <v>50</v>
      </c>
      <c r="D398" s="24">
        <v>12000</v>
      </c>
      <c r="E398" s="24"/>
      <c r="F398" s="24"/>
      <c r="G398" s="24"/>
      <c r="H398" s="24"/>
      <c r="I398" s="24"/>
      <c r="J398" s="24"/>
      <c r="K398" s="24"/>
      <c r="L398" s="24"/>
      <c r="M398" s="24">
        <f>D398+E398+F398+G398+H398+J398+I398</f>
        <v>12000</v>
      </c>
      <c r="N398" s="33">
        <v>0</v>
      </c>
      <c r="O398" s="14">
        <f t="shared" si="88"/>
        <v>12000</v>
      </c>
    </row>
    <row r="399" spans="1:16" x14ac:dyDescent="0.3">
      <c r="A399" s="177"/>
      <c r="B399" s="199"/>
      <c r="C399" s="2" t="s">
        <v>51</v>
      </c>
      <c r="D399" s="24">
        <v>0</v>
      </c>
      <c r="E399" s="24"/>
      <c r="F399" s="28"/>
      <c r="G399" s="24"/>
      <c r="H399" s="24"/>
      <c r="I399" s="24"/>
      <c r="J399" s="24"/>
      <c r="K399" s="24"/>
      <c r="L399" s="24"/>
      <c r="M399" s="24">
        <f>D399+E399+F399+G399+H399+J399+I399</f>
        <v>0</v>
      </c>
      <c r="N399" s="33">
        <v>0</v>
      </c>
      <c r="O399" s="14">
        <f t="shared" si="88"/>
        <v>0</v>
      </c>
    </row>
    <row r="400" spans="1:16" x14ac:dyDescent="0.3">
      <c r="A400" s="177"/>
      <c r="B400" s="199"/>
      <c r="C400" s="6" t="s">
        <v>41</v>
      </c>
      <c r="D400" s="97">
        <f>SUM(D395:D399)</f>
        <v>2729064</v>
      </c>
      <c r="E400" s="97">
        <f t="shared" ref="E400:O400" si="89">SUM(E395:E399)</f>
        <v>0</v>
      </c>
      <c r="F400" s="97">
        <f t="shared" si="89"/>
        <v>0</v>
      </c>
      <c r="G400" s="97">
        <f t="shared" si="89"/>
        <v>0</v>
      </c>
      <c r="H400" s="97">
        <f t="shared" si="89"/>
        <v>0</v>
      </c>
      <c r="I400" s="97">
        <f t="shared" si="89"/>
        <v>0</v>
      </c>
      <c r="J400" s="97">
        <f t="shared" si="89"/>
        <v>0</v>
      </c>
      <c r="K400" s="97">
        <f t="shared" si="89"/>
        <v>0</v>
      </c>
      <c r="L400" s="97">
        <f t="shared" si="89"/>
        <v>0</v>
      </c>
      <c r="M400" s="97">
        <f t="shared" si="89"/>
        <v>2729064</v>
      </c>
      <c r="N400" s="49">
        <f t="shared" si="89"/>
        <v>1076796</v>
      </c>
      <c r="O400" s="26">
        <f t="shared" si="89"/>
        <v>1652268</v>
      </c>
    </row>
    <row r="401" spans="1:15" x14ac:dyDescent="0.3">
      <c r="A401" s="177"/>
      <c r="B401" s="199"/>
      <c r="C401" s="57" t="s">
        <v>42</v>
      </c>
      <c r="D401" s="98">
        <v>492586</v>
      </c>
      <c r="E401" s="98"/>
      <c r="F401" s="98"/>
      <c r="G401" s="98"/>
      <c r="H401" s="98"/>
      <c r="I401" s="98"/>
      <c r="J401" s="98"/>
      <c r="K401" s="98"/>
      <c r="L401" s="98"/>
      <c r="M401" s="99">
        <f>D401+E401+F401+G401+H401+J401</f>
        <v>492586</v>
      </c>
      <c r="N401" s="133">
        <v>192650</v>
      </c>
      <c r="O401" s="55">
        <f t="shared" ref="O401:O412" si="90">M401-N401</f>
        <v>299936</v>
      </c>
    </row>
    <row r="402" spans="1:15" x14ac:dyDescent="0.3">
      <c r="A402" s="177"/>
      <c r="B402" s="199"/>
      <c r="C402" s="2" t="s">
        <v>43</v>
      </c>
      <c r="D402" s="24">
        <v>30000</v>
      </c>
      <c r="E402" s="24"/>
      <c r="F402" s="24"/>
      <c r="G402" s="24"/>
      <c r="H402" s="24"/>
      <c r="I402" s="24"/>
      <c r="J402" s="24"/>
      <c r="K402" s="24"/>
      <c r="L402" s="24"/>
      <c r="M402" s="24">
        <f t="shared" ref="M402:M412" si="91">D402+E402+F402+G402+H402+J402+I402</f>
        <v>30000</v>
      </c>
      <c r="N402" s="33">
        <v>0</v>
      </c>
      <c r="O402" s="14">
        <f t="shared" si="90"/>
        <v>30000</v>
      </c>
    </row>
    <row r="403" spans="1:15" x14ac:dyDescent="0.3">
      <c r="A403" s="177"/>
      <c r="B403" s="199"/>
      <c r="C403" s="2" t="s">
        <v>53</v>
      </c>
      <c r="D403" s="24">
        <v>40000</v>
      </c>
      <c r="E403" s="24"/>
      <c r="F403" s="24"/>
      <c r="G403" s="24"/>
      <c r="H403" s="24"/>
      <c r="I403" s="24"/>
      <c r="J403" s="24"/>
      <c r="K403" s="24"/>
      <c r="L403" s="24"/>
      <c r="M403" s="24">
        <f t="shared" si="91"/>
        <v>40000</v>
      </c>
      <c r="N403" s="33">
        <v>0</v>
      </c>
      <c r="O403" s="21">
        <f t="shared" si="90"/>
        <v>40000</v>
      </c>
    </row>
    <row r="404" spans="1:15" x14ac:dyDescent="0.3">
      <c r="A404" s="177"/>
      <c r="B404" s="199"/>
      <c r="C404" s="30" t="s">
        <v>55</v>
      </c>
      <c r="D404" s="24">
        <v>81868</v>
      </c>
      <c r="E404" s="24"/>
      <c r="F404" s="24"/>
      <c r="G404" s="24"/>
      <c r="H404" s="24"/>
      <c r="I404" s="24"/>
      <c r="J404" s="24"/>
      <c r="K404" s="24"/>
      <c r="L404" s="24"/>
      <c r="M404" s="24">
        <f t="shared" si="91"/>
        <v>81868</v>
      </c>
      <c r="N404" s="33">
        <v>32987</v>
      </c>
      <c r="O404" s="33">
        <f t="shared" si="90"/>
        <v>48881</v>
      </c>
    </row>
    <row r="405" spans="1:15" x14ac:dyDescent="0.3">
      <c r="A405" s="177"/>
      <c r="B405" s="199"/>
      <c r="C405" s="30" t="s">
        <v>56</v>
      </c>
      <c r="D405" s="24">
        <v>0</v>
      </c>
      <c r="E405" s="24"/>
      <c r="F405" s="24"/>
      <c r="G405" s="24"/>
      <c r="H405" s="24"/>
      <c r="I405" s="24"/>
      <c r="J405" s="24"/>
      <c r="K405" s="24"/>
      <c r="L405" s="24"/>
      <c r="M405" s="24">
        <f t="shared" si="91"/>
        <v>0</v>
      </c>
      <c r="N405" s="33">
        <v>0</v>
      </c>
      <c r="O405" s="33">
        <f t="shared" si="90"/>
        <v>0</v>
      </c>
    </row>
    <row r="406" spans="1:15" x14ac:dyDescent="0.3">
      <c r="A406" s="177"/>
      <c r="B406" s="199"/>
      <c r="C406" s="2" t="s">
        <v>62</v>
      </c>
      <c r="D406" s="24">
        <v>72000</v>
      </c>
      <c r="E406" s="24"/>
      <c r="F406" s="24"/>
      <c r="G406" s="24">
        <v>-19685</v>
      </c>
      <c r="H406" s="24"/>
      <c r="I406" s="24"/>
      <c r="J406" s="24"/>
      <c r="K406" s="24"/>
      <c r="L406" s="24"/>
      <c r="M406" s="24">
        <f t="shared" si="91"/>
        <v>52315</v>
      </c>
      <c r="N406" s="33">
        <v>0</v>
      </c>
      <c r="O406" s="14">
        <f t="shared" si="90"/>
        <v>52315</v>
      </c>
    </row>
    <row r="407" spans="1:15" x14ac:dyDescent="0.3">
      <c r="A407" s="177"/>
      <c r="B407" s="199"/>
      <c r="C407" s="2" t="s">
        <v>57</v>
      </c>
      <c r="D407" s="24">
        <v>5000</v>
      </c>
      <c r="E407" s="24"/>
      <c r="F407" s="24"/>
      <c r="G407" s="24"/>
      <c r="H407" s="24"/>
      <c r="I407" s="24"/>
      <c r="J407" s="24"/>
      <c r="K407" s="24"/>
      <c r="L407" s="24"/>
      <c r="M407" s="24">
        <f t="shared" si="91"/>
        <v>5000</v>
      </c>
      <c r="N407" s="33">
        <v>0</v>
      </c>
      <c r="O407" s="14">
        <f t="shared" si="90"/>
        <v>5000</v>
      </c>
    </row>
    <row r="408" spans="1:15" x14ac:dyDescent="0.3">
      <c r="A408" s="177"/>
      <c r="B408" s="199"/>
      <c r="C408" s="2" t="s">
        <v>44</v>
      </c>
      <c r="D408" s="24">
        <v>8400</v>
      </c>
      <c r="E408" s="24"/>
      <c r="F408" s="28"/>
      <c r="G408" s="24"/>
      <c r="H408" s="24"/>
      <c r="I408" s="24"/>
      <c r="J408" s="24"/>
      <c r="K408" s="24"/>
      <c r="L408" s="24"/>
      <c r="M408" s="24">
        <f t="shared" si="91"/>
        <v>8400</v>
      </c>
      <c r="N408" s="33">
        <v>2100</v>
      </c>
      <c r="O408" s="14">
        <f t="shared" si="90"/>
        <v>6300</v>
      </c>
    </row>
    <row r="409" spans="1:15" x14ac:dyDescent="0.3">
      <c r="A409" s="177"/>
      <c r="B409" s="199"/>
      <c r="C409" s="2" t="s">
        <v>58</v>
      </c>
      <c r="D409" s="24">
        <v>0</v>
      </c>
      <c r="E409" s="24"/>
      <c r="F409" s="28"/>
      <c r="G409" s="24"/>
      <c r="H409" s="24"/>
      <c r="I409" s="24"/>
      <c r="J409" s="24"/>
      <c r="K409" s="24"/>
      <c r="L409" s="24"/>
      <c r="M409" s="24">
        <f t="shared" si="91"/>
        <v>0</v>
      </c>
      <c r="N409" s="33">
        <v>0</v>
      </c>
      <c r="O409" s="14">
        <f t="shared" si="90"/>
        <v>0</v>
      </c>
    </row>
    <row r="410" spans="1:15" x14ac:dyDescent="0.3">
      <c r="A410" s="177"/>
      <c r="B410" s="199"/>
      <c r="C410" s="2" t="s">
        <v>59</v>
      </c>
      <c r="D410" s="24">
        <v>15000</v>
      </c>
      <c r="E410" s="24"/>
      <c r="F410" s="28"/>
      <c r="G410" s="24"/>
      <c r="H410" s="24"/>
      <c r="I410" s="24"/>
      <c r="J410" s="24"/>
      <c r="K410" s="24"/>
      <c r="L410" s="24"/>
      <c r="M410" s="24">
        <f t="shared" si="91"/>
        <v>15000</v>
      </c>
      <c r="N410" s="33">
        <v>6262</v>
      </c>
      <c r="O410" s="14">
        <f t="shared" si="90"/>
        <v>8738</v>
      </c>
    </row>
    <row r="411" spans="1:15" x14ac:dyDescent="0.3">
      <c r="A411" s="177"/>
      <c r="B411" s="199"/>
      <c r="C411" s="2" t="s">
        <v>45</v>
      </c>
      <c r="D411" s="24">
        <v>36470</v>
      </c>
      <c r="E411" s="24"/>
      <c r="F411" s="28"/>
      <c r="G411" s="24">
        <v>-5315</v>
      </c>
      <c r="H411" s="24"/>
      <c r="I411" s="24"/>
      <c r="J411" s="24"/>
      <c r="K411" s="24"/>
      <c r="L411" s="24"/>
      <c r="M411" s="24">
        <f t="shared" si="91"/>
        <v>31155</v>
      </c>
      <c r="N411" s="33">
        <v>6760</v>
      </c>
      <c r="O411" s="21">
        <f t="shared" si="90"/>
        <v>24395</v>
      </c>
    </row>
    <row r="412" spans="1:15" x14ac:dyDescent="0.3">
      <c r="A412" s="177"/>
      <c r="B412" s="199"/>
      <c r="C412" s="2" t="s">
        <v>60</v>
      </c>
      <c r="D412" s="24">
        <v>0</v>
      </c>
      <c r="E412" s="24"/>
      <c r="F412" s="28"/>
      <c r="G412" s="24"/>
      <c r="H412" s="24"/>
      <c r="I412" s="24"/>
      <c r="J412" s="24"/>
      <c r="K412" s="24"/>
      <c r="L412" s="24"/>
      <c r="M412" s="24">
        <f t="shared" si="91"/>
        <v>0</v>
      </c>
      <c r="N412" s="33">
        <v>0</v>
      </c>
      <c r="O412" s="14">
        <f t="shared" si="90"/>
        <v>0</v>
      </c>
    </row>
    <row r="413" spans="1:15" x14ac:dyDescent="0.3">
      <c r="A413" s="177"/>
      <c r="B413" s="199"/>
      <c r="C413" s="6" t="s">
        <v>46</v>
      </c>
      <c r="D413" s="97">
        <f>SUM(D402:D412)</f>
        <v>288738</v>
      </c>
      <c r="E413" s="97">
        <f t="shared" ref="E413:O413" si="92">SUM(E402:E412)</f>
        <v>0</v>
      </c>
      <c r="F413" s="97">
        <f t="shared" si="92"/>
        <v>0</v>
      </c>
      <c r="G413" s="97">
        <f t="shared" si="92"/>
        <v>-25000</v>
      </c>
      <c r="H413" s="97">
        <f t="shared" si="92"/>
        <v>0</v>
      </c>
      <c r="I413" s="97">
        <f t="shared" si="92"/>
        <v>0</v>
      </c>
      <c r="J413" s="97">
        <f t="shared" si="92"/>
        <v>0</v>
      </c>
      <c r="K413" s="97">
        <f t="shared" si="92"/>
        <v>0</v>
      </c>
      <c r="L413" s="97">
        <f t="shared" si="92"/>
        <v>0</v>
      </c>
      <c r="M413" s="97">
        <f t="shared" si="92"/>
        <v>263738</v>
      </c>
      <c r="N413" s="49">
        <f t="shared" si="92"/>
        <v>48109</v>
      </c>
      <c r="O413" s="26">
        <f t="shared" si="92"/>
        <v>215629</v>
      </c>
    </row>
    <row r="414" spans="1:15" x14ac:dyDescent="0.3">
      <c r="A414" s="177"/>
      <c r="B414" s="199"/>
      <c r="C414" s="2" t="s">
        <v>112</v>
      </c>
      <c r="D414" s="24">
        <v>0</v>
      </c>
      <c r="E414" s="24"/>
      <c r="F414" s="24"/>
      <c r="G414" s="24"/>
      <c r="H414" s="24"/>
      <c r="I414" s="24"/>
      <c r="J414" s="24"/>
      <c r="K414" s="24"/>
      <c r="L414" s="24"/>
      <c r="M414" s="24">
        <f>D414+E414+F414+G414+H414+J414+I414</f>
        <v>0</v>
      </c>
      <c r="N414" s="33">
        <v>0</v>
      </c>
      <c r="O414" s="14">
        <f t="shared" ref="O414:O415" si="93">M414-N414</f>
        <v>0</v>
      </c>
    </row>
    <row r="415" spans="1:15" x14ac:dyDescent="0.3">
      <c r="A415" s="177"/>
      <c r="B415" s="199"/>
      <c r="C415" s="2" t="s">
        <v>113</v>
      </c>
      <c r="D415" s="24">
        <v>0</v>
      </c>
      <c r="E415" s="24"/>
      <c r="F415" s="24"/>
      <c r="G415" s="24"/>
      <c r="H415" s="24"/>
      <c r="I415" s="24"/>
      <c r="J415" s="24"/>
      <c r="K415" s="24"/>
      <c r="L415" s="24"/>
      <c r="M415" s="24">
        <f>D415+E415+F415+G415+H415+J415+I415</f>
        <v>0</v>
      </c>
      <c r="N415" s="33">
        <v>0</v>
      </c>
      <c r="O415" s="14">
        <f t="shared" si="93"/>
        <v>0</v>
      </c>
    </row>
    <row r="416" spans="1:15" x14ac:dyDescent="0.3">
      <c r="A416" s="177"/>
      <c r="B416" s="181"/>
      <c r="C416" s="6" t="s">
        <v>114</v>
      </c>
      <c r="D416" s="97">
        <f>SUM(D414:D415)</f>
        <v>0</v>
      </c>
      <c r="E416" s="97">
        <f t="shared" ref="E416:O416" si="94">SUM(E414:E415)</f>
        <v>0</v>
      </c>
      <c r="F416" s="97">
        <f t="shared" si="94"/>
        <v>0</v>
      </c>
      <c r="G416" s="97">
        <f t="shared" si="94"/>
        <v>0</v>
      </c>
      <c r="H416" s="97">
        <f t="shared" si="94"/>
        <v>0</v>
      </c>
      <c r="I416" s="97">
        <f t="shared" si="94"/>
        <v>0</v>
      </c>
      <c r="J416" s="97">
        <f t="shared" si="94"/>
        <v>0</v>
      </c>
      <c r="K416" s="97">
        <f t="shared" si="94"/>
        <v>0</v>
      </c>
      <c r="L416" s="97">
        <f t="shared" si="94"/>
        <v>0</v>
      </c>
      <c r="M416" s="97">
        <f t="shared" si="94"/>
        <v>0</v>
      </c>
      <c r="N416" s="49">
        <f t="shared" si="94"/>
        <v>0</v>
      </c>
      <c r="O416" s="26">
        <f t="shared" si="94"/>
        <v>0</v>
      </c>
    </row>
    <row r="417" spans="1:16" x14ac:dyDescent="0.3">
      <c r="A417" s="198" t="s">
        <v>92</v>
      </c>
      <c r="B417" s="180" t="s">
        <v>18</v>
      </c>
      <c r="C417" s="2" t="s">
        <v>40</v>
      </c>
      <c r="D417" s="24">
        <v>82800</v>
      </c>
      <c r="E417" s="24"/>
      <c r="F417" s="24">
        <v>139326</v>
      </c>
      <c r="G417" s="24"/>
      <c r="H417" s="24"/>
      <c r="I417" s="24"/>
      <c r="J417" s="24"/>
      <c r="K417" s="24"/>
      <c r="L417" s="24"/>
      <c r="M417" s="24">
        <f>D417+E417+F417+G417+H417+J417+I417+K417</f>
        <v>222126</v>
      </c>
      <c r="N417" s="33">
        <v>85164</v>
      </c>
      <c r="O417" s="14">
        <f t="shared" ref="O417:O418" si="95">M417-N417</f>
        <v>136962</v>
      </c>
    </row>
    <row r="418" spans="1:16" x14ac:dyDescent="0.3">
      <c r="A418" s="196"/>
      <c r="B418" s="181"/>
      <c r="C418" s="2" t="s">
        <v>42</v>
      </c>
      <c r="D418" s="24">
        <v>14490</v>
      </c>
      <c r="E418" s="24"/>
      <c r="F418" s="24">
        <v>22425</v>
      </c>
      <c r="G418" s="24"/>
      <c r="H418" s="24"/>
      <c r="I418" s="24"/>
      <c r="J418" s="24"/>
      <c r="K418" s="24"/>
      <c r="L418" s="24"/>
      <c r="M418" s="24">
        <f>D418+E418+F418+G418+H418+J418+I418+K418</f>
        <v>36915</v>
      </c>
      <c r="N418" s="33">
        <v>14904</v>
      </c>
      <c r="O418" s="14">
        <f t="shared" si="95"/>
        <v>22011</v>
      </c>
    </row>
    <row r="419" spans="1:16" x14ac:dyDescent="0.3">
      <c r="A419" s="212" t="s">
        <v>120</v>
      </c>
      <c r="B419" s="213"/>
      <c r="C419" s="214"/>
      <c r="D419" s="115">
        <f>SUM(D385+D388+D389+D394+D400+D401+D413+D416+D417+D418)</f>
        <v>4671645</v>
      </c>
      <c r="E419" s="101">
        <f t="shared" ref="E419:G419" si="96">SUM(E388,E389,E394,E400,E401,E413,E416,E417,E418,E385)</f>
        <v>0</v>
      </c>
      <c r="F419" s="101">
        <f t="shared" si="96"/>
        <v>161751</v>
      </c>
      <c r="G419" s="101">
        <f t="shared" si="96"/>
        <v>-25000</v>
      </c>
      <c r="H419" s="101">
        <f>SUM(H388,H389,H394,H400,H401,H413,H416,H417,H418,H385)</f>
        <v>0</v>
      </c>
      <c r="I419" s="101">
        <f>SUM(I388,I389,I394,I400,I401,I413,I416,I417,I418,I385)</f>
        <v>0</v>
      </c>
      <c r="J419" s="101">
        <f>SUM(J388,J389,J394,J400,J401,J413,J416,J417,J418,J385)</f>
        <v>0</v>
      </c>
      <c r="K419" s="101">
        <f t="shared" ref="K419:L419" si="97">SUM(K388,K389,K394,K400,K401,K413,K416,K417,K418,K385)</f>
        <v>0</v>
      </c>
      <c r="L419" s="101">
        <f t="shared" si="97"/>
        <v>0</v>
      </c>
      <c r="M419" s="101">
        <f t="shared" ref="M419:O419" si="98">SUM(M388,M389,M394,M400,M401,M413,M416,M417,M418,M385)</f>
        <v>4808396</v>
      </c>
      <c r="N419" s="135">
        <f>SUM(N388,N389,N394,N400,N401,N413,N416,N417,N418,N385)</f>
        <v>1860943</v>
      </c>
      <c r="O419" s="59">
        <f t="shared" si="98"/>
        <v>2947453</v>
      </c>
    </row>
    <row r="420" spans="1:16" x14ac:dyDescent="0.3">
      <c r="A420" s="177" t="s">
        <v>70</v>
      </c>
      <c r="B420" s="180" t="s">
        <v>71</v>
      </c>
      <c r="C420" s="30" t="s">
        <v>49</v>
      </c>
      <c r="D420" s="24">
        <v>72000</v>
      </c>
      <c r="E420" s="24"/>
      <c r="F420" s="24"/>
      <c r="G420" s="24"/>
      <c r="H420" s="24"/>
      <c r="I420" s="24"/>
      <c r="J420" s="24"/>
      <c r="K420" s="24"/>
      <c r="L420" s="24"/>
      <c r="M420" s="24">
        <f>D420+E420+F420+G420+H420+J420+I420</f>
        <v>72000</v>
      </c>
      <c r="N420" s="33">
        <v>11880</v>
      </c>
      <c r="O420" s="21">
        <f t="shared" ref="O420:O422" si="99">M420-N420</f>
        <v>60120</v>
      </c>
    </row>
    <row r="421" spans="1:16" x14ac:dyDescent="0.3">
      <c r="A421" s="177"/>
      <c r="B421" s="199"/>
      <c r="C421" s="2" t="s">
        <v>40</v>
      </c>
      <c r="D421" s="24">
        <v>978360</v>
      </c>
      <c r="E421" s="24"/>
      <c r="F421" s="24"/>
      <c r="G421" s="24"/>
      <c r="H421" s="24"/>
      <c r="I421" s="24"/>
      <c r="J421" s="24"/>
      <c r="K421" s="24"/>
      <c r="L421" s="24"/>
      <c r="M421" s="24">
        <f>D421+E421+F421+G421+H421+J421+I421</f>
        <v>978360</v>
      </c>
      <c r="N421" s="33">
        <v>407650</v>
      </c>
      <c r="O421" s="14">
        <f t="shared" si="99"/>
        <v>570710</v>
      </c>
    </row>
    <row r="422" spans="1:16" x14ac:dyDescent="0.3">
      <c r="A422" s="177"/>
      <c r="B422" s="199"/>
      <c r="C422" s="2" t="s">
        <v>51</v>
      </c>
      <c r="D422" s="24">
        <v>0</v>
      </c>
      <c r="E422" s="24"/>
      <c r="F422" s="24"/>
      <c r="G422" s="24"/>
      <c r="H422" s="24"/>
      <c r="I422" s="24"/>
      <c r="J422" s="24"/>
      <c r="K422" s="24"/>
      <c r="L422" s="24"/>
      <c r="M422" s="24">
        <f>D422+E422+F422+G422+H422+J422+I422</f>
        <v>0</v>
      </c>
      <c r="N422" s="33">
        <v>0</v>
      </c>
      <c r="O422" s="14">
        <f t="shared" si="99"/>
        <v>0</v>
      </c>
    </row>
    <row r="423" spans="1:16" x14ac:dyDescent="0.3">
      <c r="A423" s="177"/>
      <c r="B423" s="199"/>
      <c r="C423" s="6" t="s">
        <v>41</v>
      </c>
      <c r="D423" s="97">
        <f>SUM(D420:D422)</f>
        <v>1050360</v>
      </c>
      <c r="E423" s="97">
        <f t="shared" ref="E423:L423" si="100">SUM(E420:E422)</f>
        <v>0</v>
      </c>
      <c r="F423" s="97">
        <f t="shared" si="100"/>
        <v>0</v>
      </c>
      <c r="G423" s="97">
        <f t="shared" si="100"/>
        <v>0</v>
      </c>
      <c r="H423" s="97">
        <f t="shared" si="100"/>
        <v>0</v>
      </c>
      <c r="I423" s="97">
        <f t="shared" si="100"/>
        <v>0</v>
      </c>
      <c r="J423" s="97">
        <f t="shared" si="100"/>
        <v>0</v>
      </c>
      <c r="K423" s="97">
        <f t="shared" si="100"/>
        <v>0</v>
      </c>
      <c r="L423" s="97">
        <f t="shared" si="100"/>
        <v>0</v>
      </c>
      <c r="M423" s="97">
        <f>SUM(M420:M422)</f>
        <v>1050360</v>
      </c>
      <c r="N423" s="49">
        <f t="shared" ref="N423:O423" si="101">SUM(N420:N422)</f>
        <v>419530</v>
      </c>
      <c r="O423" s="26">
        <f t="shared" si="101"/>
        <v>630830</v>
      </c>
    </row>
    <row r="424" spans="1:16" x14ac:dyDescent="0.3">
      <c r="A424" s="177"/>
      <c r="B424" s="199"/>
      <c r="C424" s="57" t="s">
        <v>42</v>
      </c>
      <c r="D424" s="98">
        <v>85607</v>
      </c>
      <c r="E424" s="98"/>
      <c r="F424" s="98"/>
      <c r="G424" s="98"/>
      <c r="H424" s="98"/>
      <c r="I424" s="98"/>
      <c r="J424" s="98"/>
      <c r="K424" s="98"/>
      <c r="L424" s="98"/>
      <c r="M424" s="99">
        <f>D424+E424+F424+G424+H424+J424</f>
        <v>85607</v>
      </c>
      <c r="N424" s="133">
        <v>35672</v>
      </c>
      <c r="O424" s="55">
        <f t="shared" ref="O424:O428" si="102">M424-N424</f>
        <v>49935</v>
      </c>
    </row>
    <row r="425" spans="1:16" x14ac:dyDescent="0.3">
      <c r="A425" s="177"/>
      <c r="B425" s="199"/>
      <c r="C425" s="2" t="s">
        <v>43</v>
      </c>
      <c r="D425" s="24">
        <v>0</v>
      </c>
      <c r="E425" s="24"/>
      <c r="F425" s="24"/>
      <c r="G425" s="24"/>
      <c r="H425" s="24"/>
      <c r="I425" s="24"/>
      <c r="J425" s="24"/>
      <c r="K425" s="24"/>
      <c r="L425" s="24"/>
      <c r="M425" s="24">
        <f>D425+E425+F425+G425+H425+J425+I425</f>
        <v>0</v>
      </c>
      <c r="N425" s="33">
        <v>0</v>
      </c>
      <c r="O425" s="32">
        <f t="shared" si="102"/>
        <v>0</v>
      </c>
    </row>
    <row r="426" spans="1:16" x14ac:dyDescent="0.3">
      <c r="A426" s="177"/>
      <c r="B426" s="199"/>
      <c r="C426" s="2" t="s">
        <v>53</v>
      </c>
      <c r="D426" s="24">
        <v>0</v>
      </c>
      <c r="E426" s="24"/>
      <c r="F426" s="24"/>
      <c r="G426" s="24"/>
      <c r="H426" s="24"/>
      <c r="I426" s="24"/>
      <c r="J426" s="24"/>
      <c r="K426" s="24"/>
      <c r="L426" s="24"/>
      <c r="M426" s="24">
        <f>D426+E426+F426+G426+H426+J426+I426</f>
        <v>0</v>
      </c>
      <c r="N426" s="33">
        <v>0</v>
      </c>
      <c r="O426" s="32">
        <f t="shared" si="102"/>
        <v>0</v>
      </c>
    </row>
    <row r="427" spans="1:16" x14ac:dyDescent="0.3">
      <c r="A427" s="177"/>
      <c r="B427" s="199"/>
      <c r="C427" s="2" t="s">
        <v>44</v>
      </c>
      <c r="D427" s="24">
        <v>0</v>
      </c>
      <c r="E427" s="24"/>
      <c r="F427" s="24"/>
      <c r="G427" s="24"/>
      <c r="H427" s="24"/>
      <c r="I427" s="24"/>
      <c r="J427" s="24"/>
      <c r="K427" s="24"/>
      <c r="L427" s="24"/>
      <c r="M427" s="24">
        <f>D427+E427+F427+G427+H427+J427+I427</f>
        <v>0</v>
      </c>
      <c r="N427" s="33">
        <v>0</v>
      </c>
      <c r="O427" s="32">
        <f t="shared" si="102"/>
        <v>0</v>
      </c>
      <c r="P427" s="53"/>
    </row>
    <row r="428" spans="1:16" x14ac:dyDescent="0.3">
      <c r="A428" s="177"/>
      <c r="B428" s="199"/>
      <c r="C428" s="2" t="s">
        <v>45</v>
      </c>
      <c r="D428" s="24">
        <v>0</v>
      </c>
      <c r="E428" s="24"/>
      <c r="F428" s="24"/>
      <c r="G428" s="24"/>
      <c r="H428" s="24"/>
      <c r="I428" s="24"/>
      <c r="J428" s="24"/>
      <c r="K428" s="24"/>
      <c r="L428" s="24"/>
      <c r="M428" s="24">
        <f>D428+E428+F428+G428+H428+J428+I428</f>
        <v>0</v>
      </c>
      <c r="N428" s="33">
        <v>0</v>
      </c>
      <c r="O428" s="32">
        <f t="shared" si="102"/>
        <v>0</v>
      </c>
      <c r="P428" s="53"/>
    </row>
    <row r="429" spans="1:16" x14ac:dyDescent="0.3">
      <c r="A429" s="177"/>
      <c r="B429" s="181"/>
      <c r="C429" s="6" t="s">
        <v>46</v>
      </c>
      <c r="D429" s="97">
        <f>SUM(D425:D428)</f>
        <v>0</v>
      </c>
      <c r="E429" s="97">
        <f t="shared" ref="E429:O429" si="103">SUM(E425:E428)</f>
        <v>0</v>
      </c>
      <c r="F429" s="97">
        <f t="shared" si="103"/>
        <v>0</v>
      </c>
      <c r="G429" s="97">
        <f t="shared" si="103"/>
        <v>0</v>
      </c>
      <c r="H429" s="97">
        <f t="shared" si="103"/>
        <v>0</v>
      </c>
      <c r="I429" s="97">
        <f t="shared" si="103"/>
        <v>0</v>
      </c>
      <c r="J429" s="97">
        <f t="shared" si="103"/>
        <v>0</v>
      </c>
      <c r="K429" s="97">
        <f t="shared" si="103"/>
        <v>0</v>
      </c>
      <c r="L429" s="97">
        <f t="shared" si="103"/>
        <v>0</v>
      </c>
      <c r="M429" s="97">
        <f t="shared" si="103"/>
        <v>0</v>
      </c>
      <c r="N429" s="49">
        <f t="shared" si="103"/>
        <v>0</v>
      </c>
      <c r="O429" s="34">
        <f t="shared" si="103"/>
        <v>0</v>
      </c>
      <c r="P429" s="53"/>
    </row>
    <row r="430" spans="1:16" x14ac:dyDescent="0.3">
      <c r="A430" s="177"/>
      <c r="B430" s="179" t="s">
        <v>18</v>
      </c>
      <c r="C430" s="2" t="s">
        <v>40</v>
      </c>
      <c r="D430" s="24">
        <v>3635095</v>
      </c>
      <c r="E430" s="51">
        <v>-68871</v>
      </c>
      <c r="F430" s="24"/>
      <c r="G430" s="24"/>
      <c r="H430" s="24"/>
      <c r="I430" s="24"/>
      <c r="J430" s="24"/>
      <c r="K430" s="24"/>
      <c r="L430" s="24"/>
      <c r="M430" s="24">
        <f t="shared" ref="M430:M435" si="104">D430+E430+F430+G430+H430+J430+I430</f>
        <v>3566224</v>
      </c>
      <c r="N430" s="33">
        <v>1551374</v>
      </c>
      <c r="O430" s="33">
        <f t="shared" ref="O430:O435" si="105">M430-N430</f>
        <v>2014850</v>
      </c>
      <c r="P430" s="53"/>
    </row>
    <row r="431" spans="1:16" x14ac:dyDescent="0.3">
      <c r="A431" s="177"/>
      <c r="B431" s="179"/>
      <c r="C431" s="2" t="s">
        <v>47</v>
      </c>
      <c r="D431" s="24">
        <v>100000</v>
      </c>
      <c r="E431" s="28"/>
      <c r="F431" s="24"/>
      <c r="G431" s="24"/>
      <c r="H431" s="24"/>
      <c r="I431" s="24"/>
      <c r="J431" s="24"/>
      <c r="K431" s="24"/>
      <c r="L431" s="24"/>
      <c r="M431" s="24">
        <f t="shared" si="104"/>
        <v>100000</v>
      </c>
      <c r="N431" s="33">
        <v>0</v>
      </c>
      <c r="O431" s="14">
        <f t="shared" si="105"/>
        <v>100000</v>
      </c>
      <c r="P431" s="53"/>
    </row>
    <row r="432" spans="1:16" x14ac:dyDescent="0.3">
      <c r="A432" s="177"/>
      <c r="B432" s="179"/>
      <c r="C432" s="2" t="s">
        <v>48</v>
      </c>
      <c r="D432" s="24">
        <v>5000</v>
      </c>
      <c r="E432" s="28"/>
      <c r="F432" s="24"/>
      <c r="G432" s="24"/>
      <c r="H432" s="24"/>
      <c r="I432" s="24"/>
      <c r="J432" s="24"/>
      <c r="K432" s="24"/>
      <c r="L432" s="24"/>
      <c r="M432" s="24">
        <f t="shared" si="104"/>
        <v>5000</v>
      </c>
      <c r="N432" s="33">
        <v>0</v>
      </c>
      <c r="O432" s="14">
        <f t="shared" si="105"/>
        <v>5000</v>
      </c>
      <c r="P432" s="53"/>
    </row>
    <row r="433" spans="1:16" x14ac:dyDescent="0.3">
      <c r="A433" s="177"/>
      <c r="B433" s="179"/>
      <c r="C433" s="2" t="s">
        <v>49</v>
      </c>
      <c r="D433" s="24">
        <v>125000</v>
      </c>
      <c r="E433" s="28"/>
      <c r="F433" s="24"/>
      <c r="G433" s="24"/>
      <c r="H433" s="24"/>
      <c r="I433" s="24"/>
      <c r="J433" s="24"/>
      <c r="K433" s="24"/>
      <c r="L433" s="24"/>
      <c r="M433" s="24">
        <f t="shared" si="104"/>
        <v>125000</v>
      </c>
      <c r="N433" s="33">
        <v>10234</v>
      </c>
      <c r="O433" s="32">
        <f t="shared" si="105"/>
        <v>114766</v>
      </c>
      <c r="P433" s="53"/>
    </row>
    <row r="434" spans="1:16" x14ac:dyDescent="0.3">
      <c r="A434" s="177"/>
      <c r="B434" s="179"/>
      <c r="C434" s="2" t="s">
        <v>50</v>
      </c>
      <c r="D434" s="24">
        <v>12000</v>
      </c>
      <c r="E434" s="24"/>
      <c r="F434" s="24"/>
      <c r="G434" s="24"/>
      <c r="H434" s="24"/>
      <c r="I434" s="24"/>
      <c r="J434" s="24"/>
      <c r="K434" s="24"/>
      <c r="L434" s="24"/>
      <c r="M434" s="24">
        <f t="shared" si="104"/>
        <v>12000</v>
      </c>
      <c r="N434" s="33">
        <v>0</v>
      </c>
      <c r="O434" s="14">
        <f t="shared" si="105"/>
        <v>12000</v>
      </c>
      <c r="P434" s="53"/>
    </row>
    <row r="435" spans="1:16" x14ac:dyDescent="0.3">
      <c r="A435" s="177"/>
      <c r="B435" s="179"/>
      <c r="C435" s="2" t="s">
        <v>51</v>
      </c>
      <c r="D435" s="24">
        <v>0</v>
      </c>
      <c r="E435" s="28">
        <v>68871</v>
      </c>
      <c r="F435" s="24"/>
      <c r="G435" s="24"/>
      <c r="H435" s="24"/>
      <c r="I435" s="24"/>
      <c r="J435" s="24"/>
      <c r="K435" s="24"/>
      <c r="L435" s="24"/>
      <c r="M435" s="24">
        <f t="shared" si="104"/>
        <v>68871</v>
      </c>
      <c r="N435" s="33">
        <v>68871</v>
      </c>
      <c r="O435" s="21">
        <f t="shared" si="105"/>
        <v>0</v>
      </c>
      <c r="P435" s="53"/>
    </row>
    <row r="436" spans="1:16" x14ac:dyDescent="0.3">
      <c r="A436" s="177"/>
      <c r="B436" s="179"/>
      <c r="C436" s="6" t="s">
        <v>41</v>
      </c>
      <c r="D436" s="97">
        <f>SUM(D430:D435)</f>
        <v>3877095</v>
      </c>
      <c r="E436" s="97">
        <f t="shared" ref="E436:O436" si="106">SUM(E430:E435)</f>
        <v>0</v>
      </c>
      <c r="F436" s="97">
        <f t="shared" si="106"/>
        <v>0</v>
      </c>
      <c r="G436" s="97">
        <f t="shared" si="106"/>
        <v>0</v>
      </c>
      <c r="H436" s="97">
        <f t="shared" si="106"/>
        <v>0</v>
      </c>
      <c r="I436" s="97">
        <f t="shared" si="106"/>
        <v>0</v>
      </c>
      <c r="J436" s="97">
        <f t="shared" si="106"/>
        <v>0</v>
      </c>
      <c r="K436" s="97">
        <f t="shared" si="106"/>
        <v>0</v>
      </c>
      <c r="L436" s="97">
        <f t="shared" si="106"/>
        <v>0</v>
      </c>
      <c r="M436" s="97">
        <f t="shared" si="106"/>
        <v>3877095</v>
      </c>
      <c r="N436" s="49">
        <f t="shared" si="106"/>
        <v>1630479</v>
      </c>
      <c r="O436" s="26">
        <f t="shared" si="106"/>
        <v>2246616</v>
      </c>
      <c r="P436" s="53"/>
    </row>
    <row r="437" spans="1:16" x14ac:dyDescent="0.3">
      <c r="A437" s="177"/>
      <c r="B437" s="179"/>
      <c r="C437" s="57" t="s">
        <v>42</v>
      </c>
      <c r="D437" s="98">
        <v>671616</v>
      </c>
      <c r="E437" s="98"/>
      <c r="F437" s="98"/>
      <c r="G437" s="98"/>
      <c r="H437" s="98"/>
      <c r="I437" s="98"/>
      <c r="J437" s="98"/>
      <c r="K437" s="98"/>
      <c r="L437" s="98"/>
      <c r="M437" s="99">
        <f>D437+E437+F437+G437+H437+J437</f>
        <v>671616</v>
      </c>
      <c r="N437" s="133">
        <v>377151</v>
      </c>
      <c r="O437" s="55">
        <f t="shared" ref="O437:O448" si="107">M437-N437</f>
        <v>294465</v>
      </c>
      <c r="P437" s="53"/>
    </row>
    <row r="438" spans="1:16" x14ac:dyDescent="0.3">
      <c r="A438" s="177"/>
      <c r="B438" s="179"/>
      <c r="C438" s="2" t="s">
        <v>43</v>
      </c>
      <c r="D438" s="24">
        <v>35000</v>
      </c>
      <c r="E438" s="24"/>
      <c r="F438" s="24"/>
      <c r="G438" s="24"/>
      <c r="H438" s="24"/>
      <c r="I438" s="24"/>
      <c r="J438" s="24"/>
      <c r="K438" s="24"/>
      <c r="L438" s="24"/>
      <c r="M438" s="24">
        <f t="shared" ref="M438:M448" si="108">D438+E438+F438+G438+H438+J438+I438</f>
        <v>35000</v>
      </c>
      <c r="N438" s="33">
        <v>0</v>
      </c>
      <c r="O438" s="21">
        <f t="shared" si="107"/>
        <v>35000</v>
      </c>
      <c r="P438" s="53"/>
    </row>
    <row r="439" spans="1:16" x14ac:dyDescent="0.3">
      <c r="A439" s="177"/>
      <c r="B439" s="179"/>
      <c r="C439" s="2" t="s">
        <v>53</v>
      </c>
      <c r="D439" s="24">
        <v>10000</v>
      </c>
      <c r="E439" s="24"/>
      <c r="F439" s="24"/>
      <c r="G439" s="24"/>
      <c r="H439" s="24"/>
      <c r="I439" s="24"/>
      <c r="J439" s="24"/>
      <c r="K439" s="24"/>
      <c r="L439" s="24"/>
      <c r="M439" s="24">
        <f t="shared" si="108"/>
        <v>10000</v>
      </c>
      <c r="N439" s="33">
        <v>0</v>
      </c>
      <c r="O439" s="21">
        <f t="shared" si="107"/>
        <v>10000</v>
      </c>
    </row>
    <row r="440" spans="1:16" x14ac:dyDescent="0.3">
      <c r="A440" s="177"/>
      <c r="B440" s="179"/>
      <c r="C440" s="30" t="s">
        <v>55</v>
      </c>
      <c r="D440" s="24">
        <v>0</v>
      </c>
      <c r="E440" s="24"/>
      <c r="F440" s="24"/>
      <c r="G440" s="24"/>
      <c r="H440" s="24"/>
      <c r="I440" s="24"/>
      <c r="J440" s="24"/>
      <c r="K440" s="24"/>
      <c r="L440" s="24"/>
      <c r="M440" s="24">
        <f t="shared" si="108"/>
        <v>0</v>
      </c>
      <c r="N440" s="33">
        <v>0</v>
      </c>
      <c r="O440" s="33">
        <f t="shared" si="107"/>
        <v>0</v>
      </c>
    </row>
    <row r="441" spans="1:16" x14ac:dyDescent="0.3">
      <c r="A441" s="177"/>
      <c r="B441" s="179"/>
      <c r="C441" s="2" t="s">
        <v>56</v>
      </c>
      <c r="D441" s="24">
        <v>0</v>
      </c>
      <c r="E441" s="24"/>
      <c r="F441" s="24"/>
      <c r="G441" s="24"/>
      <c r="H441" s="24"/>
      <c r="I441" s="24"/>
      <c r="J441" s="24"/>
      <c r="K441" s="24"/>
      <c r="L441" s="24"/>
      <c r="M441" s="24">
        <f t="shared" si="108"/>
        <v>0</v>
      </c>
      <c r="N441" s="33">
        <v>0</v>
      </c>
      <c r="O441" s="14">
        <f t="shared" si="107"/>
        <v>0</v>
      </c>
    </row>
    <row r="442" spans="1:16" x14ac:dyDescent="0.3">
      <c r="A442" s="177"/>
      <c r="B442" s="179"/>
      <c r="C442" s="2" t="s">
        <v>62</v>
      </c>
      <c r="D442" s="24">
        <v>0</v>
      </c>
      <c r="E442" s="24"/>
      <c r="F442" s="24"/>
      <c r="G442" s="24"/>
      <c r="H442" s="24"/>
      <c r="I442" s="24"/>
      <c r="J442" s="24"/>
      <c r="K442" s="24"/>
      <c r="L442" s="24"/>
      <c r="M442" s="24">
        <f t="shared" si="108"/>
        <v>0</v>
      </c>
      <c r="N442" s="33">
        <v>0</v>
      </c>
      <c r="O442" s="14">
        <f t="shared" si="107"/>
        <v>0</v>
      </c>
    </row>
    <row r="443" spans="1:16" x14ac:dyDescent="0.3">
      <c r="A443" s="177"/>
      <c r="B443" s="179"/>
      <c r="C443" s="2" t="s">
        <v>57</v>
      </c>
      <c r="D443" s="24">
        <v>5000</v>
      </c>
      <c r="E443" s="28"/>
      <c r="F443" s="24"/>
      <c r="G443" s="24"/>
      <c r="H443" s="24"/>
      <c r="I443" s="24"/>
      <c r="J443" s="24"/>
      <c r="K443" s="24"/>
      <c r="L443" s="24"/>
      <c r="M443" s="24">
        <f t="shared" si="108"/>
        <v>5000</v>
      </c>
      <c r="N443" s="33">
        <v>0</v>
      </c>
      <c r="O443" s="14">
        <f t="shared" si="107"/>
        <v>5000</v>
      </c>
    </row>
    <row r="444" spans="1:16" x14ac:dyDescent="0.3">
      <c r="A444" s="177"/>
      <c r="B444" s="179"/>
      <c r="C444" s="2" t="s">
        <v>44</v>
      </c>
      <c r="D444" s="24">
        <v>8400</v>
      </c>
      <c r="E444" s="28"/>
      <c r="F444" s="24"/>
      <c r="G444" s="24"/>
      <c r="H444" s="24"/>
      <c r="I444" s="24"/>
      <c r="J444" s="24"/>
      <c r="K444" s="24"/>
      <c r="L444" s="24"/>
      <c r="M444" s="24">
        <f t="shared" si="108"/>
        <v>8400</v>
      </c>
      <c r="N444" s="33">
        <v>2100</v>
      </c>
      <c r="O444" s="14">
        <f t="shared" si="107"/>
        <v>6300</v>
      </c>
    </row>
    <row r="445" spans="1:16" x14ac:dyDescent="0.3">
      <c r="A445" s="177"/>
      <c r="B445" s="179"/>
      <c r="C445" s="2" t="s">
        <v>58</v>
      </c>
      <c r="D445" s="24">
        <v>0</v>
      </c>
      <c r="E445" s="28"/>
      <c r="F445" s="24"/>
      <c r="G445" s="24"/>
      <c r="H445" s="24"/>
      <c r="I445" s="24"/>
      <c r="J445" s="24"/>
      <c r="K445" s="24"/>
      <c r="L445" s="24">
        <f>-20000+20000</f>
        <v>0</v>
      </c>
      <c r="M445" s="24">
        <f t="shared" si="108"/>
        <v>0</v>
      </c>
      <c r="N445" s="33">
        <v>0</v>
      </c>
      <c r="O445" s="14">
        <f t="shared" si="107"/>
        <v>0</v>
      </c>
    </row>
    <row r="446" spans="1:16" x14ac:dyDescent="0.3">
      <c r="A446" s="177"/>
      <c r="B446" s="179"/>
      <c r="C446" s="2" t="s">
        <v>59</v>
      </c>
      <c r="D446" s="24">
        <v>3000</v>
      </c>
      <c r="E446" s="28"/>
      <c r="F446" s="24"/>
      <c r="G446" s="24"/>
      <c r="H446" s="24"/>
      <c r="I446" s="24"/>
      <c r="J446" s="24"/>
      <c r="K446" s="24"/>
      <c r="L446" s="24"/>
      <c r="M446" s="24">
        <f t="shared" si="108"/>
        <v>3000</v>
      </c>
      <c r="N446" s="33">
        <v>0</v>
      </c>
      <c r="O446" s="14">
        <f t="shared" si="107"/>
        <v>3000</v>
      </c>
    </row>
    <row r="447" spans="1:16" x14ac:dyDescent="0.3">
      <c r="A447" s="177"/>
      <c r="B447" s="179"/>
      <c r="C447" s="2" t="s">
        <v>45</v>
      </c>
      <c r="D447" s="24">
        <v>10200</v>
      </c>
      <c r="E447" s="28"/>
      <c r="F447" s="24"/>
      <c r="G447" s="24"/>
      <c r="H447" s="24"/>
      <c r="I447" s="24"/>
      <c r="J447" s="24"/>
      <c r="K447" s="24"/>
      <c r="L447" s="24"/>
      <c r="M447" s="24">
        <f t="shared" si="108"/>
        <v>10200</v>
      </c>
      <c r="N447" s="33">
        <v>0</v>
      </c>
      <c r="O447" s="21">
        <f t="shared" si="107"/>
        <v>10200</v>
      </c>
    </row>
    <row r="448" spans="1:16" x14ac:dyDescent="0.3">
      <c r="A448" s="177"/>
      <c r="B448" s="179"/>
      <c r="C448" s="2" t="s">
        <v>60</v>
      </c>
      <c r="D448" s="24">
        <v>0</v>
      </c>
      <c r="E448" s="28"/>
      <c r="F448" s="24"/>
      <c r="G448" s="24"/>
      <c r="H448" s="24"/>
      <c r="I448" s="24"/>
      <c r="J448" s="24"/>
      <c r="K448" s="24"/>
      <c r="L448" s="24"/>
      <c r="M448" s="24">
        <f t="shared" si="108"/>
        <v>0</v>
      </c>
      <c r="N448" s="33">
        <v>0</v>
      </c>
      <c r="O448" s="14">
        <f t="shared" si="107"/>
        <v>0</v>
      </c>
    </row>
    <row r="449" spans="1:16" x14ac:dyDescent="0.3">
      <c r="A449" s="177"/>
      <c r="B449" s="179"/>
      <c r="C449" s="6" t="s">
        <v>46</v>
      </c>
      <c r="D449" s="97">
        <f>SUM(D438:D448)</f>
        <v>71600</v>
      </c>
      <c r="E449" s="97">
        <f t="shared" ref="E449:O449" si="109">SUM(E438:E448)</f>
        <v>0</v>
      </c>
      <c r="F449" s="97">
        <f t="shared" si="109"/>
        <v>0</v>
      </c>
      <c r="G449" s="97">
        <f t="shared" si="109"/>
        <v>0</v>
      </c>
      <c r="H449" s="97">
        <f t="shared" si="109"/>
        <v>0</v>
      </c>
      <c r="I449" s="97">
        <f t="shared" si="109"/>
        <v>0</v>
      </c>
      <c r="J449" s="97">
        <f t="shared" si="109"/>
        <v>0</v>
      </c>
      <c r="K449" s="97">
        <f t="shared" si="109"/>
        <v>0</v>
      </c>
      <c r="L449" s="97">
        <f t="shared" si="109"/>
        <v>0</v>
      </c>
      <c r="M449" s="97">
        <f t="shared" si="109"/>
        <v>71600</v>
      </c>
      <c r="N449" s="49">
        <f t="shared" si="109"/>
        <v>2100</v>
      </c>
      <c r="O449" s="26">
        <f t="shared" si="109"/>
        <v>69500</v>
      </c>
    </row>
    <row r="450" spans="1:16" x14ac:dyDescent="0.3">
      <c r="A450" s="198" t="s">
        <v>93</v>
      </c>
      <c r="B450" s="180" t="s">
        <v>18</v>
      </c>
      <c r="C450" s="2" t="s">
        <v>40</v>
      </c>
      <c r="D450" s="24">
        <v>207399</v>
      </c>
      <c r="E450" s="24"/>
      <c r="F450" s="24">
        <v>155650</v>
      </c>
      <c r="G450" s="24"/>
      <c r="H450" s="24"/>
      <c r="I450" s="24"/>
      <c r="J450" s="24"/>
      <c r="K450" s="24"/>
      <c r="L450" s="24"/>
      <c r="M450" s="24">
        <f>D450+E450+F450+G450+H450+J450+I450+K450</f>
        <v>363049</v>
      </c>
      <c r="N450" s="33">
        <v>78180</v>
      </c>
      <c r="O450" s="14">
        <f t="shared" ref="O450:O451" si="110">M450-N450</f>
        <v>284869</v>
      </c>
    </row>
    <row r="451" spans="1:16" x14ac:dyDescent="0.3">
      <c r="A451" s="196"/>
      <c r="B451" s="181"/>
      <c r="C451" s="2" t="s">
        <v>42</v>
      </c>
      <c r="D451" s="24">
        <v>36295</v>
      </c>
      <c r="E451" s="24"/>
      <c r="F451" s="24">
        <v>24074</v>
      </c>
      <c r="G451" s="24"/>
      <c r="H451" s="24"/>
      <c r="I451" s="24"/>
      <c r="J451" s="24"/>
      <c r="K451" s="24"/>
      <c r="L451" s="24"/>
      <c r="M451" s="24">
        <f>D451+E451+F451+G451+H451+J451+I451+K451</f>
        <v>60369</v>
      </c>
      <c r="N451" s="33">
        <v>13683</v>
      </c>
      <c r="O451" s="21">
        <f t="shared" si="110"/>
        <v>46686</v>
      </c>
    </row>
    <row r="452" spans="1:16" x14ac:dyDescent="0.3">
      <c r="A452" s="212" t="s">
        <v>122</v>
      </c>
      <c r="B452" s="213"/>
      <c r="C452" s="214"/>
      <c r="D452" s="115">
        <f>SUM(D423+D424+D429+D436+D437+D449+D450+D451)</f>
        <v>5999972</v>
      </c>
      <c r="E452" s="103">
        <f>E451+E450+E449+E437+E436+E429+E424+E423</f>
        <v>0</v>
      </c>
      <c r="F452" s="103">
        <f t="shared" ref="F452:O452" si="111">F451+F450+F449+F437+F436+F429+F424+F423</f>
        <v>179724</v>
      </c>
      <c r="G452" s="103">
        <f t="shared" si="111"/>
        <v>0</v>
      </c>
      <c r="H452" s="103">
        <f t="shared" si="111"/>
        <v>0</v>
      </c>
      <c r="I452" s="103">
        <f t="shared" si="111"/>
        <v>0</v>
      </c>
      <c r="J452" s="103">
        <f t="shared" si="111"/>
        <v>0</v>
      </c>
      <c r="K452" s="103">
        <f t="shared" si="111"/>
        <v>0</v>
      </c>
      <c r="L452" s="103">
        <f t="shared" si="111"/>
        <v>0</v>
      </c>
      <c r="M452" s="103">
        <f t="shared" si="111"/>
        <v>6179696</v>
      </c>
      <c r="N452" s="137">
        <f>N451+N450+N449+N437+N436+N429+N424+N423</f>
        <v>2556795</v>
      </c>
      <c r="O452" s="60">
        <f t="shared" si="111"/>
        <v>3622901</v>
      </c>
    </row>
    <row r="453" spans="1:16" x14ac:dyDescent="0.3">
      <c r="A453" s="177" t="s">
        <v>72</v>
      </c>
      <c r="B453" s="117" t="s">
        <v>6</v>
      </c>
      <c r="C453" s="2" t="s">
        <v>67</v>
      </c>
      <c r="D453" s="24">
        <v>0</v>
      </c>
      <c r="E453" s="24"/>
      <c r="F453" s="24"/>
      <c r="G453" s="24"/>
      <c r="H453" s="24"/>
      <c r="I453" s="24"/>
      <c r="J453" s="24"/>
      <c r="K453" s="24"/>
      <c r="L453" s="24"/>
      <c r="M453" s="24">
        <f>D453+E453+F453+G453+H453+J453+I453</f>
        <v>0</v>
      </c>
      <c r="N453" s="33">
        <v>0</v>
      </c>
      <c r="O453" s="14">
        <f t="shared" ref="O453:O455" si="112">M453-N453</f>
        <v>0</v>
      </c>
    </row>
    <row r="454" spans="1:16" x14ac:dyDescent="0.3">
      <c r="A454" s="177"/>
      <c r="B454" s="180" t="s">
        <v>39</v>
      </c>
      <c r="C454" s="2" t="s">
        <v>40</v>
      </c>
      <c r="D454" s="24">
        <v>978360</v>
      </c>
      <c r="E454" s="24"/>
      <c r="F454" s="24"/>
      <c r="G454" s="24"/>
      <c r="H454" s="24"/>
      <c r="I454" s="24"/>
      <c r="J454" s="24"/>
      <c r="K454" s="24"/>
      <c r="L454" s="24"/>
      <c r="M454" s="24">
        <f>D454+E454+F454+G454+H454+J454+I454</f>
        <v>978360</v>
      </c>
      <c r="N454" s="33">
        <v>407650</v>
      </c>
      <c r="O454" s="14">
        <f t="shared" si="112"/>
        <v>570710</v>
      </c>
    </row>
    <row r="455" spans="1:16" x14ac:dyDescent="0.3">
      <c r="A455" s="177"/>
      <c r="B455" s="199"/>
      <c r="C455" s="2" t="s">
        <v>51</v>
      </c>
      <c r="D455" s="24">
        <v>0</v>
      </c>
      <c r="E455" s="24"/>
      <c r="F455" s="24"/>
      <c r="G455" s="24"/>
      <c r="H455" s="24"/>
      <c r="I455" s="24"/>
      <c r="J455" s="24"/>
      <c r="K455" s="24"/>
      <c r="L455" s="24"/>
      <c r="M455" s="24">
        <f>D455+E455+F455+G455+H455+J455+I455</f>
        <v>0</v>
      </c>
      <c r="N455" s="33">
        <v>0</v>
      </c>
      <c r="O455" s="21">
        <f t="shared" si="112"/>
        <v>0</v>
      </c>
    </row>
    <row r="456" spans="1:16" x14ac:dyDescent="0.3">
      <c r="A456" s="177"/>
      <c r="B456" s="199"/>
      <c r="C456" s="6" t="s">
        <v>41</v>
      </c>
      <c r="D456" s="97">
        <f>SUM(D454:D455)</f>
        <v>978360</v>
      </c>
      <c r="E456" s="97">
        <f t="shared" ref="E456:O456" si="113">E455+E454</f>
        <v>0</v>
      </c>
      <c r="F456" s="97">
        <f t="shared" si="113"/>
        <v>0</v>
      </c>
      <c r="G456" s="97">
        <f t="shared" si="113"/>
        <v>0</v>
      </c>
      <c r="H456" s="97">
        <f t="shared" si="113"/>
        <v>0</v>
      </c>
      <c r="I456" s="97">
        <f t="shared" si="113"/>
        <v>0</v>
      </c>
      <c r="J456" s="97">
        <f t="shared" si="113"/>
        <v>0</v>
      </c>
      <c r="K456" s="97">
        <f t="shared" si="113"/>
        <v>0</v>
      </c>
      <c r="L456" s="97">
        <f t="shared" si="113"/>
        <v>0</v>
      </c>
      <c r="M456" s="97">
        <f t="shared" si="113"/>
        <v>978360</v>
      </c>
      <c r="N456" s="49">
        <f t="shared" si="113"/>
        <v>407650</v>
      </c>
      <c r="O456" s="26">
        <f t="shared" si="113"/>
        <v>570710</v>
      </c>
    </row>
    <row r="457" spans="1:16" x14ac:dyDescent="0.3">
      <c r="A457" s="177"/>
      <c r="B457" s="199"/>
      <c r="C457" s="57" t="s">
        <v>42</v>
      </c>
      <c r="D457" s="98">
        <v>85607</v>
      </c>
      <c r="E457" s="98"/>
      <c r="F457" s="98"/>
      <c r="G457" s="98"/>
      <c r="H457" s="98"/>
      <c r="I457" s="98"/>
      <c r="J457" s="98"/>
      <c r="K457" s="98"/>
      <c r="L457" s="98"/>
      <c r="M457" s="99">
        <f>D457+E457+F457+G457+H457+J457</f>
        <v>85607</v>
      </c>
      <c r="N457" s="133">
        <v>35670</v>
      </c>
      <c r="O457" s="55">
        <f t="shared" ref="O457:O460" si="114">M457-N457</f>
        <v>49937</v>
      </c>
    </row>
    <row r="458" spans="1:16" x14ac:dyDescent="0.3">
      <c r="A458" s="177"/>
      <c r="B458" s="199"/>
      <c r="C458" s="2" t="s">
        <v>43</v>
      </c>
      <c r="D458" s="24">
        <v>0</v>
      </c>
      <c r="E458" s="24"/>
      <c r="F458" s="24"/>
      <c r="G458" s="24"/>
      <c r="H458" s="24"/>
      <c r="I458" s="24"/>
      <c r="J458" s="24"/>
      <c r="K458" s="24"/>
      <c r="L458" s="24"/>
      <c r="M458" s="24">
        <f>D458+E458+F458+G458+H458+J458+I458</f>
        <v>0</v>
      </c>
      <c r="N458" s="33">
        <v>0</v>
      </c>
      <c r="O458" s="32">
        <f t="shared" si="114"/>
        <v>0</v>
      </c>
      <c r="P458" s="53"/>
    </row>
    <row r="459" spans="1:16" x14ac:dyDescent="0.3">
      <c r="A459" s="177"/>
      <c r="B459" s="199"/>
      <c r="C459" s="30" t="s">
        <v>44</v>
      </c>
      <c r="D459" s="24">
        <v>0</v>
      </c>
      <c r="E459" s="24"/>
      <c r="F459" s="24"/>
      <c r="G459" s="24"/>
      <c r="H459" s="24"/>
      <c r="I459" s="24"/>
      <c r="J459" s="24"/>
      <c r="K459" s="24"/>
      <c r="L459" s="24"/>
      <c r="M459" s="24">
        <f>D459+E459+F459+G459+H459+J459+I459</f>
        <v>0</v>
      </c>
      <c r="N459" s="33">
        <v>0</v>
      </c>
      <c r="O459" s="33">
        <f t="shared" si="114"/>
        <v>0</v>
      </c>
    </row>
    <row r="460" spans="1:16" x14ac:dyDescent="0.3">
      <c r="A460" s="177"/>
      <c r="B460" s="199"/>
      <c r="C460" s="2" t="s">
        <v>45</v>
      </c>
      <c r="D460" s="24">
        <v>0</v>
      </c>
      <c r="E460" s="24"/>
      <c r="F460" s="24"/>
      <c r="G460" s="24"/>
      <c r="H460" s="24"/>
      <c r="I460" s="24"/>
      <c r="J460" s="24"/>
      <c r="K460" s="24"/>
      <c r="L460" s="24"/>
      <c r="M460" s="24">
        <f>D460+E460+F460+G460+H460+J460+I460</f>
        <v>0</v>
      </c>
      <c r="N460" s="33">
        <v>0</v>
      </c>
      <c r="O460" s="32">
        <f t="shared" si="114"/>
        <v>0</v>
      </c>
      <c r="P460" s="53"/>
    </row>
    <row r="461" spans="1:16" x14ac:dyDescent="0.3">
      <c r="A461" s="177"/>
      <c r="B461" s="181"/>
      <c r="C461" s="6" t="s">
        <v>46</v>
      </c>
      <c r="D461" s="97">
        <f>SUM(D458:D460)</f>
        <v>0</v>
      </c>
      <c r="E461" s="104">
        <f t="shared" ref="E461:O461" si="115">SUM(E458:E460)</f>
        <v>0</v>
      </c>
      <c r="F461" s="104">
        <f t="shared" si="115"/>
        <v>0</v>
      </c>
      <c r="G461" s="104">
        <f t="shared" si="115"/>
        <v>0</v>
      </c>
      <c r="H461" s="104">
        <f t="shared" si="115"/>
        <v>0</v>
      </c>
      <c r="I461" s="104">
        <f t="shared" si="115"/>
        <v>0</v>
      </c>
      <c r="J461" s="104">
        <f t="shared" si="115"/>
        <v>0</v>
      </c>
      <c r="K461" s="104">
        <f t="shared" si="115"/>
        <v>0</v>
      </c>
      <c r="L461" s="104">
        <f t="shared" si="115"/>
        <v>0</v>
      </c>
      <c r="M461" s="104">
        <f t="shared" si="115"/>
        <v>0</v>
      </c>
      <c r="N461" s="34">
        <f t="shared" si="115"/>
        <v>0</v>
      </c>
      <c r="O461" s="34">
        <f t="shared" si="115"/>
        <v>0</v>
      </c>
      <c r="P461" s="53"/>
    </row>
    <row r="462" spans="1:16" x14ac:dyDescent="0.3">
      <c r="A462" s="177"/>
      <c r="B462" s="179" t="s">
        <v>18</v>
      </c>
      <c r="C462" s="2" t="s">
        <v>40</v>
      </c>
      <c r="D462" s="24">
        <v>1990841</v>
      </c>
      <c r="E462" s="24"/>
      <c r="F462" s="24"/>
      <c r="G462" s="24"/>
      <c r="H462" s="24"/>
      <c r="I462" s="24"/>
      <c r="J462" s="24"/>
      <c r="K462" s="24"/>
      <c r="L462" s="24"/>
      <c r="M462" s="24">
        <f t="shared" ref="M462:M467" si="116">D462+E462+F462+G462+H462+J462+I462</f>
        <v>1990841</v>
      </c>
      <c r="N462" s="33">
        <v>455571</v>
      </c>
      <c r="O462" s="14">
        <f t="shared" ref="O462:O467" si="117">M462-N462</f>
        <v>1535270</v>
      </c>
    </row>
    <row r="463" spans="1:16" x14ac:dyDescent="0.3">
      <c r="A463" s="177"/>
      <c r="B463" s="179"/>
      <c r="C463" s="2" t="s">
        <v>63</v>
      </c>
      <c r="D463" s="24">
        <v>390000</v>
      </c>
      <c r="E463" s="24"/>
      <c r="F463" s="24"/>
      <c r="G463" s="24"/>
      <c r="H463" s="24"/>
      <c r="I463" s="24"/>
      <c r="J463" s="24"/>
      <c r="K463" s="24"/>
      <c r="L463" s="24"/>
      <c r="M463" s="24">
        <f t="shared" si="116"/>
        <v>390000</v>
      </c>
      <c r="N463" s="33">
        <v>390000</v>
      </c>
      <c r="O463" s="14">
        <f t="shared" si="117"/>
        <v>0</v>
      </c>
    </row>
    <row r="464" spans="1:16" x14ac:dyDescent="0.3">
      <c r="A464" s="177"/>
      <c r="B464" s="179"/>
      <c r="C464" s="2" t="s">
        <v>47</v>
      </c>
      <c r="D464" s="24">
        <v>100000</v>
      </c>
      <c r="E464" s="24"/>
      <c r="F464" s="24"/>
      <c r="G464" s="24"/>
      <c r="H464" s="24"/>
      <c r="I464" s="24"/>
      <c r="J464" s="24"/>
      <c r="K464" s="24"/>
      <c r="L464" s="24"/>
      <c r="M464" s="24">
        <f t="shared" si="116"/>
        <v>100000</v>
      </c>
      <c r="N464" s="33">
        <v>0</v>
      </c>
      <c r="O464" s="14">
        <f t="shared" si="117"/>
        <v>100000</v>
      </c>
    </row>
    <row r="465" spans="1:15" x14ac:dyDescent="0.3">
      <c r="A465" s="177"/>
      <c r="B465" s="179"/>
      <c r="C465" s="2" t="s">
        <v>48</v>
      </c>
      <c r="D465" s="24">
        <v>5000</v>
      </c>
      <c r="E465" s="24"/>
      <c r="F465" s="24"/>
      <c r="G465" s="24"/>
      <c r="H465" s="24"/>
      <c r="I465" s="24"/>
      <c r="J465" s="24"/>
      <c r="K465" s="24"/>
      <c r="L465" s="24"/>
      <c r="M465" s="24">
        <f t="shared" si="116"/>
        <v>5000</v>
      </c>
      <c r="N465" s="33">
        <v>0</v>
      </c>
      <c r="O465" s="14">
        <f t="shared" si="117"/>
        <v>5000</v>
      </c>
    </row>
    <row r="466" spans="1:15" x14ac:dyDescent="0.3">
      <c r="A466" s="177"/>
      <c r="B466" s="179"/>
      <c r="C466" s="2" t="s">
        <v>50</v>
      </c>
      <c r="D466" s="24">
        <v>12000</v>
      </c>
      <c r="E466" s="24"/>
      <c r="F466" s="24"/>
      <c r="G466" s="24"/>
      <c r="H466" s="24"/>
      <c r="I466" s="24"/>
      <c r="J466" s="24"/>
      <c r="K466" s="24"/>
      <c r="L466" s="24"/>
      <c r="M466" s="24">
        <f t="shared" si="116"/>
        <v>12000</v>
      </c>
      <c r="N466" s="33">
        <v>0</v>
      </c>
      <c r="O466" s="14">
        <f t="shared" si="117"/>
        <v>12000</v>
      </c>
    </row>
    <row r="467" spans="1:15" x14ac:dyDescent="0.3">
      <c r="A467" s="177"/>
      <c r="B467" s="179"/>
      <c r="C467" s="2" t="s">
        <v>51</v>
      </c>
      <c r="D467" s="24">
        <v>0</v>
      </c>
      <c r="E467" s="24"/>
      <c r="F467" s="24"/>
      <c r="G467" s="24"/>
      <c r="H467" s="24"/>
      <c r="I467" s="24"/>
      <c r="J467" s="24"/>
      <c r="K467" s="24"/>
      <c r="L467" s="24"/>
      <c r="M467" s="24">
        <f t="shared" si="116"/>
        <v>0</v>
      </c>
      <c r="N467" s="33">
        <v>0</v>
      </c>
      <c r="O467" s="14">
        <f t="shared" si="117"/>
        <v>0</v>
      </c>
    </row>
    <row r="468" spans="1:15" x14ac:dyDescent="0.3">
      <c r="A468" s="177"/>
      <c r="B468" s="179"/>
      <c r="C468" s="6" t="s">
        <v>41</v>
      </c>
      <c r="D468" s="97">
        <f>SUM(D462:D467)</f>
        <v>2497841</v>
      </c>
      <c r="E468" s="97">
        <f t="shared" ref="E468:O468" si="118">SUM(E462:E467)</f>
        <v>0</v>
      </c>
      <c r="F468" s="97">
        <f t="shared" si="118"/>
        <v>0</v>
      </c>
      <c r="G468" s="97">
        <f t="shared" si="118"/>
        <v>0</v>
      </c>
      <c r="H468" s="97">
        <f t="shared" si="118"/>
        <v>0</v>
      </c>
      <c r="I468" s="97">
        <f t="shared" si="118"/>
        <v>0</v>
      </c>
      <c r="J468" s="97">
        <f t="shared" si="118"/>
        <v>0</v>
      </c>
      <c r="K468" s="97">
        <f t="shared" si="118"/>
        <v>0</v>
      </c>
      <c r="L468" s="97">
        <f t="shared" si="118"/>
        <v>0</v>
      </c>
      <c r="M468" s="97">
        <f t="shared" si="118"/>
        <v>2497841</v>
      </c>
      <c r="N468" s="49">
        <f t="shared" si="118"/>
        <v>845571</v>
      </c>
      <c r="O468" s="26">
        <f t="shared" si="118"/>
        <v>1652270</v>
      </c>
    </row>
    <row r="469" spans="1:15" x14ac:dyDescent="0.3">
      <c r="A469" s="177"/>
      <c r="B469" s="179"/>
      <c r="C469" s="57" t="s">
        <v>42</v>
      </c>
      <c r="D469" s="98">
        <v>452122</v>
      </c>
      <c r="E469" s="98"/>
      <c r="F469" s="98"/>
      <c r="G469" s="98"/>
      <c r="H469" s="98"/>
      <c r="I469" s="98"/>
      <c r="J469" s="98"/>
      <c r="K469" s="98"/>
      <c r="L469" s="98"/>
      <c r="M469" s="99">
        <f>D469+E469+F469+G469+H469+J469</f>
        <v>452122</v>
      </c>
      <c r="N469" s="133">
        <v>149743</v>
      </c>
      <c r="O469" s="55">
        <f t="shared" ref="O469:O478" si="119">M469-N469</f>
        <v>302379</v>
      </c>
    </row>
    <row r="470" spans="1:15" x14ac:dyDescent="0.3">
      <c r="A470" s="177"/>
      <c r="B470" s="179"/>
      <c r="C470" s="2" t="s">
        <v>43</v>
      </c>
      <c r="D470" s="24">
        <v>40000</v>
      </c>
      <c r="E470" s="24"/>
      <c r="F470" s="24"/>
      <c r="G470" s="24"/>
      <c r="H470" s="24"/>
      <c r="I470" s="24"/>
      <c r="J470" s="24"/>
      <c r="K470" s="24"/>
      <c r="L470" s="24"/>
      <c r="M470" s="24">
        <f>D470+E470+F470+G470+H470+J470+I470</f>
        <v>40000</v>
      </c>
      <c r="N470" s="33">
        <v>15680</v>
      </c>
      <c r="O470" s="21">
        <f t="shared" si="119"/>
        <v>24320</v>
      </c>
    </row>
    <row r="471" spans="1:15" x14ac:dyDescent="0.3">
      <c r="A471" s="177"/>
      <c r="B471" s="179"/>
      <c r="C471" s="2" t="s">
        <v>53</v>
      </c>
      <c r="D471" s="24">
        <v>40000</v>
      </c>
      <c r="E471" s="24"/>
      <c r="F471" s="24"/>
      <c r="G471" s="24"/>
      <c r="H471" s="24"/>
      <c r="I471" s="24"/>
      <c r="J471" s="24"/>
      <c r="K471" s="24"/>
      <c r="L471" s="24"/>
      <c r="M471" s="24">
        <f>D471+E471+F471+G471+H471+J471+I471+K471+L471</f>
        <v>40000</v>
      </c>
      <c r="N471" s="33">
        <v>0</v>
      </c>
      <c r="O471" s="14">
        <f t="shared" si="119"/>
        <v>40000</v>
      </c>
    </row>
    <row r="472" spans="1:15" x14ac:dyDescent="0.3">
      <c r="A472" s="177"/>
      <c r="B472" s="179"/>
      <c r="C472" s="30" t="s">
        <v>55</v>
      </c>
      <c r="D472" s="24">
        <v>0</v>
      </c>
      <c r="E472" s="24"/>
      <c r="F472" s="24"/>
      <c r="G472" s="24"/>
      <c r="H472" s="24"/>
      <c r="I472" s="24"/>
      <c r="J472" s="24"/>
      <c r="K472" s="24"/>
      <c r="L472" s="24"/>
      <c r="M472" s="24">
        <f t="shared" ref="M472:M478" si="120">D472+E472+F472+G472+H472+J472+I472</f>
        <v>0</v>
      </c>
      <c r="N472" s="33">
        <v>0</v>
      </c>
      <c r="O472" s="33">
        <f t="shared" si="119"/>
        <v>0</v>
      </c>
    </row>
    <row r="473" spans="1:15" x14ac:dyDescent="0.3">
      <c r="A473" s="177"/>
      <c r="B473" s="179"/>
      <c r="C473" s="2" t="s">
        <v>57</v>
      </c>
      <c r="D473" s="24">
        <v>5000</v>
      </c>
      <c r="E473" s="24"/>
      <c r="F473" s="24"/>
      <c r="G473" s="24"/>
      <c r="H473" s="24"/>
      <c r="I473" s="24"/>
      <c r="J473" s="24"/>
      <c r="K473" s="24"/>
      <c r="L473" s="24"/>
      <c r="M473" s="24">
        <f t="shared" si="120"/>
        <v>5000</v>
      </c>
      <c r="N473" s="33">
        <v>0</v>
      </c>
      <c r="O473" s="14">
        <f t="shared" si="119"/>
        <v>5000</v>
      </c>
    </row>
    <row r="474" spans="1:15" x14ac:dyDescent="0.3">
      <c r="A474" s="177"/>
      <c r="B474" s="179"/>
      <c r="C474" s="2" t="s">
        <v>44</v>
      </c>
      <c r="D474" s="24">
        <v>8400</v>
      </c>
      <c r="E474" s="24"/>
      <c r="F474" s="24"/>
      <c r="G474" s="24"/>
      <c r="H474" s="24"/>
      <c r="I474" s="24"/>
      <c r="J474" s="24"/>
      <c r="K474" s="24"/>
      <c r="L474" s="24"/>
      <c r="M474" s="24">
        <f t="shared" si="120"/>
        <v>8400</v>
      </c>
      <c r="N474" s="33">
        <v>2100</v>
      </c>
      <c r="O474" s="14">
        <f t="shared" si="119"/>
        <v>6300</v>
      </c>
    </row>
    <row r="475" spans="1:15" x14ac:dyDescent="0.3">
      <c r="A475" s="177"/>
      <c r="B475" s="179"/>
      <c r="C475" s="2" t="s">
        <v>58</v>
      </c>
      <c r="D475" s="24">
        <v>30000</v>
      </c>
      <c r="E475" s="24"/>
      <c r="F475" s="24"/>
      <c r="G475" s="24">
        <v>39370</v>
      </c>
      <c r="H475" s="24"/>
      <c r="I475" s="24"/>
      <c r="J475" s="24"/>
      <c r="K475" s="24"/>
      <c r="L475" s="24"/>
      <c r="M475" s="24">
        <f t="shared" si="120"/>
        <v>69370</v>
      </c>
      <c r="N475" s="33">
        <v>0</v>
      </c>
      <c r="O475" s="14">
        <f t="shared" si="119"/>
        <v>69370</v>
      </c>
    </row>
    <row r="476" spans="1:15" x14ac:dyDescent="0.3">
      <c r="A476" s="177"/>
      <c r="B476" s="179"/>
      <c r="C476" s="2" t="s">
        <v>59</v>
      </c>
      <c r="D476" s="24">
        <v>16000</v>
      </c>
      <c r="E476" s="24"/>
      <c r="F476" s="24"/>
      <c r="G476" s="24"/>
      <c r="H476" s="24"/>
      <c r="I476" s="24"/>
      <c r="J476" s="24"/>
      <c r="K476" s="24"/>
      <c r="L476" s="24"/>
      <c r="M476" s="24">
        <f t="shared" si="120"/>
        <v>16000</v>
      </c>
      <c r="N476" s="33">
        <v>9400</v>
      </c>
      <c r="O476" s="14">
        <f t="shared" si="119"/>
        <v>6600</v>
      </c>
    </row>
    <row r="477" spans="1:15" x14ac:dyDescent="0.3">
      <c r="A477" s="177"/>
      <c r="B477" s="179"/>
      <c r="C477" s="2" t="s">
        <v>45</v>
      </c>
      <c r="D477" s="24">
        <v>27750</v>
      </c>
      <c r="E477" s="24"/>
      <c r="F477" s="24"/>
      <c r="G477" s="24">
        <v>10630</v>
      </c>
      <c r="H477" s="24"/>
      <c r="I477" s="24"/>
      <c r="J477" s="24"/>
      <c r="K477" s="24"/>
      <c r="L477" s="24"/>
      <c r="M477" s="24">
        <f t="shared" si="120"/>
        <v>38380</v>
      </c>
      <c r="N477" s="33">
        <v>4233</v>
      </c>
      <c r="O477" s="21">
        <f t="shared" si="119"/>
        <v>34147</v>
      </c>
    </row>
    <row r="478" spans="1:15" x14ac:dyDescent="0.3">
      <c r="A478" s="177"/>
      <c r="B478" s="179"/>
      <c r="C478" s="2" t="s">
        <v>60</v>
      </c>
      <c r="D478" s="24">
        <v>0</v>
      </c>
      <c r="E478" s="24"/>
      <c r="F478" s="24"/>
      <c r="G478" s="24"/>
      <c r="H478" s="24"/>
      <c r="I478" s="24"/>
      <c r="J478" s="24"/>
      <c r="K478" s="24"/>
      <c r="L478" s="24"/>
      <c r="M478" s="24">
        <f t="shared" si="120"/>
        <v>0</v>
      </c>
      <c r="N478" s="33">
        <v>0</v>
      </c>
      <c r="O478" s="14">
        <f t="shared" si="119"/>
        <v>0</v>
      </c>
    </row>
    <row r="479" spans="1:15" x14ac:dyDescent="0.3">
      <c r="A479" s="177"/>
      <c r="B479" s="179"/>
      <c r="C479" s="6" t="s">
        <v>46</v>
      </c>
      <c r="D479" s="97">
        <f>SUM(D470:D478)</f>
        <v>167150</v>
      </c>
      <c r="E479" s="97">
        <f t="shared" ref="E479:O479" si="121">SUM(E470:E478)</f>
        <v>0</v>
      </c>
      <c r="F479" s="97">
        <f t="shared" si="121"/>
        <v>0</v>
      </c>
      <c r="G479" s="97">
        <f t="shared" si="121"/>
        <v>50000</v>
      </c>
      <c r="H479" s="97">
        <f t="shared" si="121"/>
        <v>0</v>
      </c>
      <c r="I479" s="97">
        <f t="shared" si="121"/>
        <v>0</v>
      </c>
      <c r="J479" s="97">
        <f t="shared" si="121"/>
        <v>0</v>
      </c>
      <c r="K479" s="97">
        <f t="shared" si="121"/>
        <v>0</v>
      </c>
      <c r="L479" s="97">
        <f t="shared" si="121"/>
        <v>0</v>
      </c>
      <c r="M479" s="97">
        <f t="shared" si="121"/>
        <v>217150</v>
      </c>
      <c r="N479" s="49">
        <f t="shared" si="121"/>
        <v>31413</v>
      </c>
      <c r="O479" s="26">
        <f t="shared" si="121"/>
        <v>185737</v>
      </c>
    </row>
    <row r="480" spans="1:15" x14ac:dyDescent="0.3">
      <c r="A480" s="198" t="s">
        <v>94</v>
      </c>
      <c r="B480" s="180" t="s">
        <v>18</v>
      </c>
      <c r="C480" s="2" t="s">
        <v>40</v>
      </c>
      <c r="D480" s="24">
        <v>433381</v>
      </c>
      <c r="E480" s="24"/>
      <c r="F480" s="24">
        <v>184316</v>
      </c>
      <c r="G480" s="24"/>
      <c r="H480" s="24"/>
      <c r="I480" s="24"/>
      <c r="J480" s="24"/>
      <c r="K480" s="24"/>
      <c r="L480" s="24"/>
      <c r="M480" s="24">
        <f>D480+E480+F480+G480+H480+J480+I480+K480</f>
        <v>617697</v>
      </c>
      <c r="N480" s="33">
        <v>247601</v>
      </c>
      <c r="O480" s="14">
        <f t="shared" ref="O480:O483" si="122">M480-N480</f>
        <v>370096</v>
      </c>
    </row>
    <row r="481" spans="1:15" x14ac:dyDescent="0.3">
      <c r="A481" s="196"/>
      <c r="B481" s="181"/>
      <c r="C481" s="2" t="s">
        <v>42</v>
      </c>
      <c r="D481" s="24">
        <v>75842</v>
      </c>
      <c r="E481" s="24"/>
      <c r="F481" s="24">
        <v>26969</v>
      </c>
      <c r="G481" s="24"/>
      <c r="H481" s="24"/>
      <c r="I481" s="24"/>
      <c r="J481" s="24"/>
      <c r="K481" s="24"/>
      <c r="L481" s="24"/>
      <c r="M481" s="24">
        <f>D481+E481+F481+G481+H481+J481+I481+K481</f>
        <v>102811</v>
      </c>
      <c r="N481" s="33">
        <v>43331</v>
      </c>
      <c r="O481" s="14">
        <f t="shared" si="122"/>
        <v>59480</v>
      </c>
    </row>
    <row r="482" spans="1:15" x14ac:dyDescent="0.3">
      <c r="A482" s="198" t="s">
        <v>95</v>
      </c>
      <c r="B482" s="180" t="s">
        <v>18</v>
      </c>
      <c r="C482" s="2" t="s">
        <v>51</v>
      </c>
      <c r="D482" s="24">
        <v>70800</v>
      </c>
      <c r="E482" s="24"/>
      <c r="F482" s="24"/>
      <c r="G482" s="24"/>
      <c r="H482" s="24"/>
      <c r="I482" s="24"/>
      <c r="J482" s="24"/>
      <c r="K482" s="24"/>
      <c r="L482" s="24"/>
      <c r="M482" s="24">
        <f>D482+E482+F482+G482+H482+J482+I482+K482</f>
        <v>70800</v>
      </c>
      <c r="N482" s="33">
        <v>24300</v>
      </c>
      <c r="O482" s="14">
        <f t="shared" si="122"/>
        <v>46500</v>
      </c>
    </row>
    <row r="483" spans="1:15" x14ac:dyDescent="0.3">
      <c r="A483" s="196"/>
      <c r="B483" s="181"/>
      <c r="C483" s="2" t="s">
        <v>42</v>
      </c>
      <c r="D483" s="24">
        <v>12390</v>
      </c>
      <c r="E483" s="24"/>
      <c r="F483" s="24"/>
      <c r="G483" s="24"/>
      <c r="H483" s="24"/>
      <c r="I483" s="24"/>
      <c r="J483" s="24"/>
      <c r="K483" s="24"/>
      <c r="L483" s="24"/>
      <c r="M483" s="24">
        <f>D483+E483+F483+G483+H483+J483+I483+K483</f>
        <v>12390</v>
      </c>
      <c r="N483" s="33">
        <v>4252</v>
      </c>
      <c r="O483" s="14">
        <f t="shared" si="122"/>
        <v>8138</v>
      </c>
    </row>
    <row r="484" spans="1:15" x14ac:dyDescent="0.3">
      <c r="A484" s="212" t="s">
        <v>123</v>
      </c>
      <c r="B484" s="213"/>
      <c r="C484" s="214"/>
      <c r="D484" s="115">
        <f>SUM(D453+D456+D457+D461+D468+D469+D479+D480+D481+D482+D483)</f>
        <v>4773493</v>
      </c>
      <c r="E484" s="103">
        <f t="shared" ref="E484:O484" si="123">SUM(E453,E456,E457,E461,E468,E469,E479,E480,E481,E482,E483)</f>
        <v>0</v>
      </c>
      <c r="F484" s="103">
        <f t="shared" si="123"/>
        <v>211285</v>
      </c>
      <c r="G484" s="103">
        <f t="shared" si="123"/>
        <v>50000</v>
      </c>
      <c r="H484" s="103">
        <f t="shared" si="123"/>
        <v>0</v>
      </c>
      <c r="I484" s="103">
        <f t="shared" si="123"/>
        <v>0</v>
      </c>
      <c r="J484" s="103">
        <f t="shared" si="123"/>
        <v>0</v>
      </c>
      <c r="K484" s="103">
        <f t="shared" si="123"/>
        <v>0</v>
      </c>
      <c r="L484" s="103">
        <f t="shared" si="123"/>
        <v>0</v>
      </c>
      <c r="M484" s="103">
        <f t="shared" si="123"/>
        <v>5034778</v>
      </c>
      <c r="N484" s="137">
        <f>SUM(N453,N456,N457,N461,N468,N469,N479,N480,N481,N482,N483)</f>
        <v>1789531</v>
      </c>
      <c r="O484" s="61">
        <f t="shared" si="123"/>
        <v>3245247</v>
      </c>
    </row>
    <row r="485" spans="1:15" x14ac:dyDescent="0.3">
      <c r="A485" s="177" t="s">
        <v>73</v>
      </c>
      <c r="B485" s="117" t="s">
        <v>6</v>
      </c>
      <c r="C485" s="2" t="s">
        <v>67</v>
      </c>
      <c r="D485" s="24">
        <v>0</v>
      </c>
      <c r="E485" s="24"/>
      <c r="F485" s="24"/>
      <c r="G485" s="24"/>
      <c r="H485" s="24"/>
      <c r="I485" s="24"/>
      <c r="J485" s="24"/>
      <c r="K485" s="24"/>
      <c r="L485" s="24"/>
      <c r="M485" s="24">
        <f t="shared" ref="M485:M490" si="124">D485+E485+F485+G485+H485+J485+I485</f>
        <v>0</v>
      </c>
      <c r="N485" s="33">
        <v>0</v>
      </c>
      <c r="O485" s="14">
        <f t="shared" ref="O485:O490" si="125">M485-N485</f>
        <v>0</v>
      </c>
    </row>
    <row r="486" spans="1:15" x14ac:dyDescent="0.3">
      <c r="A486" s="177"/>
      <c r="B486" s="179" t="s">
        <v>18</v>
      </c>
      <c r="C486" s="2" t="s">
        <v>40</v>
      </c>
      <c r="D486" s="24">
        <v>5315960</v>
      </c>
      <c r="E486" s="24"/>
      <c r="F486" s="24"/>
      <c r="G486" s="24"/>
      <c r="H486" s="24"/>
      <c r="I486" s="24"/>
      <c r="J486" s="24"/>
      <c r="K486" s="24"/>
      <c r="L486" s="24"/>
      <c r="M486" s="24">
        <f t="shared" si="124"/>
        <v>5315960</v>
      </c>
      <c r="N486" s="33">
        <v>2275962</v>
      </c>
      <c r="O486" s="14">
        <f t="shared" si="125"/>
        <v>3039998</v>
      </c>
    </row>
    <row r="487" spans="1:15" x14ac:dyDescent="0.3">
      <c r="A487" s="177"/>
      <c r="B487" s="179"/>
      <c r="C487" s="2" t="s">
        <v>47</v>
      </c>
      <c r="D487" s="24">
        <v>200000</v>
      </c>
      <c r="E487" s="24"/>
      <c r="F487" s="24"/>
      <c r="G487" s="24"/>
      <c r="H487" s="24"/>
      <c r="I487" s="24"/>
      <c r="J487" s="24"/>
      <c r="K487" s="24"/>
      <c r="L487" s="24"/>
      <c r="M487" s="24">
        <f t="shared" si="124"/>
        <v>200000</v>
      </c>
      <c r="N487" s="33">
        <v>0</v>
      </c>
      <c r="O487" s="14">
        <f t="shared" si="125"/>
        <v>200000</v>
      </c>
    </row>
    <row r="488" spans="1:15" x14ac:dyDescent="0.3">
      <c r="A488" s="177"/>
      <c r="B488" s="179"/>
      <c r="C488" s="2" t="s">
        <v>48</v>
      </c>
      <c r="D488" s="24">
        <v>10000</v>
      </c>
      <c r="E488" s="24"/>
      <c r="F488" s="24"/>
      <c r="G488" s="24"/>
      <c r="H488" s="24"/>
      <c r="I488" s="24"/>
      <c r="J488" s="24"/>
      <c r="K488" s="24"/>
      <c r="L488" s="24"/>
      <c r="M488" s="24">
        <f t="shared" si="124"/>
        <v>10000</v>
      </c>
      <c r="N488" s="33">
        <v>0</v>
      </c>
      <c r="O488" s="14">
        <f t="shared" si="125"/>
        <v>10000</v>
      </c>
    </row>
    <row r="489" spans="1:15" x14ac:dyDescent="0.3">
      <c r="A489" s="177"/>
      <c r="B489" s="179"/>
      <c r="C489" s="2" t="s">
        <v>50</v>
      </c>
      <c r="D489" s="24">
        <v>24000</v>
      </c>
      <c r="E489" s="24"/>
      <c r="F489" s="24"/>
      <c r="G489" s="24"/>
      <c r="H489" s="24"/>
      <c r="I489" s="24"/>
      <c r="J489" s="24"/>
      <c r="K489" s="24"/>
      <c r="L489" s="24"/>
      <c r="M489" s="24">
        <f t="shared" si="124"/>
        <v>24000</v>
      </c>
      <c r="N489" s="33">
        <v>0</v>
      </c>
      <c r="O489" s="14">
        <f t="shared" si="125"/>
        <v>24000</v>
      </c>
    </row>
    <row r="490" spans="1:15" x14ac:dyDescent="0.3">
      <c r="A490" s="177"/>
      <c r="B490" s="179"/>
      <c r="C490" s="2" t="s">
        <v>51</v>
      </c>
      <c r="D490" s="24">
        <v>0</v>
      </c>
      <c r="E490" s="24"/>
      <c r="F490" s="24"/>
      <c r="G490" s="24"/>
      <c r="H490" s="24"/>
      <c r="I490" s="24"/>
      <c r="J490" s="24"/>
      <c r="K490" s="24"/>
      <c r="L490" s="24"/>
      <c r="M490" s="24">
        <f t="shared" si="124"/>
        <v>0</v>
      </c>
      <c r="N490" s="33">
        <v>0</v>
      </c>
      <c r="O490" s="14">
        <f t="shared" si="125"/>
        <v>0</v>
      </c>
    </row>
    <row r="491" spans="1:15" x14ac:dyDescent="0.3">
      <c r="A491" s="177"/>
      <c r="B491" s="179"/>
      <c r="C491" s="6" t="s">
        <v>41</v>
      </c>
      <c r="D491" s="97">
        <f>SUM(D486:D490)</f>
        <v>5549960</v>
      </c>
      <c r="E491" s="97">
        <f t="shared" ref="E491:O491" si="126">SUM(E486:E490)</f>
        <v>0</v>
      </c>
      <c r="F491" s="97">
        <f t="shared" si="126"/>
        <v>0</v>
      </c>
      <c r="G491" s="97">
        <f t="shared" si="126"/>
        <v>0</v>
      </c>
      <c r="H491" s="97">
        <f t="shared" si="126"/>
        <v>0</v>
      </c>
      <c r="I491" s="97">
        <f t="shared" si="126"/>
        <v>0</v>
      </c>
      <c r="J491" s="97">
        <f t="shared" si="126"/>
        <v>0</v>
      </c>
      <c r="K491" s="97">
        <f t="shared" si="126"/>
        <v>0</v>
      </c>
      <c r="L491" s="97">
        <f t="shared" si="126"/>
        <v>0</v>
      </c>
      <c r="M491" s="97">
        <f t="shared" si="126"/>
        <v>5549960</v>
      </c>
      <c r="N491" s="49">
        <f t="shared" si="126"/>
        <v>2275962</v>
      </c>
      <c r="O491" s="26">
        <f t="shared" si="126"/>
        <v>3273998</v>
      </c>
    </row>
    <row r="492" spans="1:15" x14ac:dyDescent="0.3">
      <c r="A492" s="177"/>
      <c r="B492" s="179"/>
      <c r="C492" s="57" t="s">
        <v>42</v>
      </c>
      <c r="D492" s="98">
        <v>1001243</v>
      </c>
      <c r="E492" s="98"/>
      <c r="F492" s="98"/>
      <c r="G492" s="98"/>
      <c r="H492" s="98"/>
      <c r="I492" s="98"/>
      <c r="J492" s="98"/>
      <c r="K492" s="98"/>
      <c r="L492" s="98"/>
      <c r="M492" s="99">
        <f>D492+E492+F492+G492+H492+J492</f>
        <v>1001243</v>
      </c>
      <c r="N492" s="133">
        <v>400967</v>
      </c>
      <c r="O492" s="55">
        <f t="shared" ref="O492:O502" si="127">M492-N492</f>
        <v>600276</v>
      </c>
    </row>
    <row r="493" spans="1:15" x14ac:dyDescent="0.3">
      <c r="A493" s="177"/>
      <c r="B493" s="179"/>
      <c r="C493" s="2" t="s">
        <v>43</v>
      </c>
      <c r="D493" s="24">
        <v>40000</v>
      </c>
      <c r="E493" s="24"/>
      <c r="F493" s="24"/>
      <c r="G493" s="24"/>
      <c r="H493" s="24"/>
      <c r="I493" s="24"/>
      <c r="J493" s="24"/>
      <c r="K493" s="24"/>
      <c r="L493" s="24"/>
      <c r="M493" s="24">
        <f>D493+E493+F493+G493+H493+J493+I493</f>
        <v>40000</v>
      </c>
      <c r="N493" s="33">
        <v>0</v>
      </c>
      <c r="O493" s="14">
        <f t="shared" si="127"/>
        <v>40000</v>
      </c>
    </row>
    <row r="494" spans="1:15" x14ac:dyDescent="0.3">
      <c r="A494" s="177"/>
      <c r="B494" s="179"/>
      <c r="C494" s="2" t="s">
        <v>53</v>
      </c>
      <c r="D494" s="24">
        <v>25000</v>
      </c>
      <c r="E494" s="24">
        <v>-7990</v>
      </c>
      <c r="F494" s="24"/>
      <c r="G494" s="24"/>
      <c r="H494" s="24"/>
      <c r="I494" s="24"/>
      <c r="J494" s="24"/>
      <c r="K494" s="24"/>
      <c r="L494" s="24"/>
      <c r="M494" s="24">
        <f>D494+E494+F494+G494+H494+J494+I494+L494</f>
        <v>17010</v>
      </c>
      <c r="N494" s="33">
        <v>0</v>
      </c>
      <c r="O494" s="21">
        <f t="shared" si="127"/>
        <v>17010</v>
      </c>
    </row>
    <row r="495" spans="1:15" x14ac:dyDescent="0.3">
      <c r="A495" s="177"/>
      <c r="B495" s="179"/>
      <c r="C495" s="30" t="s">
        <v>55</v>
      </c>
      <c r="D495" s="24">
        <v>0</v>
      </c>
      <c r="E495" s="28"/>
      <c r="F495" s="24"/>
      <c r="G495" s="24"/>
      <c r="H495" s="24"/>
      <c r="I495" s="24"/>
      <c r="J495" s="24"/>
      <c r="K495" s="24"/>
      <c r="L495" s="24"/>
      <c r="M495" s="24">
        <f t="shared" ref="M495:M502" si="128">D495+E495+F495+G495+H495+J495+I495</f>
        <v>0</v>
      </c>
      <c r="N495" s="33">
        <v>0</v>
      </c>
      <c r="O495" s="33">
        <f t="shared" si="127"/>
        <v>0</v>
      </c>
    </row>
    <row r="496" spans="1:15" x14ac:dyDescent="0.3">
      <c r="A496" s="177"/>
      <c r="B496" s="179"/>
      <c r="C496" s="2" t="s">
        <v>56</v>
      </c>
      <c r="D496" s="24">
        <v>270774</v>
      </c>
      <c r="E496" s="24"/>
      <c r="F496" s="24"/>
      <c r="G496" s="24"/>
      <c r="H496" s="24"/>
      <c r="I496" s="24"/>
      <c r="J496" s="24"/>
      <c r="K496" s="24"/>
      <c r="L496" s="24"/>
      <c r="M496" s="24">
        <f t="shared" si="128"/>
        <v>270774</v>
      </c>
      <c r="N496" s="33">
        <v>270774</v>
      </c>
      <c r="O496" s="14">
        <f t="shared" si="127"/>
        <v>0</v>
      </c>
    </row>
    <row r="497" spans="1:15" x14ac:dyDescent="0.3">
      <c r="A497" s="177"/>
      <c r="B497" s="179"/>
      <c r="C497" s="2" t="s">
        <v>57</v>
      </c>
      <c r="D497" s="24">
        <v>0</v>
      </c>
      <c r="E497" s="24">
        <v>7990</v>
      </c>
      <c r="F497" s="24"/>
      <c r="G497" s="24"/>
      <c r="H497" s="24"/>
      <c r="I497" s="24"/>
      <c r="J497" s="24"/>
      <c r="K497" s="24"/>
      <c r="L497" s="24"/>
      <c r="M497" s="24">
        <f t="shared" si="128"/>
        <v>7990</v>
      </c>
      <c r="N497" s="33">
        <v>7990</v>
      </c>
      <c r="O497" s="21">
        <f t="shared" si="127"/>
        <v>0</v>
      </c>
    </row>
    <row r="498" spans="1:15" x14ac:dyDescent="0.3">
      <c r="A498" s="177"/>
      <c r="B498" s="179"/>
      <c r="C498" s="2" t="s">
        <v>44</v>
      </c>
      <c r="D498" s="24">
        <v>16800</v>
      </c>
      <c r="E498" s="24"/>
      <c r="F498" s="24"/>
      <c r="G498" s="24"/>
      <c r="H498" s="24"/>
      <c r="I498" s="24"/>
      <c r="J498" s="24"/>
      <c r="K498" s="24"/>
      <c r="L498" s="24"/>
      <c r="M498" s="24">
        <f t="shared" si="128"/>
        <v>16800</v>
      </c>
      <c r="N498" s="33">
        <v>4200</v>
      </c>
      <c r="O498" s="14">
        <f t="shared" si="127"/>
        <v>12600</v>
      </c>
    </row>
    <row r="499" spans="1:15" x14ac:dyDescent="0.3">
      <c r="A499" s="177"/>
      <c r="B499" s="179"/>
      <c r="C499" s="2" t="s">
        <v>58</v>
      </c>
      <c r="D499" s="24">
        <v>0</v>
      </c>
      <c r="E499" s="24"/>
      <c r="F499" s="24"/>
      <c r="G499" s="24"/>
      <c r="H499" s="24"/>
      <c r="I499" s="24"/>
      <c r="J499" s="24"/>
      <c r="K499" s="24"/>
      <c r="L499" s="24"/>
      <c r="M499" s="24">
        <f t="shared" si="128"/>
        <v>0</v>
      </c>
      <c r="N499" s="33">
        <v>0</v>
      </c>
      <c r="O499" s="14">
        <f t="shared" si="127"/>
        <v>0</v>
      </c>
    </row>
    <row r="500" spans="1:15" x14ac:dyDescent="0.3">
      <c r="A500" s="177"/>
      <c r="B500" s="179"/>
      <c r="C500" s="2" t="s">
        <v>59</v>
      </c>
      <c r="D500" s="24">
        <v>32000</v>
      </c>
      <c r="E500" s="24"/>
      <c r="F500" s="24"/>
      <c r="G500" s="24"/>
      <c r="H500" s="24"/>
      <c r="I500" s="24"/>
      <c r="J500" s="24"/>
      <c r="K500" s="24"/>
      <c r="L500" s="24"/>
      <c r="M500" s="24">
        <f t="shared" si="128"/>
        <v>32000</v>
      </c>
      <c r="N500" s="33">
        <v>5050</v>
      </c>
      <c r="O500" s="14">
        <f t="shared" si="127"/>
        <v>26950</v>
      </c>
    </row>
    <row r="501" spans="1:15" x14ac:dyDescent="0.3">
      <c r="A501" s="177"/>
      <c r="B501" s="179"/>
      <c r="C501" s="2" t="s">
        <v>45</v>
      </c>
      <c r="D501" s="24">
        <v>26689</v>
      </c>
      <c r="E501" s="24"/>
      <c r="F501" s="24"/>
      <c r="G501" s="24"/>
      <c r="H501" s="24"/>
      <c r="I501" s="24"/>
      <c r="J501" s="24"/>
      <c r="K501" s="24"/>
      <c r="L501" s="24"/>
      <c r="M501" s="24">
        <f t="shared" si="128"/>
        <v>26689</v>
      </c>
      <c r="N501" s="33">
        <v>13539</v>
      </c>
      <c r="O501" s="14">
        <f t="shared" si="127"/>
        <v>13150</v>
      </c>
    </row>
    <row r="502" spans="1:15" x14ac:dyDescent="0.3">
      <c r="A502" s="177"/>
      <c r="B502" s="179"/>
      <c r="C502" s="2" t="s">
        <v>60</v>
      </c>
      <c r="D502" s="24">
        <v>0</v>
      </c>
      <c r="E502" s="24"/>
      <c r="F502" s="24"/>
      <c r="G502" s="24"/>
      <c r="H502" s="24"/>
      <c r="I502" s="24"/>
      <c r="J502" s="24"/>
      <c r="K502" s="24"/>
      <c r="L502" s="24"/>
      <c r="M502" s="24">
        <f t="shared" si="128"/>
        <v>0</v>
      </c>
      <c r="N502" s="33">
        <v>0</v>
      </c>
      <c r="O502" s="14">
        <f t="shared" si="127"/>
        <v>0</v>
      </c>
    </row>
    <row r="503" spans="1:15" x14ac:dyDescent="0.3">
      <c r="A503" s="177"/>
      <c r="B503" s="179"/>
      <c r="C503" s="6" t="s">
        <v>46</v>
      </c>
      <c r="D503" s="97">
        <f>SUM(D493:D502)</f>
        <v>411263</v>
      </c>
      <c r="E503" s="97">
        <f t="shared" ref="E503:O503" si="129">SUM(E493:E502)</f>
        <v>0</v>
      </c>
      <c r="F503" s="97">
        <f t="shared" si="129"/>
        <v>0</v>
      </c>
      <c r="G503" s="97">
        <f t="shared" si="129"/>
        <v>0</v>
      </c>
      <c r="H503" s="97">
        <f t="shared" si="129"/>
        <v>0</v>
      </c>
      <c r="I503" s="97">
        <f t="shared" si="129"/>
        <v>0</v>
      </c>
      <c r="J503" s="97">
        <f t="shared" si="129"/>
        <v>0</v>
      </c>
      <c r="K503" s="97">
        <f t="shared" si="129"/>
        <v>0</v>
      </c>
      <c r="L503" s="97">
        <f t="shared" si="129"/>
        <v>0</v>
      </c>
      <c r="M503" s="97">
        <f t="shared" si="129"/>
        <v>411263</v>
      </c>
      <c r="N503" s="49">
        <f t="shared" si="129"/>
        <v>301553</v>
      </c>
      <c r="O503" s="26">
        <f t="shared" si="129"/>
        <v>109710</v>
      </c>
    </row>
    <row r="504" spans="1:15" x14ac:dyDescent="0.3">
      <c r="A504" s="198" t="s">
        <v>124</v>
      </c>
      <c r="B504" s="180" t="s">
        <v>18</v>
      </c>
      <c r="C504" s="2" t="s">
        <v>40</v>
      </c>
      <c r="D504" s="24">
        <v>276367</v>
      </c>
      <c r="E504" s="24"/>
      <c r="F504" s="24">
        <v>292919</v>
      </c>
      <c r="G504" s="24"/>
      <c r="H504" s="24"/>
      <c r="I504" s="24"/>
      <c r="J504" s="24"/>
      <c r="K504" s="24"/>
      <c r="L504" s="24"/>
      <c r="M504" s="24">
        <f>D504+E504+F504+G504+H504+J504+I504+K504</f>
        <v>569286</v>
      </c>
      <c r="N504" s="33">
        <v>221434</v>
      </c>
      <c r="O504" s="14">
        <f t="shared" ref="O504:O505" si="130">M504-N504</f>
        <v>347852</v>
      </c>
    </row>
    <row r="505" spans="1:15" x14ac:dyDescent="0.3">
      <c r="A505" s="196"/>
      <c r="B505" s="181"/>
      <c r="C505" s="2" t="s">
        <v>42</v>
      </c>
      <c r="D505" s="24">
        <v>48364</v>
      </c>
      <c r="E505" s="24"/>
      <c r="F505" s="24">
        <v>46292</v>
      </c>
      <c r="G505" s="24"/>
      <c r="H505" s="24"/>
      <c r="I505" s="24"/>
      <c r="J505" s="24"/>
      <c r="K505" s="24"/>
      <c r="L505" s="24"/>
      <c r="M505" s="24">
        <f>D505+E505+F505+G505+H505+J505+I505</f>
        <v>94656</v>
      </c>
      <c r="N505" s="33">
        <v>38752</v>
      </c>
      <c r="O505" s="14">
        <f t="shared" si="130"/>
        <v>55904</v>
      </c>
    </row>
    <row r="506" spans="1:15" x14ac:dyDescent="0.3">
      <c r="A506" s="212" t="s">
        <v>125</v>
      </c>
      <c r="B506" s="213"/>
      <c r="C506" s="214"/>
      <c r="D506" s="115">
        <f>SUM(D485+D491+D492+D503+D504+D505)</f>
        <v>7287197</v>
      </c>
      <c r="E506" s="103">
        <f t="shared" ref="E506:O506" si="131">SUM(E485,E491,E492,E503,E504,E505)</f>
        <v>0</v>
      </c>
      <c r="F506" s="103">
        <f t="shared" si="131"/>
        <v>339211</v>
      </c>
      <c r="G506" s="103">
        <f t="shared" si="131"/>
        <v>0</v>
      </c>
      <c r="H506" s="103">
        <f t="shared" si="131"/>
        <v>0</v>
      </c>
      <c r="I506" s="103">
        <f t="shared" si="131"/>
        <v>0</v>
      </c>
      <c r="J506" s="103">
        <f t="shared" si="131"/>
        <v>0</v>
      </c>
      <c r="K506" s="103">
        <f t="shared" si="131"/>
        <v>0</v>
      </c>
      <c r="L506" s="103">
        <f t="shared" si="131"/>
        <v>0</v>
      </c>
      <c r="M506" s="103">
        <f t="shared" si="131"/>
        <v>7626408</v>
      </c>
      <c r="N506" s="137">
        <f>SUM(N485,N491,N492,N503,N504,N505)</f>
        <v>3238668</v>
      </c>
      <c r="O506" s="61">
        <f t="shared" si="131"/>
        <v>4387740</v>
      </c>
    </row>
    <row r="507" spans="1:15" x14ac:dyDescent="0.3">
      <c r="A507" s="177" t="s">
        <v>74</v>
      </c>
      <c r="B507" s="4" t="s">
        <v>6</v>
      </c>
      <c r="C507" s="2" t="s">
        <v>67</v>
      </c>
      <c r="D507" s="24">
        <v>0</v>
      </c>
      <c r="E507" s="24"/>
      <c r="F507" s="24"/>
      <c r="G507" s="24"/>
      <c r="H507" s="24"/>
      <c r="I507" s="24"/>
      <c r="J507" s="24"/>
      <c r="K507" s="24"/>
      <c r="L507" s="24"/>
      <c r="M507" s="24">
        <f t="shared" ref="M507:M512" si="132">D507+E507+F507+G507+H507+J507+I507</f>
        <v>0</v>
      </c>
      <c r="N507" s="33">
        <v>0</v>
      </c>
      <c r="O507" s="14">
        <f t="shared" ref="O507:O512" si="133">M507-N507</f>
        <v>0</v>
      </c>
    </row>
    <row r="508" spans="1:15" x14ac:dyDescent="0.3">
      <c r="A508" s="177"/>
      <c r="B508" s="180" t="s">
        <v>18</v>
      </c>
      <c r="C508" s="2" t="s">
        <v>40</v>
      </c>
      <c r="D508" s="24">
        <v>5427169</v>
      </c>
      <c r="E508" s="24">
        <v>-59014</v>
      </c>
      <c r="F508" s="24"/>
      <c r="G508" s="24"/>
      <c r="H508" s="24"/>
      <c r="I508" s="24"/>
      <c r="J508" s="24"/>
      <c r="K508" s="24"/>
      <c r="L508" s="24"/>
      <c r="M508" s="24">
        <f t="shared" si="132"/>
        <v>5368155</v>
      </c>
      <c r="N508" s="33">
        <v>1865246</v>
      </c>
      <c r="O508" s="14">
        <f t="shared" si="133"/>
        <v>3502909</v>
      </c>
    </row>
    <row r="509" spans="1:15" x14ac:dyDescent="0.3">
      <c r="A509" s="177"/>
      <c r="B509" s="199"/>
      <c r="C509" s="2" t="s">
        <v>47</v>
      </c>
      <c r="D509" s="24">
        <v>200000</v>
      </c>
      <c r="E509" s="24"/>
      <c r="F509" s="24"/>
      <c r="G509" s="24"/>
      <c r="H509" s="24"/>
      <c r="I509" s="24"/>
      <c r="J509" s="24"/>
      <c r="K509" s="24"/>
      <c r="L509" s="24"/>
      <c r="M509" s="24">
        <f t="shared" si="132"/>
        <v>200000</v>
      </c>
      <c r="N509" s="33">
        <v>0</v>
      </c>
      <c r="O509" s="14">
        <f t="shared" si="133"/>
        <v>200000</v>
      </c>
    </row>
    <row r="510" spans="1:15" x14ac:dyDescent="0.3">
      <c r="A510" s="177"/>
      <c r="B510" s="199"/>
      <c r="C510" s="2" t="s">
        <v>48</v>
      </c>
      <c r="D510" s="24">
        <v>10000</v>
      </c>
      <c r="E510" s="24"/>
      <c r="F510" s="24"/>
      <c r="G510" s="24"/>
      <c r="H510" s="24"/>
      <c r="I510" s="24"/>
      <c r="J510" s="24"/>
      <c r="K510" s="24"/>
      <c r="L510" s="24"/>
      <c r="M510" s="24">
        <f t="shared" si="132"/>
        <v>10000</v>
      </c>
      <c r="N510" s="33">
        <v>0</v>
      </c>
      <c r="O510" s="14">
        <f t="shared" si="133"/>
        <v>10000</v>
      </c>
    </row>
    <row r="511" spans="1:15" x14ac:dyDescent="0.3">
      <c r="A511" s="177"/>
      <c r="B511" s="199"/>
      <c r="C511" s="2" t="s">
        <v>50</v>
      </c>
      <c r="D511" s="24">
        <v>24000</v>
      </c>
      <c r="E511" s="24"/>
      <c r="F511" s="24"/>
      <c r="G511" s="24"/>
      <c r="H511" s="24"/>
      <c r="I511" s="24"/>
      <c r="J511" s="24"/>
      <c r="K511" s="24"/>
      <c r="L511" s="24"/>
      <c r="M511" s="24">
        <f t="shared" si="132"/>
        <v>24000</v>
      </c>
      <c r="N511" s="33">
        <v>0</v>
      </c>
      <c r="O511" s="14">
        <f t="shared" si="133"/>
        <v>24000</v>
      </c>
    </row>
    <row r="512" spans="1:15" x14ac:dyDescent="0.3">
      <c r="A512" s="177"/>
      <c r="B512" s="199"/>
      <c r="C512" s="2" t="s">
        <v>51</v>
      </c>
      <c r="D512" s="24">
        <v>0</v>
      </c>
      <c r="E512" s="24">
        <v>59014</v>
      </c>
      <c r="F512" s="24"/>
      <c r="G512" s="24"/>
      <c r="H512" s="24"/>
      <c r="I512" s="24"/>
      <c r="J512" s="24"/>
      <c r="K512" s="24"/>
      <c r="L512" s="24"/>
      <c r="M512" s="24">
        <f t="shared" si="132"/>
        <v>59014</v>
      </c>
      <c r="N512" s="33">
        <v>59014</v>
      </c>
      <c r="O512" s="21">
        <f t="shared" si="133"/>
        <v>0</v>
      </c>
    </row>
    <row r="513" spans="1:15" x14ac:dyDescent="0.3">
      <c r="A513" s="177"/>
      <c r="B513" s="199"/>
      <c r="C513" s="6" t="s">
        <v>41</v>
      </c>
      <c r="D513" s="97">
        <f>SUM(D508:D512)</f>
        <v>5661169</v>
      </c>
      <c r="E513" s="97">
        <f t="shared" ref="E513:O513" si="134">SUM(E508:E512)</f>
        <v>0</v>
      </c>
      <c r="F513" s="97">
        <f t="shared" si="134"/>
        <v>0</v>
      </c>
      <c r="G513" s="97">
        <f t="shared" si="134"/>
        <v>0</v>
      </c>
      <c r="H513" s="97">
        <f t="shared" si="134"/>
        <v>0</v>
      </c>
      <c r="I513" s="97">
        <f t="shared" si="134"/>
        <v>0</v>
      </c>
      <c r="J513" s="97">
        <f t="shared" si="134"/>
        <v>0</v>
      </c>
      <c r="K513" s="97">
        <f t="shared" si="134"/>
        <v>0</v>
      </c>
      <c r="L513" s="97">
        <f t="shared" si="134"/>
        <v>0</v>
      </c>
      <c r="M513" s="97">
        <f t="shared" si="134"/>
        <v>5661169</v>
      </c>
      <c r="N513" s="49">
        <f t="shared" si="134"/>
        <v>1924260</v>
      </c>
      <c r="O513" s="26">
        <f t="shared" si="134"/>
        <v>3736909</v>
      </c>
    </row>
    <row r="514" spans="1:15" x14ac:dyDescent="0.3">
      <c r="A514" s="177"/>
      <c r="B514" s="199"/>
      <c r="C514" s="57" t="s">
        <v>42</v>
      </c>
      <c r="D514" s="98">
        <v>1020706</v>
      </c>
      <c r="E514" s="98"/>
      <c r="F514" s="98"/>
      <c r="G514" s="98"/>
      <c r="H514" s="98"/>
      <c r="I514" s="98"/>
      <c r="J514" s="98"/>
      <c r="K514" s="98"/>
      <c r="L514" s="98"/>
      <c r="M514" s="99">
        <f>D514+E514+F514+G514+H514+J514</f>
        <v>1020706</v>
      </c>
      <c r="N514" s="133">
        <v>339420</v>
      </c>
      <c r="O514" s="55">
        <f t="shared" ref="O514:O525" si="135">M514-N514</f>
        <v>681286</v>
      </c>
    </row>
    <row r="515" spans="1:15" x14ac:dyDescent="0.3">
      <c r="A515" s="177"/>
      <c r="B515" s="199"/>
      <c r="C515" s="2" t="s">
        <v>43</v>
      </c>
      <c r="D515" s="24">
        <v>40000</v>
      </c>
      <c r="E515" s="24"/>
      <c r="F515" s="24"/>
      <c r="G515" s="24"/>
      <c r="H515" s="24"/>
      <c r="I515" s="24"/>
      <c r="J515" s="24"/>
      <c r="K515" s="24"/>
      <c r="L515" s="24"/>
      <c r="M515" s="24">
        <f t="shared" ref="M515:M525" si="136">D515+E515+F515+G515+H515+J515+I515</f>
        <v>40000</v>
      </c>
      <c r="N515" s="33">
        <v>0</v>
      </c>
      <c r="O515" s="14">
        <f t="shared" si="135"/>
        <v>40000</v>
      </c>
    </row>
    <row r="516" spans="1:15" x14ac:dyDescent="0.3">
      <c r="A516" s="177"/>
      <c r="B516" s="199"/>
      <c r="C516" s="2" t="s">
        <v>53</v>
      </c>
      <c r="D516" s="24">
        <v>25000</v>
      </c>
      <c r="E516" s="24"/>
      <c r="F516" s="24"/>
      <c r="G516" s="24"/>
      <c r="H516" s="24"/>
      <c r="I516" s="24"/>
      <c r="J516" s="24"/>
      <c r="K516" s="24"/>
      <c r="L516" s="24"/>
      <c r="M516" s="24">
        <f t="shared" si="136"/>
        <v>25000</v>
      </c>
      <c r="N516" s="33">
        <v>0</v>
      </c>
      <c r="O516" s="14">
        <f t="shared" si="135"/>
        <v>25000</v>
      </c>
    </row>
    <row r="517" spans="1:15" x14ac:dyDescent="0.3">
      <c r="A517" s="177"/>
      <c r="B517" s="199"/>
      <c r="C517" s="30" t="s">
        <v>55</v>
      </c>
      <c r="D517" s="24">
        <v>0</v>
      </c>
      <c r="E517" s="24"/>
      <c r="F517" s="24"/>
      <c r="G517" s="24"/>
      <c r="H517" s="24"/>
      <c r="I517" s="24"/>
      <c r="J517" s="24"/>
      <c r="K517" s="24"/>
      <c r="L517" s="24"/>
      <c r="M517" s="24">
        <f t="shared" si="136"/>
        <v>0</v>
      </c>
      <c r="N517" s="33">
        <v>0</v>
      </c>
      <c r="O517" s="33">
        <f t="shared" si="135"/>
        <v>0</v>
      </c>
    </row>
    <row r="518" spans="1:15" x14ac:dyDescent="0.3">
      <c r="A518" s="177"/>
      <c r="B518" s="199"/>
      <c r="C518" s="2" t="s">
        <v>56</v>
      </c>
      <c r="D518" s="24">
        <v>0</v>
      </c>
      <c r="E518" s="24"/>
      <c r="F518" s="24"/>
      <c r="G518" s="24"/>
      <c r="H518" s="24"/>
      <c r="I518" s="24"/>
      <c r="J518" s="24"/>
      <c r="K518" s="24"/>
      <c r="L518" s="24"/>
      <c r="M518" s="24">
        <f t="shared" si="136"/>
        <v>0</v>
      </c>
      <c r="N518" s="33">
        <v>0</v>
      </c>
      <c r="O518" s="14">
        <f t="shared" si="135"/>
        <v>0</v>
      </c>
    </row>
    <row r="519" spans="1:15" x14ac:dyDescent="0.3">
      <c r="A519" s="177"/>
      <c r="B519" s="199"/>
      <c r="C519" s="2" t="s">
        <v>62</v>
      </c>
      <c r="D519" s="24">
        <v>0</v>
      </c>
      <c r="E519" s="24"/>
      <c r="F519" s="24"/>
      <c r="G519" s="24"/>
      <c r="H519" s="24"/>
      <c r="I519" s="24"/>
      <c r="J519" s="24"/>
      <c r="K519" s="24"/>
      <c r="L519" s="24"/>
      <c r="M519" s="24">
        <f t="shared" si="136"/>
        <v>0</v>
      </c>
      <c r="N519" s="33">
        <v>0</v>
      </c>
      <c r="O519" s="21">
        <f t="shared" si="135"/>
        <v>0</v>
      </c>
    </row>
    <row r="520" spans="1:15" x14ac:dyDescent="0.3">
      <c r="A520" s="177"/>
      <c r="B520" s="199"/>
      <c r="C520" s="2" t="s">
        <v>57</v>
      </c>
      <c r="D520" s="24">
        <v>0</v>
      </c>
      <c r="E520" s="24"/>
      <c r="F520" s="24"/>
      <c r="G520" s="24"/>
      <c r="H520" s="24"/>
      <c r="I520" s="24"/>
      <c r="J520" s="24"/>
      <c r="K520" s="24"/>
      <c r="L520" s="24"/>
      <c r="M520" s="24">
        <f t="shared" si="136"/>
        <v>0</v>
      </c>
      <c r="N520" s="33">
        <v>0</v>
      </c>
      <c r="O520" s="21">
        <f t="shared" si="135"/>
        <v>0</v>
      </c>
    </row>
    <row r="521" spans="1:15" x14ac:dyDescent="0.3">
      <c r="A521" s="177"/>
      <c r="B521" s="199"/>
      <c r="C521" s="2" t="s">
        <v>44</v>
      </c>
      <c r="D521" s="24">
        <v>16800</v>
      </c>
      <c r="E521" s="24"/>
      <c r="F521" s="24"/>
      <c r="G521" s="24"/>
      <c r="H521" s="24"/>
      <c r="I521" s="24"/>
      <c r="J521" s="24"/>
      <c r="K521" s="24"/>
      <c r="L521" s="24"/>
      <c r="M521" s="24">
        <f t="shared" si="136"/>
        <v>16800</v>
      </c>
      <c r="N521" s="33">
        <v>4200</v>
      </c>
      <c r="O521" s="21">
        <f t="shared" si="135"/>
        <v>12600</v>
      </c>
    </row>
    <row r="522" spans="1:15" x14ac:dyDescent="0.3">
      <c r="A522" s="177"/>
      <c r="B522" s="199"/>
      <c r="C522" s="2" t="s">
        <v>58</v>
      </c>
      <c r="D522" s="24">
        <v>0</v>
      </c>
      <c r="E522" s="24"/>
      <c r="F522" s="24"/>
      <c r="G522" s="24"/>
      <c r="H522" s="24"/>
      <c r="I522" s="24"/>
      <c r="J522" s="24"/>
      <c r="K522" s="24"/>
      <c r="L522" s="24"/>
      <c r="M522" s="24">
        <f t="shared" si="136"/>
        <v>0</v>
      </c>
      <c r="N522" s="33">
        <v>0</v>
      </c>
      <c r="O522" s="21">
        <f t="shared" si="135"/>
        <v>0</v>
      </c>
    </row>
    <row r="523" spans="1:15" x14ac:dyDescent="0.3">
      <c r="A523" s="177"/>
      <c r="B523" s="199"/>
      <c r="C523" s="2" t="s">
        <v>59</v>
      </c>
      <c r="D523" s="24">
        <v>0</v>
      </c>
      <c r="E523" s="24"/>
      <c r="F523" s="24"/>
      <c r="G523" s="24"/>
      <c r="H523" s="24"/>
      <c r="I523" s="24"/>
      <c r="J523" s="24"/>
      <c r="K523" s="24"/>
      <c r="L523" s="24"/>
      <c r="M523" s="24">
        <f t="shared" si="136"/>
        <v>0</v>
      </c>
      <c r="N523" s="33">
        <v>0</v>
      </c>
      <c r="O523" s="21">
        <f t="shared" si="135"/>
        <v>0</v>
      </c>
    </row>
    <row r="524" spans="1:15" x14ac:dyDescent="0.3">
      <c r="A524" s="177"/>
      <c r="B524" s="199"/>
      <c r="C524" s="2" t="s">
        <v>45</v>
      </c>
      <c r="D524" s="24">
        <v>13150</v>
      </c>
      <c r="E524" s="24"/>
      <c r="F524" s="24"/>
      <c r="G524" s="24"/>
      <c r="H524" s="24"/>
      <c r="I524" s="24"/>
      <c r="J524" s="24"/>
      <c r="K524" s="24"/>
      <c r="L524" s="24"/>
      <c r="M524" s="24">
        <f t="shared" si="136"/>
        <v>13150</v>
      </c>
      <c r="N524" s="33">
        <v>0</v>
      </c>
      <c r="O524" s="21">
        <f t="shared" si="135"/>
        <v>13150</v>
      </c>
    </row>
    <row r="525" spans="1:15" x14ac:dyDescent="0.3">
      <c r="A525" s="177"/>
      <c r="B525" s="199"/>
      <c r="C525" s="2" t="s">
        <v>60</v>
      </c>
      <c r="D525" s="24">
        <v>0</v>
      </c>
      <c r="E525" s="24"/>
      <c r="F525" s="24"/>
      <c r="G525" s="24"/>
      <c r="H525" s="24"/>
      <c r="I525" s="24"/>
      <c r="J525" s="24"/>
      <c r="K525" s="24"/>
      <c r="L525" s="24"/>
      <c r="M525" s="24">
        <f t="shared" si="136"/>
        <v>0</v>
      </c>
      <c r="N525" s="33">
        <v>0</v>
      </c>
      <c r="O525" s="14">
        <f t="shared" si="135"/>
        <v>0</v>
      </c>
    </row>
    <row r="526" spans="1:15" x14ac:dyDescent="0.3">
      <c r="A526" s="177"/>
      <c r="B526" s="199"/>
      <c r="C526" s="6" t="s">
        <v>46</v>
      </c>
      <c r="D526" s="97">
        <f>SUM(D515:D525)</f>
        <v>94950</v>
      </c>
      <c r="E526" s="97">
        <f t="shared" ref="E526:O526" si="137">SUM(E515:E525)</f>
        <v>0</v>
      </c>
      <c r="F526" s="97">
        <f t="shared" si="137"/>
        <v>0</v>
      </c>
      <c r="G526" s="97">
        <f t="shared" si="137"/>
        <v>0</v>
      </c>
      <c r="H526" s="97">
        <f t="shared" si="137"/>
        <v>0</v>
      </c>
      <c r="I526" s="97">
        <f t="shared" si="137"/>
        <v>0</v>
      </c>
      <c r="J526" s="97">
        <f t="shared" si="137"/>
        <v>0</v>
      </c>
      <c r="K526" s="97">
        <f t="shared" si="137"/>
        <v>0</v>
      </c>
      <c r="L526" s="97">
        <f t="shared" si="137"/>
        <v>0</v>
      </c>
      <c r="M526" s="97">
        <f t="shared" si="137"/>
        <v>94950</v>
      </c>
      <c r="N526" s="49">
        <f t="shared" si="137"/>
        <v>4200</v>
      </c>
      <c r="O526" s="26">
        <f t="shared" si="137"/>
        <v>90750</v>
      </c>
    </row>
    <row r="527" spans="1:15" x14ac:dyDescent="0.3">
      <c r="A527" s="177"/>
      <c r="B527" s="199"/>
      <c r="C527" s="2" t="s">
        <v>112</v>
      </c>
      <c r="D527" s="24">
        <v>0</v>
      </c>
      <c r="E527" s="24"/>
      <c r="F527" s="24"/>
      <c r="G527" s="24"/>
      <c r="H527" s="24"/>
      <c r="I527" s="24"/>
      <c r="J527" s="24"/>
      <c r="K527" s="24"/>
      <c r="L527" s="24"/>
      <c r="M527" s="24">
        <f>D527+E527+F527+G527+H527+J527+I527</f>
        <v>0</v>
      </c>
      <c r="N527" s="33">
        <v>0</v>
      </c>
      <c r="O527" s="14">
        <f t="shared" ref="O527:O528" si="138">M527-N527</f>
        <v>0</v>
      </c>
    </row>
    <row r="528" spans="1:15" x14ac:dyDescent="0.3">
      <c r="A528" s="177"/>
      <c r="B528" s="199"/>
      <c r="C528" s="2" t="s">
        <v>113</v>
      </c>
      <c r="D528" s="24">
        <v>0</v>
      </c>
      <c r="E528" s="24"/>
      <c r="F528" s="24"/>
      <c r="G528" s="24"/>
      <c r="H528" s="24"/>
      <c r="I528" s="24"/>
      <c r="J528" s="24"/>
      <c r="K528" s="24"/>
      <c r="L528" s="24"/>
      <c r="M528" s="24">
        <f>D528+E528+F528+G528+H528+J528+I528</f>
        <v>0</v>
      </c>
      <c r="N528" s="33">
        <v>0</v>
      </c>
      <c r="O528" s="14">
        <f t="shared" si="138"/>
        <v>0</v>
      </c>
    </row>
    <row r="529" spans="1:15" x14ac:dyDescent="0.3">
      <c r="A529" s="177"/>
      <c r="B529" s="181"/>
      <c r="C529" s="6" t="s">
        <v>114</v>
      </c>
      <c r="D529" s="97">
        <f>SUM(D527:D528)</f>
        <v>0</v>
      </c>
      <c r="E529" s="97">
        <f t="shared" ref="E529:O529" si="139">SUM(E527:E528)</f>
        <v>0</v>
      </c>
      <c r="F529" s="97">
        <f t="shared" si="139"/>
        <v>0</v>
      </c>
      <c r="G529" s="97">
        <f t="shared" si="139"/>
        <v>0</v>
      </c>
      <c r="H529" s="97">
        <f t="shared" si="139"/>
        <v>0</v>
      </c>
      <c r="I529" s="97">
        <f t="shared" si="139"/>
        <v>0</v>
      </c>
      <c r="J529" s="97">
        <f t="shared" si="139"/>
        <v>0</v>
      </c>
      <c r="K529" s="97">
        <f t="shared" si="139"/>
        <v>0</v>
      </c>
      <c r="L529" s="97">
        <f t="shared" si="139"/>
        <v>0</v>
      </c>
      <c r="M529" s="97">
        <f t="shared" si="139"/>
        <v>0</v>
      </c>
      <c r="N529" s="49">
        <f t="shared" si="139"/>
        <v>0</v>
      </c>
      <c r="O529" s="26">
        <f t="shared" si="139"/>
        <v>0</v>
      </c>
    </row>
    <row r="530" spans="1:15" x14ac:dyDescent="0.3">
      <c r="A530" s="177"/>
      <c r="B530" s="179" t="s">
        <v>21</v>
      </c>
      <c r="C530" s="2" t="s">
        <v>62</v>
      </c>
      <c r="D530" s="24">
        <v>36000</v>
      </c>
      <c r="E530" s="24"/>
      <c r="F530" s="24"/>
      <c r="G530" s="24"/>
      <c r="H530" s="24"/>
      <c r="I530" s="24"/>
      <c r="J530" s="24"/>
      <c r="K530" s="24"/>
      <c r="L530" s="24"/>
      <c r="M530" s="24">
        <f>D530+E530+F530+G530+H530+J530+I530</f>
        <v>36000</v>
      </c>
      <c r="N530" s="33">
        <v>12000</v>
      </c>
      <c r="O530" s="14">
        <f t="shared" ref="O530:O534" si="140">M530-N530</f>
        <v>24000</v>
      </c>
    </row>
    <row r="531" spans="1:15" x14ac:dyDescent="0.3">
      <c r="A531" s="177"/>
      <c r="B531" s="179"/>
      <c r="C531" s="2" t="s">
        <v>57</v>
      </c>
      <c r="D531" s="24">
        <v>6000</v>
      </c>
      <c r="E531" s="24"/>
      <c r="F531" s="24"/>
      <c r="G531" s="24"/>
      <c r="H531" s="24"/>
      <c r="I531" s="24"/>
      <c r="J531" s="24"/>
      <c r="K531" s="24"/>
      <c r="L531" s="24"/>
      <c r="M531" s="24">
        <f>D531+E531+F531+G531+H531+J531+I531</f>
        <v>6000</v>
      </c>
      <c r="N531" s="33">
        <v>6000</v>
      </c>
      <c r="O531" s="14">
        <f t="shared" si="140"/>
        <v>0</v>
      </c>
    </row>
    <row r="532" spans="1:15" x14ac:dyDescent="0.3">
      <c r="A532" s="177"/>
      <c r="B532" s="179"/>
      <c r="C532" s="30" t="s">
        <v>64</v>
      </c>
      <c r="D532" s="24">
        <v>0</v>
      </c>
      <c r="E532" s="24"/>
      <c r="F532" s="24"/>
      <c r="G532" s="24"/>
      <c r="H532" s="24"/>
      <c r="I532" s="24"/>
      <c r="J532" s="24"/>
      <c r="K532" s="24"/>
      <c r="L532" s="24"/>
      <c r="M532" s="24">
        <f>D532+E532+F532+G532+H532+J532+I532</f>
        <v>0</v>
      </c>
      <c r="N532" s="33">
        <v>0</v>
      </c>
      <c r="O532" s="14">
        <f t="shared" si="140"/>
        <v>0</v>
      </c>
    </row>
    <row r="533" spans="1:15" x14ac:dyDescent="0.3">
      <c r="A533" s="177"/>
      <c r="B533" s="179"/>
      <c r="C533" s="2" t="s">
        <v>58</v>
      </c>
      <c r="D533" s="24">
        <v>0</v>
      </c>
      <c r="E533" s="24"/>
      <c r="F533" s="24"/>
      <c r="G533" s="24"/>
      <c r="H533" s="24"/>
      <c r="I533" s="24"/>
      <c r="J533" s="24"/>
      <c r="K533" s="24"/>
      <c r="L533" s="24"/>
      <c r="M533" s="24">
        <f>D533+E533+F533+G533+H533+J533+I533</f>
        <v>0</v>
      </c>
      <c r="N533" s="33">
        <v>0</v>
      </c>
      <c r="O533" s="14">
        <f t="shared" si="140"/>
        <v>0</v>
      </c>
    </row>
    <row r="534" spans="1:15" x14ac:dyDescent="0.3">
      <c r="A534" s="177"/>
      <c r="B534" s="179"/>
      <c r="C534" s="2" t="s">
        <v>45</v>
      </c>
      <c r="D534" s="24">
        <v>11340</v>
      </c>
      <c r="E534" s="24"/>
      <c r="F534" s="24"/>
      <c r="G534" s="24"/>
      <c r="H534" s="24"/>
      <c r="I534" s="24"/>
      <c r="J534" s="24"/>
      <c r="K534" s="24"/>
      <c r="L534" s="24"/>
      <c r="M534" s="24">
        <f>D534+E534+F534+G534+H534+J534+I534</f>
        <v>11340</v>
      </c>
      <c r="N534" s="33">
        <v>4860</v>
      </c>
      <c r="O534" s="14">
        <f t="shared" si="140"/>
        <v>6480</v>
      </c>
    </row>
    <row r="535" spans="1:15" x14ac:dyDescent="0.3">
      <c r="A535" s="177"/>
      <c r="B535" s="179"/>
      <c r="C535" s="6" t="s">
        <v>46</v>
      </c>
      <c r="D535" s="97">
        <f>SUM(D530:D534)</f>
        <v>53340</v>
      </c>
      <c r="E535" s="97">
        <f t="shared" ref="E535:O535" si="141">SUM(E530:E534)</f>
        <v>0</v>
      </c>
      <c r="F535" s="97">
        <f t="shared" si="141"/>
        <v>0</v>
      </c>
      <c r="G535" s="97">
        <f t="shared" si="141"/>
        <v>0</v>
      </c>
      <c r="H535" s="97">
        <f t="shared" si="141"/>
        <v>0</v>
      </c>
      <c r="I535" s="97">
        <f t="shared" si="141"/>
        <v>0</v>
      </c>
      <c r="J535" s="97">
        <f t="shared" si="141"/>
        <v>0</v>
      </c>
      <c r="K535" s="97">
        <f t="shared" si="141"/>
        <v>0</v>
      </c>
      <c r="L535" s="97">
        <f t="shared" si="141"/>
        <v>0</v>
      </c>
      <c r="M535" s="97">
        <f t="shared" si="141"/>
        <v>53340</v>
      </c>
      <c r="N535" s="49">
        <f t="shared" si="141"/>
        <v>22860</v>
      </c>
      <c r="O535" s="26">
        <f t="shared" si="141"/>
        <v>30480</v>
      </c>
    </row>
    <row r="536" spans="1:15" x14ac:dyDescent="0.3">
      <c r="A536" s="198" t="s">
        <v>96</v>
      </c>
      <c r="B536" s="180" t="s">
        <v>18</v>
      </c>
      <c r="C536" s="2" t="s">
        <v>40</v>
      </c>
      <c r="D536" s="24">
        <v>844996</v>
      </c>
      <c r="E536" s="24"/>
      <c r="F536" s="24">
        <v>147098</v>
      </c>
      <c r="G536" s="24"/>
      <c r="H536" s="24"/>
      <c r="I536" s="24"/>
      <c r="J536" s="24"/>
      <c r="K536" s="24"/>
      <c r="L536" s="24"/>
      <c r="M536" s="24">
        <f>D536+E536+F536+G536+H536+J536+I536+K536</f>
        <v>992094</v>
      </c>
      <c r="N536" s="33">
        <v>442254</v>
      </c>
      <c r="O536" s="14">
        <f t="shared" ref="O536:O539" si="142">M536-N536</f>
        <v>549840</v>
      </c>
    </row>
    <row r="537" spans="1:15" x14ac:dyDescent="0.3">
      <c r="A537" s="196"/>
      <c r="B537" s="181"/>
      <c r="C537" s="2" t="s">
        <v>42</v>
      </c>
      <c r="D537" s="24">
        <v>147874</v>
      </c>
      <c r="E537" s="24"/>
      <c r="F537" s="24">
        <v>19384</v>
      </c>
      <c r="G537" s="24"/>
      <c r="H537" s="24"/>
      <c r="I537" s="24"/>
      <c r="J537" s="24"/>
      <c r="K537" s="24"/>
      <c r="L537" s="24"/>
      <c r="M537" s="24">
        <f>D537+E537+F537+G537+H537+J537+I537+K537</f>
        <v>167258</v>
      </c>
      <c r="N537" s="33">
        <v>77393</v>
      </c>
      <c r="O537" s="14">
        <f t="shared" si="142"/>
        <v>89865</v>
      </c>
    </row>
    <row r="538" spans="1:15" x14ac:dyDescent="0.3">
      <c r="A538" s="198" t="s">
        <v>97</v>
      </c>
      <c r="B538" s="180" t="s">
        <v>18</v>
      </c>
      <c r="C538" s="2" t="s">
        <v>51</v>
      </c>
      <c r="D538" s="24">
        <v>39750</v>
      </c>
      <c r="E538" s="24"/>
      <c r="F538" s="24"/>
      <c r="G538" s="24"/>
      <c r="H538" s="24"/>
      <c r="I538" s="24"/>
      <c r="J538" s="24"/>
      <c r="K538" s="24"/>
      <c r="L538" s="24"/>
      <c r="M538" s="24">
        <f>D538+E538+F538+G538+H538+J538+I538+K538</f>
        <v>39750</v>
      </c>
      <c r="N538" s="33">
        <v>8500</v>
      </c>
      <c r="O538" s="14">
        <f t="shared" si="142"/>
        <v>31250</v>
      </c>
    </row>
    <row r="539" spans="1:15" x14ac:dyDescent="0.3">
      <c r="A539" s="196"/>
      <c r="B539" s="181"/>
      <c r="C539" s="2" t="s">
        <v>42</v>
      </c>
      <c r="D539" s="24">
        <v>6956</v>
      </c>
      <c r="E539" s="24"/>
      <c r="F539" s="24"/>
      <c r="G539" s="24"/>
      <c r="H539" s="24"/>
      <c r="I539" s="24"/>
      <c r="J539" s="24"/>
      <c r="K539" s="24"/>
      <c r="L539" s="24"/>
      <c r="M539" s="24">
        <f>D539+E539+F539+G539+H539+J539+I539+K539</f>
        <v>6956</v>
      </c>
      <c r="N539" s="33">
        <v>1488</v>
      </c>
      <c r="O539" s="14">
        <f t="shared" si="142"/>
        <v>5468</v>
      </c>
    </row>
    <row r="540" spans="1:15" x14ac:dyDescent="0.3">
      <c r="A540" s="212" t="s">
        <v>126</v>
      </c>
      <c r="B540" s="213"/>
      <c r="C540" s="214"/>
      <c r="D540" s="115">
        <f>SUM(D507+D513+D514+D526+D529+D535+D536+D537+D538+D539)</f>
        <v>7869741</v>
      </c>
      <c r="E540" s="105">
        <f t="shared" ref="E540:O540" si="143">SUM(E539,E538,E537,E536,E535,E529,E526,E514,E513,E507)</f>
        <v>0</v>
      </c>
      <c r="F540" s="105">
        <f t="shared" si="143"/>
        <v>166482</v>
      </c>
      <c r="G540" s="105">
        <f t="shared" si="143"/>
        <v>0</v>
      </c>
      <c r="H540" s="105">
        <f t="shared" si="143"/>
        <v>0</v>
      </c>
      <c r="I540" s="105">
        <f t="shared" si="143"/>
        <v>0</v>
      </c>
      <c r="J540" s="105">
        <f t="shared" si="143"/>
        <v>0</v>
      </c>
      <c r="K540" s="105">
        <f t="shared" si="143"/>
        <v>0</v>
      </c>
      <c r="L540" s="105">
        <f t="shared" si="143"/>
        <v>0</v>
      </c>
      <c r="M540" s="105">
        <f t="shared" si="143"/>
        <v>8036223</v>
      </c>
      <c r="N540" s="138">
        <f>SUM(N539,N538,N537,N536,N535,N529,N526,N514,N513,N507)</f>
        <v>2820375</v>
      </c>
      <c r="O540" s="62">
        <f t="shared" si="143"/>
        <v>5215848</v>
      </c>
    </row>
    <row r="541" spans="1:15" x14ac:dyDescent="0.3">
      <c r="A541" s="198" t="s">
        <v>75</v>
      </c>
      <c r="B541" s="3" t="s">
        <v>6</v>
      </c>
      <c r="C541" s="2" t="s">
        <v>67</v>
      </c>
      <c r="D541" s="24">
        <v>0</v>
      </c>
      <c r="E541" s="24"/>
      <c r="F541" s="24"/>
      <c r="G541" s="24"/>
      <c r="H541" s="24"/>
      <c r="I541" s="24"/>
      <c r="J541" s="24"/>
      <c r="K541" s="24"/>
      <c r="L541" s="24"/>
      <c r="M541" s="24">
        <f>D541+E541+F541+G541+H541+J541+I541</f>
        <v>0</v>
      </c>
      <c r="N541" s="33">
        <v>0</v>
      </c>
      <c r="O541" s="14">
        <f t="shared" ref="O541:O543" si="144">M541-N541</f>
        <v>0</v>
      </c>
    </row>
    <row r="542" spans="1:15" x14ac:dyDescent="0.3">
      <c r="A542" s="205"/>
      <c r="B542" s="179" t="s">
        <v>39</v>
      </c>
      <c r="C542" s="2" t="s">
        <v>40</v>
      </c>
      <c r="D542" s="24">
        <v>0</v>
      </c>
      <c r="E542" s="24"/>
      <c r="F542" s="24"/>
      <c r="G542" s="24"/>
      <c r="H542" s="24"/>
      <c r="I542" s="24"/>
      <c r="J542" s="24"/>
      <c r="K542" s="24"/>
      <c r="L542" s="24"/>
      <c r="M542" s="24">
        <f>D542+E542+F542+G542+H542+J542+I542</f>
        <v>0</v>
      </c>
      <c r="N542" s="33">
        <v>0</v>
      </c>
      <c r="O542" s="14">
        <f t="shared" si="144"/>
        <v>0</v>
      </c>
    </row>
    <row r="543" spans="1:15" x14ac:dyDescent="0.3">
      <c r="A543" s="205"/>
      <c r="B543" s="179"/>
      <c r="C543" s="2" t="s">
        <v>51</v>
      </c>
      <c r="D543" s="24">
        <v>0</v>
      </c>
      <c r="E543" s="24"/>
      <c r="F543" s="24"/>
      <c r="G543" s="24"/>
      <c r="H543" s="24"/>
      <c r="I543" s="24"/>
      <c r="J543" s="24"/>
      <c r="K543" s="24"/>
      <c r="L543" s="24"/>
      <c r="M543" s="24">
        <f>D543+E543+F543+G543+H543+J543+I543</f>
        <v>0</v>
      </c>
      <c r="N543" s="33">
        <v>0</v>
      </c>
      <c r="O543" s="14">
        <f t="shared" si="144"/>
        <v>0</v>
      </c>
    </row>
    <row r="544" spans="1:15" x14ac:dyDescent="0.3">
      <c r="A544" s="205"/>
      <c r="B544" s="179"/>
      <c r="C544" s="6" t="s">
        <v>41</v>
      </c>
      <c r="D544" s="97">
        <f>SUM(D542:D543)</f>
        <v>0</v>
      </c>
      <c r="E544" s="97">
        <f t="shared" ref="E544:O544" si="145">SUM(E542:E543)</f>
        <v>0</v>
      </c>
      <c r="F544" s="97">
        <f t="shared" si="145"/>
        <v>0</v>
      </c>
      <c r="G544" s="97">
        <f t="shared" si="145"/>
        <v>0</v>
      </c>
      <c r="H544" s="97">
        <f t="shared" si="145"/>
        <v>0</v>
      </c>
      <c r="I544" s="97">
        <f t="shared" si="145"/>
        <v>0</v>
      </c>
      <c r="J544" s="97">
        <f t="shared" si="145"/>
        <v>0</v>
      </c>
      <c r="K544" s="97">
        <f t="shared" si="145"/>
        <v>0</v>
      </c>
      <c r="L544" s="97">
        <f t="shared" si="145"/>
        <v>0</v>
      </c>
      <c r="M544" s="97">
        <f t="shared" si="145"/>
        <v>0</v>
      </c>
      <c r="N544" s="49">
        <f t="shared" si="145"/>
        <v>0</v>
      </c>
      <c r="O544" s="26">
        <f t="shared" si="145"/>
        <v>0</v>
      </c>
    </row>
    <row r="545" spans="1:15" x14ac:dyDescent="0.3">
      <c r="A545" s="205"/>
      <c r="B545" s="179"/>
      <c r="C545" s="57" t="s">
        <v>42</v>
      </c>
      <c r="D545" s="98">
        <v>0</v>
      </c>
      <c r="E545" s="98"/>
      <c r="F545" s="98"/>
      <c r="G545" s="98"/>
      <c r="H545" s="98"/>
      <c r="I545" s="98"/>
      <c r="J545" s="98"/>
      <c r="K545" s="98"/>
      <c r="L545" s="98"/>
      <c r="M545" s="99">
        <f>D545+E545+F545+G545+H545+J545</f>
        <v>0</v>
      </c>
      <c r="N545" s="133">
        <v>0</v>
      </c>
      <c r="O545" s="55">
        <f t="shared" ref="O545:O550" si="146">M545-N545</f>
        <v>0</v>
      </c>
    </row>
    <row r="546" spans="1:15" x14ac:dyDescent="0.3">
      <c r="A546" s="205"/>
      <c r="B546" s="180" t="s">
        <v>18</v>
      </c>
      <c r="C546" s="2" t="s">
        <v>40</v>
      </c>
      <c r="D546" s="24">
        <v>4861805</v>
      </c>
      <c r="E546" s="24"/>
      <c r="F546" s="24"/>
      <c r="G546" s="24"/>
      <c r="H546" s="24"/>
      <c r="I546" s="24"/>
      <c r="J546" s="24"/>
      <c r="K546" s="24"/>
      <c r="L546" s="24"/>
      <c r="M546" s="24">
        <f>D546+E546+F546+G546+H546+J546+I546</f>
        <v>4861805</v>
      </c>
      <c r="N546" s="33">
        <v>1821805</v>
      </c>
      <c r="O546" s="14">
        <f t="shared" si="146"/>
        <v>3040000</v>
      </c>
    </row>
    <row r="547" spans="1:15" x14ac:dyDescent="0.3">
      <c r="A547" s="205"/>
      <c r="B547" s="199"/>
      <c r="C547" s="2" t="s">
        <v>47</v>
      </c>
      <c r="D547" s="24">
        <v>200000</v>
      </c>
      <c r="E547" s="24"/>
      <c r="F547" s="24"/>
      <c r="G547" s="24"/>
      <c r="H547" s="24"/>
      <c r="I547" s="24"/>
      <c r="J547" s="24"/>
      <c r="K547" s="24"/>
      <c r="L547" s="24"/>
      <c r="M547" s="24">
        <f>D547+E547+F547+G547+H547+J547+I547</f>
        <v>200000</v>
      </c>
      <c r="N547" s="33">
        <v>0</v>
      </c>
      <c r="O547" s="14">
        <f t="shared" si="146"/>
        <v>200000</v>
      </c>
    </row>
    <row r="548" spans="1:15" x14ac:dyDescent="0.3">
      <c r="A548" s="205"/>
      <c r="B548" s="199"/>
      <c r="C548" s="2" t="s">
        <v>48</v>
      </c>
      <c r="D548" s="24">
        <v>10000</v>
      </c>
      <c r="E548" s="24"/>
      <c r="F548" s="24"/>
      <c r="G548" s="24"/>
      <c r="H548" s="24"/>
      <c r="I548" s="24"/>
      <c r="J548" s="24"/>
      <c r="K548" s="24"/>
      <c r="L548" s="24"/>
      <c r="M548" s="24">
        <f>D548+E548+F548+G548+H548+J548+I548</f>
        <v>10000</v>
      </c>
      <c r="N548" s="33">
        <v>0</v>
      </c>
      <c r="O548" s="14">
        <f t="shared" si="146"/>
        <v>10000</v>
      </c>
    </row>
    <row r="549" spans="1:15" x14ac:dyDescent="0.3">
      <c r="A549" s="205"/>
      <c r="B549" s="199"/>
      <c r="C549" s="2" t="s">
        <v>50</v>
      </c>
      <c r="D549" s="24">
        <v>24000</v>
      </c>
      <c r="E549" s="24"/>
      <c r="F549" s="24"/>
      <c r="G549" s="24"/>
      <c r="H549" s="24"/>
      <c r="I549" s="24"/>
      <c r="J549" s="24"/>
      <c r="K549" s="24"/>
      <c r="L549" s="24"/>
      <c r="M549" s="24">
        <f>D549+E549+F549+G549+H549+J549+I549</f>
        <v>24000</v>
      </c>
      <c r="N549" s="33">
        <v>0</v>
      </c>
      <c r="O549" s="14">
        <f t="shared" si="146"/>
        <v>24000</v>
      </c>
    </row>
    <row r="550" spans="1:15" x14ac:dyDescent="0.3">
      <c r="A550" s="205"/>
      <c r="B550" s="199"/>
      <c r="C550" s="2" t="s">
        <v>51</v>
      </c>
      <c r="D550" s="24">
        <v>0</v>
      </c>
      <c r="E550" s="24"/>
      <c r="F550" s="24"/>
      <c r="G550" s="24"/>
      <c r="H550" s="24"/>
      <c r="I550" s="24"/>
      <c r="J550" s="24"/>
      <c r="K550" s="24"/>
      <c r="L550" s="24"/>
      <c r="M550" s="24">
        <f>D550+E550+F550+G550+H550+J550+I550</f>
        <v>0</v>
      </c>
      <c r="N550" s="33">
        <v>0</v>
      </c>
      <c r="O550" s="14">
        <f t="shared" si="146"/>
        <v>0</v>
      </c>
    </row>
    <row r="551" spans="1:15" x14ac:dyDescent="0.3">
      <c r="A551" s="205"/>
      <c r="B551" s="199"/>
      <c r="C551" s="6" t="s">
        <v>41</v>
      </c>
      <c r="D551" s="97">
        <f>SUM(D546:D550)</f>
        <v>5095805</v>
      </c>
      <c r="E551" s="97">
        <f t="shared" ref="E551:O551" si="147">SUM(E546:E550)</f>
        <v>0</v>
      </c>
      <c r="F551" s="97">
        <f t="shared" si="147"/>
        <v>0</v>
      </c>
      <c r="G551" s="97">
        <f t="shared" si="147"/>
        <v>0</v>
      </c>
      <c r="H551" s="97">
        <f t="shared" si="147"/>
        <v>0</v>
      </c>
      <c r="I551" s="97">
        <f t="shared" si="147"/>
        <v>0</v>
      </c>
      <c r="J551" s="97">
        <f t="shared" si="147"/>
        <v>0</v>
      </c>
      <c r="K551" s="97">
        <f t="shared" si="147"/>
        <v>0</v>
      </c>
      <c r="L551" s="97">
        <f t="shared" si="147"/>
        <v>0</v>
      </c>
      <c r="M551" s="97">
        <f t="shared" si="147"/>
        <v>5095805</v>
      </c>
      <c r="N551" s="49">
        <f t="shared" si="147"/>
        <v>1821805</v>
      </c>
      <c r="O551" s="26">
        <f t="shared" si="147"/>
        <v>3274000</v>
      </c>
    </row>
    <row r="552" spans="1:15" x14ac:dyDescent="0.3">
      <c r="A552" s="205"/>
      <c r="B552" s="199"/>
      <c r="C552" s="57" t="s">
        <v>42</v>
      </c>
      <c r="D552" s="98">
        <v>921856</v>
      </c>
      <c r="E552" s="98"/>
      <c r="F552" s="98"/>
      <c r="G552" s="98"/>
      <c r="H552" s="98"/>
      <c r="I552" s="98"/>
      <c r="J552" s="98"/>
      <c r="K552" s="98"/>
      <c r="L552" s="98"/>
      <c r="M552" s="99">
        <f>D552+E552+F552+G552+H552+J552</f>
        <v>921856</v>
      </c>
      <c r="N552" s="133">
        <v>321492</v>
      </c>
      <c r="O552" s="55">
        <f t="shared" ref="O552:O563" si="148">M552-N552</f>
        <v>600364</v>
      </c>
    </row>
    <row r="553" spans="1:15" x14ac:dyDescent="0.3">
      <c r="A553" s="205"/>
      <c r="B553" s="199"/>
      <c r="C553" s="2" t="s">
        <v>43</v>
      </c>
      <c r="D553" s="24">
        <v>40000</v>
      </c>
      <c r="E553" s="24"/>
      <c r="F553" s="24"/>
      <c r="G553" s="24"/>
      <c r="H553" s="24"/>
      <c r="I553" s="24"/>
      <c r="J553" s="24"/>
      <c r="K553" s="24"/>
      <c r="L553" s="24"/>
      <c r="M553" s="24">
        <f t="shared" ref="M553:M563" si="149">D553+E553+F553+G553+H553+J553+I553</f>
        <v>40000</v>
      </c>
      <c r="N553" s="32">
        <v>0</v>
      </c>
      <c r="O553" s="21">
        <f t="shared" si="148"/>
        <v>40000</v>
      </c>
    </row>
    <row r="554" spans="1:15" x14ac:dyDescent="0.3">
      <c r="A554" s="205"/>
      <c r="B554" s="199"/>
      <c r="C554" s="2" t="s">
        <v>53</v>
      </c>
      <c r="D554" s="24">
        <v>65000</v>
      </c>
      <c r="E554" s="24"/>
      <c r="F554" s="24"/>
      <c r="G554" s="24"/>
      <c r="H554" s="24"/>
      <c r="I554" s="24"/>
      <c r="J554" s="24"/>
      <c r="K554" s="24"/>
      <c r="L554" s="24"/>
      <c r="M554" s="24">
        <f t="shared" si="149"/>
        <v>65000</v>
      </c>
      <c r="N554" s="32">
        <v>0</v>
      </c>
      <c r="O554" s="21">
        <f t="shared" si="148"/>
        <v>65000</v>
      </c>
    </row>
    <row r="555" spans="1:15" x14ac:dyDescent="0.3">
      <c r="A555" s="205"/>
      <c r="B555" s="199"/>
      <c r="C555" s="30" t="s">
        <v>55</v>
      </c>
      <c r="D555" s="24">
        <v>0</v>
      </c>
      <c r="E555" s="24"/>
      <c r="F555" s="24"/>
      <c r="G555" s="24"/>
      <c r="H555" s="24"/>
      <c r="I555" s="24"/>
      <c r="J555" s="24"/>
      <c r="K555" s="24"/>
      <c r="L555" s="24"/>
      <c r="M555" s="24">
        <f t="shared" si="149"/>
        <v>0</v>
      </c>
      <c r="N555" s="32">
        <v>0</v>
      </c>
      <c r="O555" s="32">
        <f t="shared" si="148"/>
        <v>0</v>
      </c>
    </row>
    <row r="556" spans="1:15" x14ac:dyDescent="0.3">
      <c r="A556" s="205"/>
      <c r="B556" s="199"/>
      <c r="C556" s="2" t="s">
        <v>56</v>
      </c>
      <c r="D556" s="24">
        <v>0</v>
      </c>
      <c r="E556" s="24"/>
      <c r="F556" s="24"/>
      <c r="G556" s="24"/>
      <c r="H556" s="24"/>
      <c r="I556" s="24"/>
      <c r="J556" s="24"/>
      <c r="K556" s="24"/>
      <c r="L556" s="24"/>
      <c r="M556" s="24">
        <f t="shared" si="149"/>
        <v>0</v>
      </c>
      <c r="N556" s="32">
        <v>0</v>
      </c>
      <c r="O556" s="21">
        <f t="shared" si="148"/>
        <v>0</v>
      </c>
    </row>
    <row r="557" spans="1:15" x14ac:dyDescent="0.3">
      <c r="A557" s="205"/>
      <c r="B557" s="199"/>
      <c r="C557" s="2" t="s">
        <v>62</v>
      </c>
      <c r="D557" s="24">
        <v>0</v>
      </c>
      <c r="E557" s="24"/>
      <c r="F557" s="24"/>
      <c r="G557" s="24"/>
      <c r="H557" s="24"/>
      <c r="I557" s="24"/>
      <c r="J557" s="24"/>
      <c r="K557" s="24"/>
      <c r="L557" s="24"/>
      <c r="M557" s="24">
        <f t="shared" si="149"/>
        <v>0</v>
      </c>
      <c r="N557" s="32">
        <v>0</v>
      </c>
      <c r="O557" s="21">
        <f t="shared" si="148"/>
        <v>0</v>
      </c>
    </row>
    <row r="558" spans="1:15" x14ac:dyDescent="0.3">
      <c r="A558" s="205"/>
      <c r="B558" s="199"/>
      <c r="C558" s="2" t="s">
        <v>57</v>
      </c>
      <c r="D558" s="24"/>
      <c r="E558" s="24"/>
      <c r="F558" s="24"/>
      <c r="G558" s="24"/>
      <c r="H558" s="24"/>
      <c r="I558" s="24"/>
      <c r="J558" s="24"/>
      <c r="K558" s="24"/>
      <c r="L558" s="24"/>
      <c r="M558" s="24">
        <f t="shared" si="149"/>
        <v>0</v>
      </c>
      <c r="N558" s="32">
        <v>0</v>
      </c>
      <c r="O558" s="21">
        <f t="shared" si="148"/>
        <v>0</v>
      </c>
    </row>
    <row r="559" spans="1:15" x14ac:dyDescent="0.3">
      <c r="A559" s="205"/>
      <c r="B559" s="199"/>
      <c r="C559" s="2" t="s">
        <v>44</v>
      </c>
      <c r="D559" s="24">
        <v>16800</v>
      </c>
      <c r="E559" s="24"/>
      <c r="F559" s="24"/>
      <c r="G559" s="24"/>
      <c r="H559" s="24"/>
      <c r="I559" s="24"/>
      <c r="J559" s="24"/>
      <c r="K559" s="24"/>
      <c r="L559" s="24"/>
      <c r="M559" s="24">
        <f t="shared" si="149"/>
        <v>16800</v>
      </c>
      <c r="N559" s="32">
        <v>4200</v>
      </c>
      <c r="O559" s="21">
        <f t="shared" si="148"/>
        <v>12600</v>
      </c>
    </row>
    <row r="560" spans="1:15" x14ac:dyDescent="0.3">
      <c r="A560" s="205"/>
      <c r="B560" s="199"/>
      <c r="C560" s="2" t="s">
        <v>58</v>
      </c>
      <c r="D560" s="24">
        <v>0</v>
      </c>
      <c r="E560" s="24"/>
      <c r="F560" s="24"/>
      <c r="G560" s="24"/>
      <c r="H560" s="24"/>
      <c r="I560" s="24"/>
      <c r="J560" s="24"/>
      <c r="K560" s="24"/>
      <c r="L560" s="24"/>
      <c r="M560" s="24">
        <f t="shared" si="149"/>
        <v>0</v>
      </c>
      <c r="N560" s="32">
        <v>0</v>
      </c>
      <c r="O560" s="21">
        <f t="shared" si="148"/>
        <v>0</v>
      </c>
    </row>
    <row r="561" spans="1:15" x14ac:dyDescent="0.3">
      <c r="A561" s="205"/>
      <c r="B561" s="199"/>
      <c r="C561" s="2" t="s">
        <v>59</v>
      </c>
      <c r="D561" s="24">
        <v>2000</v>
      </c>
      <c r="E561" s="24"/>
      <c r="F561" s="24"/>
      <c r="G561" s="24"/>
      <c r="H561" s="24"/>
      <c r="I561" s="24"/>
      <c r="J561" s="24"/>
      <c r="K561" s="24"/>
      <c r="L561" s="24"/>
      <c r="M561" s="24">
        <f t="shared" si="149"/>
        <v>2000</v>
      </c>
      <c r="N561" s="32">
        <v>0</v>
      </c>
      <c r="O561" s="21">
        <f t="shared" si="148"/>
        <v>2000</v>
      </c>
    </row>
    <row r="562" spans="1:15" x14ac:dyDescent="0.3">
      <c r="A562" s="205"/>
      <c r="B562" s="199"/>
      <c r="C562" s="2" t="s">
        <v>45</v>
      </c>
      <c r="D562" s="24">
        <v>23950</v>
      </c>
      <c r="E562" s="24"/>
      <c r="F562" s="24"/>
      <c r="G562" s="24"/>
      <c r="H562" s="24"/>
      <c r="I562" s="24"/>
      <c r="J562" s="24"/>
      <c r="K562" s="24"/>
      <c r="L562" s="24"/>
      <c r="M562" s="24">
        <f t="shared" si="149"/>
        <v>23950</v>
      </c>
      <c r="N562" s="32">
        <v>0</v>
      </c>
      <c r="O562" s="21">
        <f t="shared" si="148"/>
        <v>23950</v>
      </c>
    </row>
    <row r="563" spans="1:15" x14ac:dyDescent="0.3">
      <c r="A563" s="205"/>
      <c r="B563" s="199"/>
      <c r="C563" s="2" t="s">
        <v>60</v>
      </c>
      <c r="D563" s="24">
        <v>0</v>
      </c>
      <c r="E563" s="24"/>
      <c r="F563" s="24"/>
      <c r="G563" s="24"/>
      <c r="H563" s="24"/>
      <c r="I563" s="24"/>
      <c r="J563" s="24"/>
      <c r="K563" s="24"/>
      <c r="L563" s="24"/>
      <c r="M563" s="24">
        <f t="shared" si="149"/>
        <v>0</v>
      </c>
      <c r="N563" s="33">
        <v>0</v>
      </c>
      <c r="O563" s="14">
        <f t="shared" si="148"/>
        <v>0</v>
      </c>
    </row>
    <row r="564" spans="1:15" x14ac:dyDescent="0.3">
      <c r="A564" s="205"/>
      <c r="B564" s="199"/>
      <c r="C564" s="6" t="s">
        <v>46</v>
      </c>
      <c r="D564" s="97">
        <f>SUM(D553:D563)</f>
        <v>147750</v>
      </c>
      <c r="E564" s="97">
        <f t="shared" ref="E564:O564" si="150">SUM(E553:E563)</f>
        <v>0</v>
      </c>
      <c r="F564" s="97">
        <f t="shared" si="150"/>
        <v>0</v>
      </c>
      <c r="G564" s="97">
        <f t="shared" si="150"/>
        <v>0</v>
      </c>
      <c r="H564" s="97">
        <f t="shared" si="150"/>
        <v>0</v>
      </c>
      <c r="I564" s="97">
        <f t="shared" si="150"/>
        <v>0</v>
      </c>
      <c r="J564" s="97">
        <f t="shared" si="150"/>
        <v>0</v>
      </c>
      <c r="K564" s="97">
        <f t="shared" si="150"/>
        <v>0</v>
      </c>
      <c r="L564" s="97">
        <f t="shared" si="150"/>
        <v>0</v>
      </c>
      <c r="M564" s="97">
        <f t="shared" si="150"/>
        <v>147750</v>
      </c>
      <c r="N564" s="49">
        <f t="shared" si="150"/>
        <v>4200</v>
      </c>
      <c r="O564" s="26">
        <f t="shared" si="150"/>
        <v>143550</v>
      </c>
    </row>
    <row r="565" spans="1:15" x14ac:dyDescent="0.3">
      <c r="A565" s="205"/>
      <c r="B565" s="199"/>
      <c r="C565" s="2" t="s">
        <v>112</v>
      </c>
      <c r="D565" s="24">
        <v>0</v>
      </c>
      <c r="E565" s="24"/>
      <c r="F565" s="24"/>
      <c r="G565" s="24"/>
      <c r="H565" s="24"/>
      <c r="I565" s="24"/>
      <c r="J565" s="24"/>
      <c r="K565" s="24"/>
      <c r="L565" s="24"/>
      <c r="M565" s="24">
        <f>D565+E565+F565+G565+H565+J565+I565</f>
        <v>0</v>
      </c>
      <c r="N565" s="33">
        <v>0</v>
      </c>
      <c r="O565" s="14">
        <f t="shared" ref="O565:O566" si="151">M565-N565</f>
        <v>0</v>
      </c>
    </row>
    <row r="566" spans="1:15" x14ac:dyDescent="0.3">
      <c r="A566" s="205"/>
      <c r="B566" s="199"/>
      <c r="C566" s="2" t="s">
        <v>113</v>
      </c>
      <c r="D566" s="24">
        <v>0</v>
      </c>
      <c r="E566" s="24"/>
      <c r="F566" s="24"/>
      <c r="G566" s="24"/>
      <c r="H566" s="24"/>
      <c r="I566" s="24"/>
      <c r="J566" s="24"/>
      <c r="K566" s="24"/>
      <c r="L566" s="24"/>
      <c r="M566" s="24">
        <f>D566+E566+F566+G566+H566+J566+I566</f>
        <v>0</v>
      </c>
      <c r="N566" s="33">
        <v>0</v>
      </c>
      <c r="O566" s="14">
        <f t="shared" si="151"/>
        <v>0</v>
      </c>
    </row>
    <row r="567" spans="1:15" x14ac:dyDescent="0.3">
      <c r="A567" s="205"/>
      <c r="B567" s="181"/>
      <c r="C567" s="6" t="s">
        <v>114</v>
      </c>
      <c r="D567" s="97">
        <f>SUM(D565:D566)</f>
        <v>0</v>
      </c>
      <c r="E567" s="97">
        <f t="shared" ref="E567:O567" si="152">SUM(E565:E566)</f>
        <v>0</v>
      </c>
      <c r="F567" s="97">
        <f t="shared" si="152"/>
        <v>0</v>
      </c>
      <c r="G567" s="97">
        <f t="shared" si="152"/>
        <v>0</v>
      </c>
      <c r="H567" s="97">
        <f t="shared" si="152"/>
        <v>0</v>
      </c>
      <c r="I567" s="97">
        <f t="shared" si="152"/>
        <v>0</v>
      </c>
      <c r="J567" s="97">
        <f t="shared" si="152"/>
        <v>0</v>
      </c>
      <c r="K567" s="97">
        <f t="shared" si="152"/>
        <v>0</v>
      </c>
      <c r="L567" s="97">
        <f t="shared" si="152"/>
        <v>0</v>
      </c>
      <c r="M567" s="97">
        <f t="shared" si="152"/>
        <v>0</v>
      </c>
      <c r="N567" s="49">
        <f t="shared" si="152"/>
        <v>0</v>
      </c>
      <c r="O567" s="26">
        <f t="shared" si="152"/>
        <v>0</v>
      </c>
    </row>
    <row r="568" spans="1:15" x14ac:dyDescent="0.3">
      <c r="A568" s="205"/>
      <c r="B568" s="180" t="s">
        <v>21</v>
      </c>
      <c r="C568" s="12" t="s">
        <v>62</v>
      </c>
      <c r="D568" s="106">
        <v>306000</v>
      </c>
      <c r="E568" s="106"/>
      <c r="F568" s="106"/>
      <c r="G568" s="106"/>
      <c r="H568" s="106"/>
      <c r="I568" s="106"/>
      <c r="J568" s="106"/>
      <c r="K568" s="106"/>
      <c r="L568" s="106"/>
      <c r="M568" s="24">
        <f>D568+E568+F568+G568+H568+J568+I568</f>
        <v>306000</v>
      </c>
      <c r="N568" s="136">
        <v>101000</v>
      </c>
      <c r="O568" s="14">
        <f t="shared" ref="O568:O571" si="153">M568-N568</f>
        <v>205000</v>
      </c>
    </row>
    <row r="569" spans="1:15" x14ac:dyDescent="0.3">
      <c r="A569" s="205"/>
      <c r="B569" s="199"/>
      <c r="C569" s="12" t="s">
        <v>57</v>
      </c>
      <c r="D569" s="106">
        <v>18000</v>
      </c>
      <c r="E569" s="106"/>
      <c r="F569" s="106"/>
      <c r="G569" s="106"/>
      <c r="H569" s="106"/>
      <c r="I569" s="106"/>
      <c r="J569" s="106"/>
      <c r="K569" s="106"/>
      <c r="L569" s="106"/>
      <c r="M569" s="24">
        <f>D569+E569+F569+G569+H569+J569+I569</f>
        <v>18000</v>
      </c>
      <c r="N569" s="136">
        <v>12000</v>
      </c>
      <c r="O569" s="14">
        <f t="shared" si="153"/>
        <v>6000</v>
      </c>
    </row>
    <row r="570" spans="1:15" x14ac:dyDescent="0.3">
      <c r="A570" s="205"/>
      <c r="B570" s="199"/>
      <c r="C570" s="64" t="s">
        <v>58</v>
      </c>
      <c r="D570" s="106">
        <v>0</v>
      </c>
      <c r="E570" s="106"/>
      <c r="F570" s="106"/>
      <c r="G570" s="106"/>
      <c r="H570" s="106"/>
      <c r="I570" s="106"/>
      <c r="J570" s="106"/>
      <c r="K570" s="106"/>
      <c r="L570" s="106"/>
      <c r="M570" s="24">
        <f>D570+E570+F570+G570+H570+J570+I570</f>
        <v>0</v>
      </c>
      <c r="N570" s="136">
        <v>0</v>
      </c>
      <c r="O570" s="14">
        <f t="shared" si="153"/>
        <v>0</v>
      </c>
    </row>
    <row r="571" spans="1:15" x14ac:dyDescent="0.3">
      <c r="A571" s="205"/>
      <c r="B571" s="199"/>
      <c r="C571" s="12" t="s">
        <v>45</v>
      </c>
      <c r="D571" s="106">
        <v>87480</v>
      </c>
      <c r="E571" s="106"/>
      <c r="F571" s="106"/>
      <c r="G571" s="106"/>
      <c r="H571" s="106"/>
      <c r="I571" s="106"/>
      <c r="J571" s="106"/>
      <c r="K571" s="106"/>
      <c r="L571" s="106"/>
      <c r="M571" s="24">
        <f>D571+E571+F571+G571+H571+J571+I571</f>
        <v>87480</v>
      </c>
      <c r="N571" s="136">
        <v>30510</v>
      </c>
      <c r="O571" s="14">
        <f t="shared" si="153"/>
        <v>56970</v>
      </c>
    </row>
    <row r="572" spans="1:15" x14ac:dyDescent="0.3">
      <c r="A572" s="196"/>
      <c r="B572" s="181"/>
      <c r="C572" s="6" t="s">
        <v>46</v>
      </c>
      <c r="D572" s="97">
        <f>SUM(D568:D571)</f>
        <v>411480</v>
      </c>
      <c r="E572" s="97">
        <f t="shared" ref="E572:O572" si="154">SUM(E568:E571)</f>
        <v>0</v>
      </c>
      <c r="F572" s="97">
        <f t="shared" si="154"/>
        <v>0</v>
      </c>
      <c r="G572" s="97">
        <f t="shared" si="154"/>
        <v>0</v>
      </c>
      <c r="H572" s="97">
        <f t="shared" si="154"/>
        <v>0</v>
      </c>
      <c r="I572" s="97">
        <f t="shared" si="154"/>
        <v>0</v>
      </c>
      <c r="J572" s="97">
        <f t="shared" si="154"/>
        <v>0</v>
      </c>
      <c r="K572" s="97">
        <f t="shared" si="154"/>
        <v>0</v>
      </c>
      <c r="L572" s="97">
        <f t="shared" si="154"/>
        <v>0</v>
      </c>
      <c r="M572" s="97">
        <f t="shared" si="154"/>
        <v>411480</v>
      </c>
      <c r="N572" s="49">
        <f t="shared" si="154"/>
        <v>143510</v>
      </c>
      <c r="O572" s="26">
        <f t="shared" si="154"/>
        <v>267970</v>
      </c>
    </row>
    <row r="573" spans="1:15" x14ac:dyDescent="0.3">
      <c r="A573" s="198" t="s">
        <v>98</v>
      </c>
      <c r="B573" s="180" t="s">
        <v>18</v>
      </c>
      <c r="C573" s="2" t="s">
        <v>40</v>
      </c>
      <c r="D573" s="24">
        <v>179600</v>
      </c>
      <c r="E573" s="24"/>
      <c r="F573" s="24">
        <v>280500</v>
      </c>
      <c r="G573" s="24"/>
      <c r="H573" s="24"/>
      <c r="I573" s="24"/>
      <c r="J573" s="24"/>
      <c r="K573" s="24"/>
      <c r="L573" s="24"/>
      <c r="M573" s="24">
        <f>D573+E573+F573+G573+H573+J573+I573+K573</f>
        <v>460100</v>
      </c>
      <c r="N573" s="33">
        <v>176600</v>
      </c>
      <c r="O573" s="14">
        <f t="shared" ref="O573:O576" si="155">M573-N573</f>
        <v>283500</v>
      </c>
    </row>
    <row r="574" spans="1:15" x14ac:dyDescent="0.3">
      <c r="A574" s="196"/>
      <c r="B574" s="181"/>
      <c r="C574" s="2" t="s">
        <v>42</v>
      </c>
      <c r="D574" s="24">
        <v>31340</v>
      </c>
      <c r="E574" s="24"/>
      <c r="F574" s="24">
        <v>45038</v>
      </c>
      <c r="G574" s="24"/>
      <c r="H574" s="24"/>
      <c r="I574" s="24"/>
      <c r="J574" s="24"/>
      <c r="K574" s="24"/>
      <c r="L574" s="24"/>
      <c r="M574" s="24">
        <f>D574+E574+F574+G574+H574+J574+I574+K574</f>
        <v>76378</v>
      </c>
      <c r="N574" s="33">
        <v>30903</v>
      </c>
      <c r="O574" s="14">
        <f t="shared" si="155"/>
        <v>45475</v>
      </c>
    </row>
    <row r="575" spans="1:15" x14ac:dyDescent="0.3">
      <c r="A575" s="198" t="s">
        <v>99</v>
      </c>
      <c r="B575" s="180" t="s">
        <v>18</v>
      </c>
      <c r="C575" s="2" t="s">
        <v>51</v>
      </c>
      <c r="D575" s="24">
        <v>27600</v>
      </c>
      <c r="E575" s="24"/>
      <c r="F575" s="24"/>
      <c r="G575" s="24"/>
      <c r="H575" s="24"/>
      <c r="I575" s="24"/>
      <c r="J575" s="24"/>
      <c r="K575" s="24"/>
      <c r="L575" s="24"/>
      <c r="M575" s="24">
        <f>D575+E575+F575+G575+H575+J575+I575+K575</f>
        <v>27600</v>
      </c>
      <c r="N575" s="33">
        <v>6300</v>
      </c>
      <c r="O575" s="14">
        <f t="shared" si="155"/>
        <v>21300</v>
      </c>
    </row>
    <row r="576" spans="1:15" x14ac:dyDescent="0.3">
      <c r="A576" s="196"/>
      <c r="B576" s="181"/>
      <c r="C576" s="2" t="s">
        <v>42</v>
      </c>
      <c r="D576" s="24">
        <v>4830</v>
      </c>
      <c r="E576" s="24"/>
      <c r="F576" s="24"/>
      <c r="G576" s="24"/>
      <c r="H576" s="24"/>
      <c r="I576" s="24"/>
      <c r="J576" s="24"/>
      <c r="K576" s="24"/>
      <c r="L576" s="24"/>
      <c r="M576" s="24">
        <f>D576+E576+F576+G576+H576+J576+I576+K576</f>
        <v>4830</v>
      </c>
      <c r="N576" s="33">
        <v>1103</v>
      </c>
      <c r="O576" s="14">
        <f t="shared" si="155"/>
        <v>3727</v>
      </c>
    </row>
    <row r="577" spans="1:15" x14ac:dyDescent="0.3">
      <c r="A577" s="212" t="s">
        <v>127</v>
      </c>
      <c r="B577" s="213"/>
      <c r="C577" s="214"/>
      <c r="D577" s="115">
        <f>SUM(D541+D544+D545+D551+D552+D564+D567+D572+D573+D574+D575+D576)</f>
        <v>6820261</v>
      </c>
      <c r="E577" s="105">
        <f t="shared" ref="E577:O577" si="156">SUM(E541,E544,E545,E551,E552,E564,E567,E573,E574,E575,E576,E572)</f>
        <v>0</v>
      </c>
      <c r="F577" s="105">
        <f t="shared" si="156"/>
        <v>325538</v>
      </c>
      <c r="G577" s="105">
        <f t="shared" si="156"/>
        <v>0</v>
      </c>
      <c r="H577" s="105">
        <f t="shared" si="156"/>
        <v>0</v>
      </c>
      <c r="I577" s="105">
        <f t="shared" si="156"/>
        <v>0</v>
      </c>
      <c r="J577" s="105">
        <f t="shared" si="156"/>
        <v>0</v>
      </c>
      <c r="K577" s="105">
        <f t="shared" si="156"/>
        <v>0</v>
      </c>
      <c r="L577" s="105">
        <f t="shared" si="156"/>
        <v>0</v>
      </c>
      <c r="M577" s="105">
        <f t="shared" si="156"/>
        <v>7145799</v>
      </c>
      <c r="N577" s="138">
        <f>SUM(N541,N544,N545,N551,N552,N564,N567,N573,N574,N575,N576,N572)</f>
        <v>2505913</v>
      </c>
      <c r="O577" s="62">
        <f t="shared" si="156"/>
        <v>4639886</v>
      </c>
    </row>
    <row r="578" spans="1:15" x14ac:dyDescent="0.3">
      <c r="A578" s="177" t="s">
        <v>76</v>
      </c>
      <c r="B578" s="180" t="s">
        <v>39</v>
      </c>
      <c r="C578" s="30" t="s">
        <v>49</v>
      </c>
      <c r="D578" s="24">
        <v>72000</v>
      </c>
      <c r="E578" s="24"/>
      <c r="F578" s="24"/>
      <c r="G578" s="24"/>
      <c r="H578" s="24"/>
      <c r="I578" s="24"/>
      <c r="J578" s="24"/>
      <c r="K578" s="24"/>
      <c r="L578" s="24"/>
      <c r="M578" s="24">
        <f>D578+E578+F578+G578+H578+J578+I578</f>
        <v>72000</v>
      </c>
      <c r="N578" s="33">
        <v>11880</v>
      </c>
      <c r="O578" s="32">
        <f t="shared" ref="O578:O580" si="157">M578-N578</f>
        <v>60120</v>
      </c>
    </row>
    <row r="579" spans="1:15" x14ac:dyDescent="0.3">
      <c r="A579" s="177"/>
      <c r="B579" s="199"/>
      <c r="C579" s="2" t="s">
        <v>40</v>
      </c>
      <c r="D579" s="24">
        <v>978360</v>
      </c>
      <c r="E579" s="24"/>
      <c r="F579" s="24"/>
      <c r="G579" s="24"/>
      <c r="H579" s="24"/>
      <c r="I579" s="24"/>
      <c r="J579" s="24"/>
      <c r="K579" s="24"/>
      <c r="L579" s="24"/>
      <c r="M579" s="24">
        <f>D579+E579+F579+G579+H579+J579+I579</f>
        <v>978360</v>
      </c>
      <c r="N579" s="33">
        <v>407650</v>
      </c>
      <c r="O579" s="14">
        <f t="shared" si="157"/>
        <v>570710</v>
      </c>
    </row>
    <row r="580" spans="1:15" x14ac:dyDescent="0.3">
      <c r="A580" s="177"/>
      <c r="B580" s="199"/>
      <c r="C580" s="2" t="s">
        <v>51</v>
      </c>
      <c r="D580" s="24">
        <v>0</v>
      </c>
      <c r="E580" s="24"/>
      <c r="F580" s="24"/>
      <c r="G580" s="24"/>
      <c r="H580" s="24"/>
      <c r="I580" s="24"/>
      <c r="J580" s="24"/>
      <c r="K580" s="24"/>
      <c r="L580" s="24"/>
      <c r="M580" s="24">
        <f>D580+E580+F580+G580+H580+J580+I580</f>
        <v>0</v>
      </c>
      <c r="N580" s="33">
        <v>0</v>
      </c>
      <c r="O580" s="14">
        <f t="shared" si="157"/>
        <v>0</v>
      </c>
    </row>
    <row r="581" spans="1:15" x14ac:dyDescent="0.3">
      <c r="A581" s="177"/>
      <c r="B581" s="199"/>
      <c r="C581" s="6" t="s">
        <v>41</v>
      </c>
      <c r="D581" s="97">
        <f>SUM(D578:D580)</f>
        <v>1050360</v>
      </c>
      <c r="E581" s="97">
        <f t="shared" ref="E581:M581" si="158">SUM(E578:E580)</f>
        <v>0</v>
      </c>
      <c r="F581" s="97">
        <f t="shared" si="158"/>
        <v>0</v>
      </c>
      <c r="G581" s="97">
        <f t="shared" si="158"/>
        <v>0</v>
      </c>
      <c r="H581" s="97">
        <f t="shared" si="158"/>
        <v>0</v>
      </c>
      <c r="I581" s="97">
        <f t="shared" si="158"/>
        <v>0</v>
      </c>
      <c r="J581" s="97">
        <f t="shared" si="158"/>
        <v>0</v>
      </c>
      <c r="K581" s="97">
        <f t="shared" si="158"/>
        <v>0</v>
      </c>
      <c r="L581" s="97">
        <f t="shared" si="158"/>
        <v>0</v>
      </c>
      <c r="M581" s="97">
        <f t="shared" si="158"/>
        <v>1050360</v>
      </c>
      <c r="N581" s="49">
        <f>SUM(N578:N580)</f>
        <v>419530</v>
      </c>
      <c r="O581" s="18">
        <f>SUM(O578:O580)</f>
        <v>630830</v>
      </c>
    </row>
    <row r="582" spans="1:15" x14ac:dyDescent="0.3">
      <c r="A582" s="177"/>
      <c r="B582" s="199"/>
      <c r="C582" s="57" t="s">
        <v>42</v>
      </c>
      <c r="D582" s="98">
        <v>85607</v>
      </c>
      <c r="E582" s="98"/>
      <c r="F582" s="98"/>
      <c r="G582" s="98"/>
      <c r="H582" s="98"/>
      <c r="I582" s="98"/>
      <c r="J582" s="98"/>
      <c r="K582" s="98"/>
      <c r="L582" s="98"/>
      <c r="M582" s="99">
        <f>D582+E582+F582+G582+H582+J582</f>
        <v>85607</v>
      </c>
      <c r="N582" s="133">
        <v>35670</v>
      </c>
      <c r="O582" s="55">
        <f t="shared" ref="O582:O586" si="159">M582-N582</f>
        <v>49937</v>
      </c>
    </row>
    <row r="583" spans="1:15" x14ac:dyDescent="0.3">
      <c r="A583" s="177"/>
      <c r="B583" s="199"/>
      <c r="C583" s="2" t="s">
        <v>43</v>
      </c>
      <c r="D583" s="24">
        <v>0</v>
      </c>
      <c r="E583" s="24"/>
      <c r="F583" s="24"/>
      <c r="G583" s="24"/>
      <c r="H583" s="24"/>
      <c r="I583" s="24"/>
      <c r="J583" s="24"/>
      <c r="K583" s="24"/>
      <c r="L583" s="24"/>
      <c r="M583" s="24">
        <f>D583+E583+F583+G583+H583+J583+I583</f>
        <v>0</v>
      </c>
      <c r="N583" s="33">
        <v>0</v>
      </c>
      <c r="O583" s="32">
        <f t="shared" si="159"/>
        <v>0</v>
      </c>
    </row>
    <row r="584" spans="1:15" x14ac:dyDescent="0.3">
      <c r="A584" s="177"/>
      <c r="B584" s="199"/>
      <c r="C584" s="2" t="s">
        <v>53</v>
      </c>
      <c r="D584" s="24">
        <v>0</v>
      </c>
      <c r="E584" s="24"/>
      <c r="F584" s="24"/>
      <c r="G584" s="24"/>
      <c r="H584" s="24"/>
      <c r="I584" s="24"/>
      <c r="J584" s="24"/>
      <c r="K584" s="24"/>
      <c r="L584" s="24"/>
      <c r="M584" s="24">
        <f>D584+E584+F584+G584+H584+J584+I584</f>
        <v>0</v>
      </c>
      <c r="N584" s="33">
        <v>0</v>
      </c>
      <c r="O584" s="32">
        <f t="shared" si="159"/>
        <v>0</v>
      </c>
    </row>
    <row r="585" spans="1:15" x14ac:dyDescent="0.3">
      <c r="A585" s="177"/>
      <c r="B585" s="199"/>
      <c r="C585" s="30" t="s">
        <v>44</v>
      </c>
      <c r="D585" s="24">
        <v>0</v>
      </c>
      <c r="E585" s="24"/>
      <c r="F585" s="24"/>
      <c r="G585" s="24"/>
      <c r="H585" s="24"/>
      <c r="I585" s="24"/>
      <c r="J585" s="24"/>
      <c r="K585" s="24"/>
      <c r="L585" s="24"/>
      <c r="M585" s="24">
        <f>D585+E585+F585+G585+H585+J585+I585</f>
        <v>0</v>
      </c>
      <c r="N585" s="33">
        <v>0</v>
      </c>
      <c r="O585" s="32">
        <f t="shared" si="159"/>
        <v>0</v>
      </c>
    </row>
    <row r="586" spans="1:15" x14ac:dyDescent="0.3">
      <c r="A586" s="177"/>
      <c r="B586" s="199"/>
      <c r="C586" s="2" t="s">
        <v>45</v>
      </c>
      <c r="D586" s="24">
        <v>0</v>
      </c>
      <c r="E586" s="24"/>
      <c r="F586" s="24"/>
      <c r="G586" s="24"/>
      <c r="H586" s="24"/>
      <c r="I586" s="24"/>
      <c r="J586" s="24"/>
      <c r="K586" s="24"/>
      <c r="L586" s="24"/>
      <c r="M586" s="24">
        <f>D586+E586+F586+G586+H586+J586+I586</f>
        <v>0</v>
      </c>
      <c r="N586" s="33">
        <v>0</v>
      </c>
      <c r="O586" s="32">
        <f t="shared" si="159"/>
        <v>0</v>
      </c>
    </row>
    <row r="587" spans="1:15" x14ac:dyDescent="0.3">
      <c r="A587" s="177"/>
      <c r="B587" s="181"/>
      <c r="C587" s="6" t="s">
        <v>46</v>
      </c>
      <c r="D587" s="97">
        <f>SUM(D583:D586)</f>
        <v>0</v>
      </c>
      <c r="E587" s="97">
        <f t="shared" ref="E587:O587" si="160">SUM(E583:E586)</f>
        <v>0</v>
      </c>
      <c r="F587" s="97">
        <f t="shared" si="160"/>
        <v>0</v>
      </c>
      <c r="G587" s="97">
        <f t="shared" si="160"/>
        <v>0</v>
      </c>
      <c r="H587" s="97">
        <f t="shared" si="160"/>
        <v>0</v>
      </c>
      <c r="I587" s="97">
        <f t="shared" si="160"/>
        <v>0</v>
      </c>
      <c r="J587" s="97">
        <f t="shared" si="160"/>
        <v>0</v>
      </c>
      <c r="K587" s="97">
        <f t="shared" si="160"/>
        <v>0</v>
      </c>
      <c r="L587" s="97">
        <f t="shared" si="160"/>
        <v>0</v>
      </c>
      <c r="M587" s="97">
        <f t="shared" si="160"/>
        <v>0</v>
      </c>
      <c r="N587" s="49">
        <f t="shared" si="160"/>
        <v>0</v>
      </c>
      <c r="O587" s="34">
        <f t="shared" si="160"/>
        <v>0</v>
      </c>
    </row>
    <row r="588" spans="1:15" x14ac:dyDescent="0.3">
      <c r="A588" s="177"/>
      <c r="B588" s="179" t="s">
        <v>18</v>
      </c>
      <c r="C588" s="2" t="s">
        <v>40</v>
      </c>
      <c r="D588" s="24">
        <v>5173896</v>
      </c>
      <c r="E588" s="51"/>
      <c r="F588" s="24">
        <v>0</v>
      </c>
      <c r="G588" s="24"/>
      <c r="H588" s="24"/>
      <c r="I588" s="24"/>
      <c r="J588" s="24"/>
      <c r="K588" s="24"/>
      <c r="L588" s="24"/>
      <c r="M588" s="24">
        <f t="shared" ref="M588:M594" si="161">D588+E588+F588+G588+H588+J588+I588</f>
        <v>5173896</v>
      </c>
      <c r="N588" s="33">
        <v>2133896</v>
      </c>
      <c r="O588" s="14">
        <f t="shared" ref="O588:O594" si="162">M588-N588</f>
        <v>3040000</v>
      </c>
    </row>
    <row r="589" spans="1:15" x14ac:dyDescent="0.3">
      <c r="A589" s="177"/>
      <c r="B589" s="179"/>
      <c r="C589" s="2" t="s">
        <v>63</v>
      </c>
      <c r="D589" s="24">
        <v>0</v>
      </c>
      <c r="E589" s="28"/>
      <c r="F589" s="24"/>
      <c r="G589" s="24"/>
      <c r="H589" s="24"/>
      <c r="I589" s="24"/>
      <c r="J589" s="24"/>
      <c r="K589" s="24"/>
      <c r="L589" s="24"/>
      <c r="M589" s="24">
        <f t="shared" si="161"/>
        <v>0</v>
      </c>
      <c r="N589" s="33">
        <v>0</v>
      </c>
      <c r="O589" s="14">
        <f t="shared" si="162"/>
        <v>0</v>
      </c>
    </row>
    <row r="590" spans="1:15" x14ac:dyDescent="0.3">
      <c r="A590" s="177"/>
      <c r="B590" s="179"/>
      <c r="C590" s="2" t="s">
        <v>47</v>
      </c>
      <c r="D590" s="24">
        <v>200000</v>
      </c>
      <c r="E590" s="28"/>
      <c r="F590" s="24"/>
      <c r="G590" s="24"/>
      <c r="H590" s="24"/>
      <c r="I590" s="24"/>
      <c r="J590" s="24"/>
      <c r="K590" s="24"/>
      <c r="L590" s="24"/>
      <c r="M590" s="24">
        <f t="shared" si="161"/>
        <v>200000</v>
      </c>
      <c r="N590" s="33">
        <v>0</v>
      </c>
      <c r="O590" s="14">
        <f t="shared" si="162"/>
        <v>200000</v>
      </c>
    </row>
    <row r="591" spans="1:15" x14ac:dyDescent="0.3">
      <c r="A591" s="177"/>
      <c r="B591" s="179"/>
      <c r="C591" s="2" t="s">
        <v>48</v>
      </c>
      <c r="D591" s="24">
        <v>10000</v>
      </c>
      <c r="E591" s="28"/>
      <c r="F591" s="24"/>
      <c r="G591" s="24"/>
      <c r="H591" s="24"/>
      <c r="I591" s="24"/>
      <c r="J591" s="24"/>
      <c r="K591" s="24"/>
      <c r="L591" s="24"/>
      <c r="M591" s="24">
        <f t="shared" si="161"/>
        <v>10000</v>
      </c>
      <c r="N591" s="33">
        <v>0</v>
      </c>
      <c r="O591" s="14">
        <f t="shared" si="162"/>
        <v>10000</v>
      </c>
    </row>
    <row r="592" spans="1:15" x14ac:dyDescent="0.3">
      <c r="A592" s="177"/>
      <c r="B592" s="179"/>
      <c r="C592" s="2" t="s">
        <v>49</v>
      </c>
      <c r="D592" s="24">
        <v>0</v>
      </c>
      <c r="E592" s="28">
        <f>4048-4048</f>
        <v>0</v>
      </c>
      <c r="F592" s="24"/>
      <c r="G592" s="24"/>
      <c r="H592" s="24"/>
      <c r="I592" s="24"/>
      <c r="J592" s="24"/>
      <c r="K592" s="24"/>
      <c r="L592" s="24"/>
      <c r="M592" s="24">
        <f t="shared" si="161"/>
        <v>0</v>
      </c>
      <c r="N592" s="33">
        <v>0</v>
      </c>
      <c r="O592" s="21">
        <f t="shared" si="162"/>
        <v>0</v>
      </c>
    </row>
    <row r="593" spans="1:15" x14ac:dyDescent="0.3">
      <c r="A593" s="177"/>
      <c r="B593" s="179"/>
      <c r="C593" s="2" t="s">
        <v>50</v>
      </c>
      <c r="D593" s="24">
        <v>24000</v>
      </c>
      <c r="E593" s="28"/>
      <c r="F593" s="24"/>
      <c r="G593" s="24"/>
      <c r="H593" s="24"/>
      <c r="I593" s="24"/>
      <c r="J593" s="24"/>
      <c r="K593" s="24"/>
      <c r="L593" s="24"/>
      <c r="M593" s="24">
        <f t="shared" si="161"/>
        <v>24000</v>
      </c>
      <c r="N593" s="33">
        <v>0</v>
      </c>
      <c r="O593" s="14">
        <f t="shared" si="162"/>
        <v>24000</v>
      </c>
    </row>
    <row r="594" spans="1:15" x14ac:dyDescent="0.3">
      <c r="A594" s="177"/>
      <c r="B594" s="179"/>
      <c r="C594" s="2" t="s">
        <v>51</v>
      </c>
      <c r="D594" s="24">
        <v>0</v>
      </c>
      <c r="E594" s="51"/>
      <c r="F594" s="24"/>
      <c r="G594" s="24"/>
      <c r="H594" s="24"/>
      <c r="I594" s="24"/>
      <c r="J594" s="24"/>
      <c r="K594" s="24"/>
      <c r="L594" s="24"/>
      <c r="M594" s="24">
        <f t="shared" si="161"/>
        <v>0</v>
      </c>
      <c r="N594" s="32">
        <v>0</v>
      </c>
      <c r="O594" s="21">
        <f t="shared" si="162"/>
        <v>0</v>
      </c>
    </row>
    <row r="595" spans="1:15" x14ac:dyDescent="0.3">
      <c r="A595" s="177"/>
      <c r="B595" s="179"/>
      <c r="C595" s="6" t="s">
        <v>41</v>
      </c>
      <c r="D595" s="97">
        <f>SUM(D588:D594)</f>
        <v>5407896</v>
      </c>
      <c r="E595" s="97">
        <f t="shared" ref="E595:O595" si="163">SUM(E588:E594)</f>
        <v>0</v>
      </c>
      <c r="F595" s="97">
        <f t="shared" si="163"/>
        <v>0</v>
      </c>
      <c r="G595" s="97">
        <f t="shared" si="163"/>
        <v>0</v>
      </c>
      <c r="H595" s="97">
        <f t="shared" si="163"/>
        <v>0</v>
      </c>
      <c r="I595" s="97">
        <f t="shared" si="163"/>
        <v>0</v>
      </c>
      <c r="J595" s="97">
        <f t="shared" si="163"/>
        <v>0</v>
      </c>
      <c r="K595" s="97">
        <f t="shared" si="163"/>
        <v>0</v>
      </c>
      <c r="L595" s="97">
        <f t="shared" si="163"/>
        <v>0</v>
      </c>
      <c r="M595" s="97">
        <f t="shared" si="163"/>
        <v>5407896</v>
      </c>
      <c r="N595" s="49">
        <f t="shared" si="163"/>
        <v>2133896</v>
      </c>
      <c r="O595" s="26">
        <f t="shared" si="163"/>
        <v>3274000</v>
      </c>
    </row>
    <row r="596" spans="1:15" x14ac:dyDescent="0.3">
      <c r="A596" s="177"/>
      <c r="B596" s="179"/>
      <c r="C596" s="57" t="s">
        <v>42</v>
      </c>
      <c r="D596" s="98">
        <v>976382</v>
      </c>
      <c r="E596" s="98"/>
      <c r="F596" s="98"/>
      <c r="G596" s="98"/>
      <c r="H596" s="98"/>
      <c r="I596" s="98"/>
      <c r="J596" s="98"/>
      <c r="K596" s="98"/>
      <c r="L596" s="98"/>
      <c r="M596" s="99">
        <f>D596+E596+F596+G596+H596+J596</f>
        <v>976382</v>
      </c>
      <c r="N596" s="133">
        <v>376104</v>
      </c>
      <c r="O596" s="55">
        <f t="shared" ref="O596:O607" si="164">M596-N596</f>
        <v>600278</v>
      </c>
    </row>
    <row r="597" spans="1:15" x14ac:dyDescent="0.3">
      <c r="A597" s="177"/>
      <c r="B597" s="179"/>
      <c r="C597" s="2" t="s">
        <v>43</v>
      </c>
      <c r="D597" s="24">
        <v>40000</v>
      </c>
      <c r="E597" s="24"/>
      <c r="F597" s="24"/>
      <c r="G597" s="24"/>
      <c r="H597" s="24"/>
      <c r="I597" s="24"/>
      <c r="J597" s="24"/>
      <c r="K597" s="24"/>
      <c r="L597" s="24"/>
      <c r="M597" s="24">
        <f>D597+E597+F597+G597+H597+J597+I597</f>
        <v>40000</v>
      </c>
      <c r="N597" s="33">
        <v>0</v>
      </c>
      <c r="O597" s="14">
        <f t="shared" si="164"/>
        <v>40000</v>
      </c>
    </row>
    <row r="598" spans="1:15" x14ac:dyDescent="0.3">
      <c r="A598" s="177"/>
      <c r="B598" s="179"/>
      <c r="C598" s="2" t="s">
        <v>53</v>
      </c>
      <c r="D598" s="24">
        <v>90000</v>
      </c>
      <c r="E598" s="24"/>
      <c r="F598" s="24"/>
      <c r="G598" s="24"/>
      <c r="H598" s="24"/>
      <c r="I598" s="24"/>
      <c r="J598" s="24"/>
      <c r="K598" s="24"/>
      <c r="L598" s="24"/>
      <c r="M598" s="24">
        <f>D598+E598+F598+G598+H598+J598+I598+K598+L598</f>
        <v>90000</v>
      </c>
      <c r="N598" s="33">
        <v>0</v>
      </c>
      <c r="O598" s="21">
        <f t="shared" si="164"/>
        <v>90000</v>
      </c>
    </row>
    <row r="599" spans="1:15" x14ac:dyDescent="0.3">
      <c r="A599" s="177"/>
      <c r="B599" s="179"/>
      <c r="C599" s="30" t="s">
        <v>55</v>
      </c>
      <c r="D599" s="24">
        <v>0</v>
      </c>
      <c r="E599" s="24"/>
      <c r="F599" s="24"/>
      <c r="G599" s="24"/>
      <c r="H599" s="24"/>
      <c r="I599" s="24"/>
      <c r="J599" s="24"/>
      <c r="K599" s="24"/>
      <c r="L599" s="24"/>
      <c r="M599" s="24">
        <f t="shared" ref="M599:M607" si="165">D599+E599+F599+G599+H599+J599+I599</f>
        <v>0</v>
      </c>
      <c r="N599" s="33">
        <v>0</v>
      </c>
      <c r="O599" s="33">
        <f t="shared" si="164"/>
        <v>0</v>
      </c>
    </row>
    <row r="600" spans="1:15" x14ac:dyDescent="0.3">
      <c r="A600" s="177"/>
      <c r="B600" s="179"/>
      <c r="C600" s="2" t="s">
        <v>56</v>
      </c>
      <c r="D600" s="24">
        <v>0</v>
      </c>
      <c r="E600" s="24"/>
      <c r="F600" s="24"/>
      <c r="G600" s="24"/>
      <c r="H600" s="24"/>
      <c r="I600" s="24"/>
      <c r="J600" s="24"/>
      <c r="K600" s="24"/>
      <c r="L600" s="24"/>
      <c r="M600" s="24">
        <f t="shared" si="165"/>
        <v>0</v>
      </c>
      <c r="N600" s="33">
        <v>0</v>
      </c>
      <c r="O600" s="14">
        <f t="shared" si="164"/>
        <v>0</v>
      </c>
    </row>
    <row r="601" spans="1:15" x14ac:dyDescent="0.3">
      <c r="A601" s="177"/>
      <c r="B601" s="179"/>
      <c r="C601" s="2" t="s">
        <v>62</v>
      </c>
      <c r="D601" s="24">
        <v>0</v>
      </c>
      <c r="E601" s="24"/>
      <c r="F601" s="24"/>
      <c r="G601" s="24"/>
      <c r="H601" s="24"/>
      <c r="I601" s="24"/>
      <c r="J601" s="24"/>
      <c r="K601" s="24"/>
      <c r="L601" s="24"/>
      <c r="M601" s="24">
        <f t="shared" si="165"/>
        <v>0</v>
      </c>
      <c r="N601" s="33">
        <v>0</v>
      </c>
      <c r="O601" s="14">
        <f t="shared" si="164"/>
        <v>0</v>
      </c>
    </row>
    <row r="602" spans="1:15" x14ac:dyDescent="0.3">
      <c r="A602" s="177"/>
      <c r="B602" s="179"/>
      <c r="C602" s="2" t="s">
        <v>57</v>
      </c>
      <c r="D602" s="24">
        <v>50000</v>
      </c>
      <c r="E602" s="24"/>
      <c r="F602" s="24"/>
      <c r="G602" s="24"/>
      <c r="H602" s="24"/>
      <c r="I602" s="24"/>
      <c r="J602" s="24"/>
      <c r="K602" s="24"/>
      <c r="L602" s="24"/>
      <c r="M602" s="24">
        <f t="shared" si="165"/>
        <v>50000</v>
      </c>
      <c r="N602" s="33">
        <v>0</v>
      </c>
      <c r="O602" s="14">
        <f t="shared" si="164"/>
        <v>50000</v>
      </c>
    </row>
    <row r="603" spans="1:15" x14ac:dyDescent="0.3">
      <c r="A603" s="177"/>
      <c r="B603" s="179"/>
      <c r="C603" s="2" t="s">
        <v>44</v>
      </c>
      <c r="D603" s="24">
        <v>16800</v>
      </c>
      <c r="E603" s="24"/>
      <c r="F603" s="28"/>
      <c r="G603" s="24"/>
      <c r="H603" s="24"/>
      <c r="I603" s="24"/>
      <c r="J603" s="24"/>
      <c r="K603" s="24"/>
      <c r="L603" s="24"/>
      <c r="M603" s="24">
        <f t="shared" si="165"/>
        <v>16800</v>
      </c>
      <c r="N603" s="33">
        <v>4200</v>
      </c>
      <c r="O603" s="14">
        <f t="shared" si="164"/>
        <v>12600</v>
      </c>
    </row>
    <row r="604" spans="1:15" x14ac:dyDescent="0.3">
      <c r="A604" s="177"/>
      <c r="B604" s="179"/>
      <c r="C604" s="2" t="s">
        <v>58</v>
      </c>
      <c r="D604" s="24">
        <v>25000</v>
      </c>
      <c r="E604" s="24"/>
      <c r="F604" s="28"/>
      <c r="G604" s="24"/>
      <c r="H604" s="24"/>
      <c r="I604" s="24"/>
      <c r="J604" s="24"/>
      <c r="K604" s="24"/>
      <c r="L604" s="24"/>
      <c r="M604" s="24">
        <f t="shared" si="165"/>
        <v>25000</v>
      </c>
      <c r="N604" s="33">
        <v>0</v>
      </c>
      <c r="O604" s="14">
        <f t="shared" si="164"/>
        <v>25000</v>
      </c>
    </row>
    <row r="605" spans="1:15" x14ac:dyDescent="0.3">
      <c r="A605" s="177"/>
      <c r="B605" s="179"/>
      <c r="C605" s="2" t="s">
        <v>59</v>
      </c>
      <c r="D605" s="24">
        <v>5000</v>
      </c>
      <c r="E605" s="24"/>
      <c r="F605" s="28"/>
      <c r="G605" s="24"/>
      <c r="H605" s="24"/>
      <c r="I605" s="24"/>
      <c r="J605" s="24"/>
      <c r="K605" s="24"/>
      <c r="L605" s="24"/>
      <c r="M605" s="24">
        <f t="shared" si="165"/>
        <v>5000</v>
      </c>
      <c r="N605" s="33">
        <v>4020</v>
      </c>
      <c r="O605" s="14">
        <f t="shared" si="164"/>
        <v>980</v>
      </c>
    </row>
    <row r="606" spans="1:15" x14ac:dyDescent="0.3">
      <c r="A606" s="177"/>
      <c r="B606" s="179"/>
      <c r="C606" s="2" t="s">
        <v>45</v>
      </c>
      <c r="D606" s="24">
        <v>50950</v>
      </c>
      <c r="E606" s="24"/>
      <c r="F606" s="28"/>
      <c r="G606" s="24"/>
      <c r="H606" s="24"/>
      <c r="I606" s="24"/>
      <c r="J606" s="24"/>
      <c r="K606" s="24"/>
      <c r="L606" s="24"/>
      <c r="M606" s="24">
        <f t="shared" si="165"/>
        <v>50950</v>
      </c>
      <c r="N606" s="33">
        <v>0</v>
      </c>
      <c r="O606" s="21">
        <f t="shared" si="164"/>
        <v>50950</v>
      </c>
    </row>
    <row r="607" spans="1:15" x14ac:dyDescent="0.3">
      <c r="A607" s="177"/>
      <c r="B607" s="179"/>
      <c r="C607" s="2" t="s">
        <v>60</v>
      </c>
      <c r="D607" s="24">
        <v>0</v>
      </c>
      <c r="E607" s="24"/>
      <c r="F607" s="28"/>
      <c r="G607" s="24"/>
      <c r="H607" s="24"/>
      <c r="I607" s="24"/>
      <c r="J607" s="24"/>
      <c r="K607" s="24"/>
      <c r="L607" s="24"/>
      <c r="M607" s="24">
        <f t="shared" si="165"/>
        <v>0</v>
      </c>
      <c r="N607" s="33">
        <v>0</v>
      </c>
      <c r="O607" s="14">
        <f t="shared" si="164"/>
        <v>0</v>
      </c>
    </row>
    <row r="608" spans="1:15" x14ac:dyDescent="0.3">
      <c r="A608" s="177"/>
      <c r="B608" s="179"/>
      <c r="C608" s="6" t="s">
        <v>46</v>
      </c>
      <c r="D608" s="97">
        <f>SUM(D597:D607)</f>
        <v>277750</v>
      </c>
      <c r="E608" s="97">
        <f t="shared" ref="E608:O608" si="166">SUM(E597:E607)</f>
        <v>0</v>
      </c>
      <c r="F608" s="97">
        <f t="shared" si="166"/>
        <v>0</v>
      </c>
      <c r="G608" s="97">
        <f t="shared" si="166"/>
        <v>0</v>
      </c>
      <c r="H608" s="97">
        <f t="shared" si="166"/>
        <v>0</v>
      </c>
      <c r="I608" s="97">
        <f t="shared" si="166"/>
        <v>0</v>
      </c>
      <c r="J608" s="97">
        <f t="shared" si="166"/>
        <v>0</v>
      </c>
      <c r="K608" s="97">
        <f t="shared" si="166"/>
        <v>0</v>
      </c>
      <c r="L608" s="97">
        <f t="shared" si="166"/>
        <v>0</v>
      </c>
      <c r="M608" s="97">
        <f t="shared" si="166"/>
        <v>277750</v>
      </c>
      <c r="N608" s="49">
        <f t="shared" si="166"/>
        <v>8220</v>
      </c>
      <c r="O608" s="26">
        <f t="shared" si="166"/>
        <v>269530</v>
      </c>
    </row>
    <row r="609" spans="1:15" x14ac:dyDescent="0.3">
      <c r="A609" s="198" t="s">
        <v>100</v>
      </c>
      <c r="B609" s="180" t="s">
        <v>18</v>
      </c>
      <c r="C609" s="2" t="s">
        <v>40</v>
      </c>
      <c r="D609" s="24">
        <v>524680</v>
      </c>
      <c r="E609" s="24"/>
      <c r="F609" s="24">
        <v>325237</v>
      </c>
      <c r="G609" s="24"/>
      <c r="H609" s="24"/>
      <c r="I609" s="24"/>
      <c r="J609" s="24"/>
      <c r="K609" s="24"/>
      <c r="L609" s="24"/>
      <c r="M609" s="24">
        <f>D609+E609+F609+G609+H609+J609+I609+K609</f>
        <v>849917</v>
      </c>
      <c r="N609" s="33">
        <v>334570</v>
      </c>
      <c r="O609" s="14">
        <f t="shared" ref="O609:O610" si="167">M609-N609</f>
        <v>515347</v>
      </c>
    </row>
    <row r="610" spans="1:15" x14ac:dyDescent="0.3">
      <c r="A610" s="196"/>
      <c r="B610" s="181"/>
      <c r="C610" s="2" t="s">
        <v>42</v>
      </c>
      <c r="D610" s="24">
        <v>91819</v>
      </c>
      <c r="E610" s="24"/>
      <c r="F610" s="24">
        <v>49554</v>
      </c>
      <c r="G610" s="24"/>
      <c r="H610" s="24"/>
      <c r="I610" s="24"/>
      <c r="J610" s="24"/>
      <c r="K610" s="24"/>
      <c r="L610" s="24"/>
      <c r="M610" s="24">
        <f>D610+E610+F610+G610+H610+J610+I610+K610</f>
        <v>141373</v>
      </c>
      <c r="N610" s="33">
        <v>58553</v>
      </c>
      <c r="O610" s="14">
        <f t="shared" si="167"/>
        <v>82820</v>
      </c>
    </row>
    <row r="611" spans="1:15" x14ac:dyDescent="0.3">
      <c r="A611" s="212" t="s">
        <v>128</v>
      </c>
      <c r="B611" s="213"/>
      <c r="C611" s="214"/>
      <c r="D611" s="115">
        <f>SUM(D581+D582+D587+D595+D596+D608+D609+D610)</f>
        <v>8414494</v>
      </c>
      <c r="E611" s="103">
        <f>SUM(E581,E582,E587,E595,E596,E608,E609,E610)</f>
        <v>0</v>
      </c>
      <c r="F611" s="103">
        <f t="shared" ref="F611:O611" si="168">SUM(F581,F582,F587,F595,F596,F608,F609,F610)</f>
        <v>374791</v>
      </c>
      <c r="G611" s="103">
        <f t="shared" si="168"/>
        <v>0</v>
      </c>
      <c r="H611" s="103">
        <f t="shared" si="168"/>
        <v>0</v>
      </c>
      <c r="I611" s="103">
        <f t="shared" si="168"/>
        <v>0</v>
      </c>
      <c r="J611" s="103">
        <f t="shared" si="168"/>
        <v>0</v>
      </c>
      <c r="K611" s="103">
        <f t="shared" si="168"/>
        <v>0</v>
      </c>
      <c r="L611" s="103">
        <f t="shared" si="168"/>
        <v>0</v>
      </c>
      <c r="M611" s="103">
        <f t="shared" si="168"/>
        <v>8789285</v>
      </c>
      <c r="N611" s="137">
        <f>SUM(N581,N582,N587,N595,N596,N608,N609,N610)</f>
        <v>3366543</v>
      </c>
      <c r="O611" s="60">
        <f t="shared" si="168"/>
        <v>5422742</v>
      </c>
    </row>
    <row r="612" spans="1:15" x14ac:dyDescent="0.3">
      <c r="A612" s="177" t="s">
        <v>77</v>
      </c>
      <c r="B612" s="4" t="s">
        <v>6</v>
      </c>
      <c r="C612" s="2" t="s">
        <v>67</v>
      </c>
      <c r="D612" s="24">
        <v>0</v>
      </c>
      <c r="E612" s="24"/>
      <c r="F612" s="24"/>
      <c r="G612" s="24"/>
      <c r="H612" s="24"/>
      <c r="I612" s="24"/>
      <c r="J612" s="24"/>
      <c r="K612" s="24"/>
      <c r="L612" s="24"/>
      <c r="M612" s="24">
        <f>D612+E612+F612+G612+H612+J612+I612</f>
        <v>0</v>
      </c>
      <c r="N612" s="33">
        <v>0</v>
      </c>
      <c r="O612" s="14">
        <f t="shared" ref="O612:O616" si="169">M612-N612</f>
        <v>0</v>
      </c>
    </row>
    <row r="613" spans="1:15" x14ac:dyDescent="0.3">
      <c r="A613" s="177"/>
      <c r="B613" s="179" t="s">
        <v>39</v>
      </c>
      <c r="C613" s="6" t="s">
        <v>40</v>
      </c>
      <c r="D613" s="97">
        <v>0</v>
      </c>
      <c r="E613" s="97">
        <f t="shared" ref="E613:O613" si="170">E612</f>
        <v>0</v>
      </c>
      <c r="F613" s="97">
        <f t="shared" si="170"/>
        <v>0</v>
      </c>
      <c r="G613" s="97">
        <f t="shared" si="170"/>
        <v>0</v>
      </c>
      <c r="H613" s="97">
        <f t="shared" si="170"/>
        <v>0</v>
      </c>
      <c r="I613" s="97">
        <f t="shared" si="170"/>
        <v>0</v>
      </c>
      <c r="J613" s="97">
        <f t="shared" si="170"/>
        <v>0</v>
      </c>
      <c r="K613" s="97">
        <f t="shared" si="170"/>
        <v>0</v>
      </c>
      <c r="L613" s="97">
        <f t="shared" si="170"/>
        <v>0</v>
      </c>
      <c r="M613" s="97">
        <f t="shared" si="170"/>
        <v>0</v>
      </c>
      <c r="N613" s="18">
        <v>0</v>
      </c>
      <c r="O613" s="37">
        <f t="shared" si="170"/>
        <v>0</v>
      </c>
    </row>
    <row r="614" spans="1:15" x14ac:dyDescent="0.3">
      <c r="A614" s="177"/>
      <c r="B614" s="179"/>
      <c r="C614" s="57" t="s">
        <v>42</v>
      </c>
      <c r="D614" s="98">
        <v>0</v>
      </c>
      <c r="E614" s="98"/>
      <c r="F614" s="98"/>
      <c r="G614" s="98"/>
      <c r="H614" s="98"/>
      <c r="I614" s="98"/>
      <c r="J614" s="98"/>
      <c r="K614" s="98"/>
      <c r="L614" s="98"/>
      <c r="M614" s="99">
        <f>D614+E614+F614+G614+H614+J614</f>
        <v>0</v>
      </c>
      <c r="N614" s="133">
        <v>0</v>
      </c>
      <c r="O614" s="55">
        <f t="shared" si="169"/>
        <v>0</v>
      </c>
    </row>
    <row r="615" spans="1:15" x14ac:dyDescent="0.3">
      <c r="A615" s="177"/>
      <c r="B615" s="179"/>
      <c r="C615" s="2" t="s">
        <v>43</v>
      </c>
      <c r="D615" s="24">
        <v>0</v>
      </c>
      <c r="E615" s="24"/>
      <c r="F615" s="24"/>
      <c r="G615" s="24"/>
      <c r="H615" s="24"/>
      <c r="I615" s="24"/>
      <c r="J615" s="24"/>
      <c r="K615" s="24"/>
      <c r="L615" s="24"/>
      <c r="M615" s="24">
        <f>D615+E615+F615+G615+H615+J615+I615</f>
        <v>0</v>
      </c>
      <c r="N615" s="33">
        <v>0</v>
      </c>
      <c r="O615" s="14">
        <f t="shared" si="169"/>
        <v>0</v>
      </c>
    </row>
    <row r="616" spans="1:15" x14ac:dyDescent="0.3">
      <c r="A616" s="177"/>
      <c r="B616" s="179"/>
      <c r="C616" s="2" t="s">
        <v>45</v>
      </c>
      <c r="D616" s="24">
        <v>0</v>
      </c>
      <c r="E616" s="24"/>
      <c r="F616" s="24"/>
      <c r="G616" s="24"/>
      <c r="H616" s="24"/>
      <c r="I616" s="24"/>
      <c r="J616" s="24"/>
      <c r="K616" s="24"/>
      <c r="L616" s="24"/>
      <c r="M616" s="24">
        <f>D616+E616+F616+G616+H616+J616+I616</f>
        <v>0</v>
      </c>
      <c r="N616" s="33">
        <v>0</v>
      </c>
      <c r="O616" s="14">
        <f t="shared" si="169"/>
        <v>0</v>
      </c>
    </row>
    <row r="617" spans="1:15" x14ac:dyDescent="0.3">
      <c r="A617" s="177"/>
      <c r="B617" s="179"/>
      <c r="C617" s="6" t="s">
        <v>46</v>
      </c>
      <c r="D617" s="97">
        <v>0</v>
      </c>
      <c r="E617" s="97">
        <f t="shared" ref="E617:O617" si="171">SUM(E615:E616)</f>
        <v>0</v>
      </c>
      <c r="F617" s="97">
        <f t="shared" si="171"/>
        <v>0</v>
      </c>
      <c r="G617" s="97">
        <f t="shared" si="171"/>
        <v>0</v>
      </c>
      <c r="H617" s="97">
        <f t="shared" si="171"/>
        <v>0</v>
      </c>
      <c r="I617" s="97">
        <f t="shared" si="171"/>
        <v>0</v>
      </c>
      <c r="J617" s="97">
        <f t="shared" si="171"/>
        <v>0</v>
      </c>
      <c r="K617" s="97">
        <f t="shared" si="171"/>
        <v>0</v>
      </c>
      <c r="L617" s="97">
        <f t="shared" si="171"/>
        <v>0</v>
      </c>
      <c r="M617" s="97">
        <f t="shared" si="171"/>
        <v>0</v>
      </c>
      <c r="N617" s="49">
        <f t="shared" si="171"/>
        <v>0</v>
      </c>
      <c r="O617" s="26">
        <f t="shared" si="171"/>
        <v>0</v>
      </c>
    </row>
    <row r="618" spans="1:15" x14ac:dyDescent="0.3">
      <c r="A618" s="177"/>
      <c r="B618" s="179" t="s">
        <v>18</v>
      </c>
      <c r="C618" s="2" t="s">
        <v>40</v>
      </c>
      <c r="D618" s="24">
        <v>5087054</v>
      </c>
      <c r="E618" s="24"/>
      <c r="F618" s="24"/>
      <c r="G618" s="24"/>
      <c r="H618" s="24"/>
      <c r="I618" s="24"/>
      <c r="J618" s="24"/>
      <c r="K618" s="24"/>
      <c r="L618" s="24"/>
      <c r="M618" s="24">
        <f t="shared" ref="M618:M624" si="172">D618+E618+F618+G618+H618+J618+I618</f>
        <v>5087054</v>
      </c>
      <c r="N618" s="33">
        <v>2047054</v>
      </c>
      <c r="O618" s="14">
        <f t="shared" ref="O618:O624" si="173">M618-N618</f>
        <v>3040000</v>
      </c>
    </row>
    <row r="619" spans="1:15" x14ac:dyDescent="0.3">
      <c r="A619" s="177"/>
      <c r="B619" s="179"/>
      <c r="C619" s="2" t="s">
        <v>47</v>
      </c>
      <c r="D619" s="24">
        <v>200000</v>
      </c>
      <c r="E619" s="24"/>
      <c r="F619" s="24"/>
      <c r="G619" s="24"/>
      <c r="H619" s="24"/>
      <c r="I619" s="24"/>
      <c r="J619" s="24"/>
      <c r="K619" s="24"/>
      <c r="L619" s="24"/>
      <c r="M619" s="24">
        <f t="shared" si="172"/>
        <v>200000</v>
      </c>
      <c r="N619" s="33">
        <v>0</v>
      </c>
      <c r="O619" s="14">
        <f t="shared" si="173"/>
        <v>200000</v>
      </c>
    </row>
    <row r="620" spans="1:15" x14ac:dyDescent="0.3">
      <c r="A620" s="177"/>
      <c r="B620" s="179"/>
      <c r="C620" s="2" t="s">
        <v>48</v>
      </c>
      <c r="D620" s="24">
        <v>10000</v>
      </c>
      <c r="E620" s="24"/>
      <c r="F620" s="24"/>
      <c r="G620" s="24"/>
      <c r="H620" s="24"/>
      <c r="I620" s="24"/>
      <c r="J620" s="24"/>
      <c r="K620" s="24"/>
      <c r="L620" s="24"/>
      <c r="M620" s="24">
        <f t="shared" si="172"/>
        <v>10000</v>
      </c>
      <c r="N620" s="33">
        <v>0</v>
      </c>
      <c r="O620" s="14">
        <f t="shared" si="173"/>
        <v>10000</v>
      </c>
    </row>
    <row r="621" spans="1:15" x14ac:dyDescent="0.3">
      <c r="A621" s="177"/>
      <c r="B621" s="179"/>
      <c r="C621" s="2" t="s">
        <v>49</v>
      </c>
      <c r="D621" s="24">
        <v>0</v>
      </c>
      <c r="E621" s="24"/>
      <c r="F621" s="24"/>
      <c r="G621" s="24"/>
      <c r="H621" s="24"/>
      <c r="I621" s="24"/>
      <c r="J621" s="24"/>
      <c r="K621" s="24"/>
      <c r="L621" s="24"/>
      <c r="M621" s="24">
        <f t="shared" si="172"/>
        <v>0</v>
      </c>
      <c r="N621" s="33">
        <v>0</v>
      </c>
      <c r="O621" s="14">
        <f t="shared" si="173"/>
        <v>0</v>
      </c>
    </row>
    <row r="622" spans="1:15" x14ac:dyDescent="0.3">
      <c r="A622" s="177"/>
      <c r="B622" s="179"/>
      <c r="C622" s="2" t="s">
        <v>50</v>
      </c>
      <c r="D622" s="24">
        <v>24000</v>
      </c>
      <c r="E622" s="24"/>
      <c r="F622" s="24"/>
      <c r="G622" s="24"/>
      <c r="H622" s="24"/>
      <c r="I622" s="24"/>
      <c r="J622" s="24"/>
      <c r="K622" s="24"/>
      <c r="L622" s="24"/>
      <c r="M622" s="24">
        <f t="shared" si="172"/>
        <v>24000</v>
      </c>
      <c r="N622" s="33">
        <v>0</v>
      </c>
      <c r="O622" s="14">
        <f t="shared" si="173"/>
        <v>24000</v>
      </c>
    </row>
    <row r="623" spans="1:15" x14ac:dyDescent="0.3">
      <c r="A623" s="177"/>
      <c r="B623" s="179"/>
      <c r="C623" s="2" t="s">
        <v>51</v>
      </c>
      <c r="D623" s="24">
        <v>0</v>
      </c>
      <c r="E623" s="24"/>
      <c r="F623" s="24"/>
      <c r="G623" s="24"/>
      <c r="H623" s="24"/>
      <c r="I623" s="24"/>
      <c r="J623" s="24"/>
      <c r="K623" s="24"/>
      <c r="L623" s="24"/>
      <c r="M623" s="24">
        <f t="shared" si="172"/>
        <v>0</v>
      </c>
      <c r="N623" s="33">
        <v>0</v>
      </c>
      <c r="O623" s="14">
        <f t="shared" si="173"/>
        <v>0</v>
      </c>
    </row>
    <row r="624" spans="1:15" x14ac:dyDescent="0.3">
      <c r="A624" s="177"/>
      <c r="B624" s="179"/>
      <c r="C624" s="2" t="s">
        <v>52</v>
      </c>
      <c r="D624" s="24">
        <v>0</v>
      </c>
      <c r="E624" s="24"/>
      <c r="F624" s="24"/>
      <c r="G624" s="24"/>
      <c r="H624" s="24"/>
      <c r="I624" s="24"/>
      <c r="J624" s="24"/>
      <c r="K624" s="24"/>
      <c r="L624" s="24"/>
      <c r="M624" s="24">
        <f t="shared" si="172"/>
        <v>0</v>
      </c>
      <c r="N624" s="33">
        <v>0</v>
      </c>
      <c r="O624" s="14">
        <f t="shared" si="173"/>
        <v>0</v>
      </c>
    </row>
    <row r="625" spans="1:15" x14ac:dyDescent="0.3">
      <c r="A625" s="177"/>
      <c r="B625" s="179"/>
      <c r="C625" s="6" t="s">
        <v>41</v>
      </c>
      <c r="D625" s="97">
        <f>SUM(D618:D624)</f>
        <v>5321054</v>
      </c>
      <c r="E625" s="97">
        <f t="shared" ref="E625:O625" si="174">SUM(E618:E624)</f>
        <v>0</v>
      </c>
      <c r="F625" s="97">
        <f t="shared" si="174"/>
        <v>0</v>
      </c>
      <c r="G625" s="97">
        <f t="shared" si="174"/>
        <v>0</v>
      </c>
      <c r="H625" s="97">
        <f t="shared" si="174"/>
        <v>0</v>
      </c>
      <c r="I625" s="97">
        <f t="shared" si="174"/>
        <v>0</v>
      </c>
      <c r="J625" s="97">
        <f t="shared" si="174"/>
        <v>0</v>
      </c>
      <c r="K625" s="97">
        <f t="shared" si="174"/>
        <v>0</v>
      </c>
      <c r="L625" s="97">
        <f t="shared" si="174"/>
        <v>0</v>
      </c>
      <c r="M625" s="97">
        <f t="shared" si="174"/>
        <v>5321054</v>
      </c>
      <c r="N625" s="49">
        <f t="shared" si="174"/>
        <v>2047054</v>
      </c>
      <c r="O625" s="26">
        <f t="shared" si="174"/>
        <v>3274000</v>
      </c>
    </row>
    <row r="626" spans="1:15" x14ac:dyDescent="0.3">
      <c r="A626" s="177"/>
      <c r="B626" s="179"/>
      <c r="C626" s="57" t="s">
        <v>42</v>
      </c>
      <c r="D626" s="98">
        <v>961185</v>
      </c>
      <c r="E626" s="98"/>
      <c r="F626" s="98"/>
      <c r="G626" s="98"/>
      <c r="H626" s="98"/>
      <c r="I626" s="98"/>
      <c r="J626" s="98"/>
      <c r="K626" s="98"/>
      <c r="L626" s="98"/>
      <c r="M626" s="99">
        <f>D626+E626+F626+G626+H626+J626</f>
        <v>961185</v>
      </c>
      <c r="N626" s="133">
        <v>360911</v>
      </c>
      <c r="O626" s="55">
        <f t="shared" ref="O626:O636" si="175">M626-N626</f>
        <v>600274</v>
      </c>
    </row>
    <row r="627" spans="1:15" x14ac:dyDescent="0.3">
      <c r="A627" s="177"/>
      <c r="B627" s="179"/>
      <c r="C627" s="2" t="s">
        <v>43</v>
      </c>
      <c r="D627" s="24">
        <v>30000</v>
      </c>
      <c r="E627" s="24"/>
      <c r="F627" s="24"/>
      <c r="G627" s="24"/>
      <c r="H627" s="24"/>
      <c r="I627" s="24"/>
      <c r="J627" s="24"/>
      <c r="K627" s="24"/>
      <c r="L627" s="24"/>
      <c r="M627" s="24">
        <f t="shared" ref="M627:M633" si="176">D627+E627+F627+G627+H627+J627+I627</f>
        <v>30000</v>
      </c>
      <c r="N627" s="33">
        <v>0</v>
      </c>
      <c r="O627" s="14">
        <f t="shared" si="175"/>
        <v>30000</v>
      </c>
    </row>
    <row r="628" spans="1:15" x14ac:dyDescent="0.3">
      <c r="A628" s="177"/>
      <c r="B628" s="179"/>
      <c r="C628" s="2" t="s">
        <v>53</v>
      </c>
      <c r="D628" s="24">
        <v>10000</v>
      </c>
      <c r="E628" s="24"/>
      <c r="F628" s="24"/>
      <c r="G628" s="24"/>
      <c r="H628" s="24"/>
      <c r="I628" s="24"/>
      <c r="J628" s="24"/>
      <c r="K628" s="24"/>
      <c r="L628" s="24"/>
      <c r="M628" s="24">
        <f t="shared" si="176"/>
        <v>10000</v>
      </c>
      <c r="N628" s="33">
        <v>7874</v>
      </c>
      <c r="O628" s="14">
        <f t="shared" si="175"/>
        <v>2126</v>
      </c>
    </row>
    <row r="629" spans="1:15" x14ac:dyDescent="0.3">
      <c r="A629" s="177"/>
      <c r="B629" s="179"/>
      <c r="C629" s="30" t="s">
        <v>55</v>
      </c>
      <c r="D629" s="24">
        <v>0</v>
      </c>
      <c r="E629" s="24"/>
      <c r="F629" s="24"/>
      <c r="G629" s="24"/>
      <c r="H629" s="24"/>
      <c r="I629" s="24"/>
      <c r="J629" s="24"/>
      <c r="K629" s="24"/>
      <c r="L629" s="24"/>
      <c r="M629" s="24">
        <f t="shared" si="176"/>
        <v>0</v>
      </c>
      <c r="N629" s="33">
        <v>0</v>
      </c>
      <c r="O629" s="33">
        <f t="shared" si="175"/>
        <v>0</v>
      </c>
    </row>
    <row r="630" spans="1:15" x14ac:dyDescent="0.3">
      <c r="A630" s="177"/>
      <c r="B630" s="179"/>
      <c r="C630" s="2" t="s">
        <v>62</v>
      </c>
      <c r="D630" s="24">
        <v>0</v>
      </c>
      <c r="E630" s="24"/>
      <c r="F630" s="24"/>
      <c r="G630" s="24"/>
      <c r="H630" s="24"/>
      <c r="I630" s="24"/>
      <c r="J630" s="24"/>
      <c r="K630" s="24"/>
      <c r="L630" s="24"/>
      <c r="M630" s="24">
        <f t="shared" si="176"/>
        <v>0</v>
      </c>
      <c r="N630" s="33">
        <v>0</v>
      </c>
      <c r="O630" s="14">
        <f t="shared" si="175"/>
        <v>0</v>
      </c>
    </row>
    <row r="631" spans="1:15" x14ac:dyDescent="0.3">
      <c r="A631" s="177"/>
      <c r="B631" s="179"/>
      <c r="C631" s="2" t="s">
        <v>57</v>
      </c>
      <c r="D631" s="24">
        <v>4000</v>
      </c>
      <c r="E631" s="28"/>
      <c r="F631" s="24"/>
      <c r="G631" s="24"/>
      <c r="H631" s="24"/>
      <c r="I631" s="24"/>
      <c r="J631" s="24"/>
      <c r="K631" s="24"/>
      <c r="L631" s="24"/>
      <c r="M631" s="24">
        <f t="shared" si="176"/>
        <v>4000</v>
      </c>
      <c r="N631" s="33">
        <v>0</v>
      </c>
      <c r="O631" s="14">
        <f t="shared" si="175"/>
        <v>4000</v>
      </c>
    </row>
    <row r="632" spans="1:15" x14ac:dyDescent="0.3">
      <c r="A632" s="177"/>
      <c r="B632" s="179"/>
      <c r="C632" s="2" t="s">
        <v>44</v>
      </c>
      <c r="D632" s="24">
        <v>16800</v>
      </c>
      <c r="E632" s="24"/>
      <c r="F632" s="24"/>
      <c r="G632" s="24"/>
      <c r="H632" s="24"/>
      <c r="I632" s="24"/>
      <c r="J632" s="24"/>
      <c r="K632" s="24"/>
      <c r="L632" s="24"/>
      <c r="M632" s="24">
        <f t="shared" si="176"/>
        <v>16800</v>
      </c>
      <c r="N632" s="33">
        <v>4200</v>
      </c>
      <c r="O632" s="14">
        <f t="shared" si="175"/>
        <v>12600</v>
      </c>
    </row>
    <row r="633" spans="1:15" x14ac:dyDescent="0.3">
      <c r="A633" s="177"/>
      <c r="B633" s="179"/>
      <c r="C633" s="2" t="s">
        <v>58</v>
      </c>
      <c r="D633" s="24">
        <v>0</v>
      </c>
      <c r="E633" s="24"/>
      <c r="F633" s="24"/>
      <c r="G633" s="24"/>
      <c r="H633" s="24"/>
      <c r="I633" s="24"/>
      <c r="J633" s="24"/>
      <c r="K633" s="24"/>
      <c r="L633" s="24"/>
      <c r="M633" s="24">
        <f t="shared" si="176"/>
        <v>0</v>
      </c>
      <c r="N633" s="33">
        <v>0</v>
      </c>
      <c r="O633" s="14">
        <f t="shared" si="175"/>
        <v>0</v>
      </c>
    </row>
    <row r="634" spans="1:15" x14ac:dyDescent="0.3">
      <c r="A634" s="177"/>
      <c r="B634" s="179"/>
      <c r="C634" s="2" t="s">
        <v>59</v>
      </c>
      <c r="D634" s="24">
        <v>0</v>
      </c>
      <c r="E634" s="24"/>
      <c r="F634" s="24"/>
      <c r="G634" s="24"/>
      <c r="H634" s="24"/>
      <c r="I634" s="24"/>
      <c r="J634" s="24"/>
      <c r="K634" s="24"/>
      <c r="L634" s="24"/>
      <c r="M634" s="24">
        <f>D634+E634+F634+G634+H634+J634+I634+K634+L634</f>
        <v>0</v>
      </c>
      <c r="N634" s="33">
        <v>0</v>
      </c>
      <c r="O634" s="14">
        <f t="shared" si="175"/>
        <v>0</v>
      </c>
    </row>
    <row r="635" spans="1:15" x14ac:dyDescent="0.3">
      <c r="A635" s="177"/>
      <c r="B635" s="179"/>
      <c r="C635" s="2" t="s">
        <v>45</v>
      </c>
      <c r="D635" s="24">
        <v>7480</v>
      </c>
      <c r="E635" s="24"/>
      <c r="F635" s="24"/>
      <c r="G635" s="24"/>
      <c r="H635" s="24"/>
      <c r="I635" s="24"/>
      <c r="J635" s="24"/>
      <c r="K635" s="24"/>
      <c r="L635" s="24"/>
      <c r="M635" s="24">
        <f>D635+E635+F635+G635+H635+J635+I635</f>
        <v>7480</v>
      </c>
      <c r="N635" s="33">
        <v>2126</v>
      </c>
      <c r="O635" s="14">
        <f t="shared" si="175"/>
        <v>5354</v>
      </c>
    </row>
    <row r="636" spans="1:15" x14ac:dyDescent="0.3">
      <c r="A636" s="177"/>
      <c r="B636" s="179"/>
      <c r="C636" s="2" t="s">
        <v>60</v>
      </c>
      <c r="D636" s="24">
        <v>0</v>
      </c>
      <c r="E636" s="28"/>
      <c r="F636" s="24"/>
      <c r="G636" s="24"/>
      <c r="H636" s="24"/>
      <c r="I636" s="24"/>
      <c r="J636" s="24"/>
      <c r="K636" s="24"/>
      <c r="L636" s="24"/>
      <c r="M636" s="24">
        <f>D636+E636+F636+G636+H636+J636+I636</f>
        <v>0</v>
      </c>
      <c r="N636" s="33">
        <v>0</v>
      </c>
      <c r="O636" s="14">
        <f t="shared" si="175"/>
        <v>0</v>
      </c>
    </row>
    <row r="637" spans="1:15" x14ac:dyDescent="0.3">
      <c r="A637" s="177"/>
      <c r="B637" s="179"/>
      <c r="C637" s="6" t="s">
        <v>46</v>
      </c>
      <c r="D637" s="97">
        <f>SUM(D627:D636)</f>
        <v>68280</v>
      </c>
      <c r="E637" s="97">
        <f t="shared" ref="E637:O637" si="177">SUM(E627:E636)</f>
        <v>0</v>
      </c>
      <c r="F637" s="97">
        <f t="shared" si="177"/>
        <v>0</v>
      </c>
      <c r="G637" s="97">
        <f t="shared" si="177"/>
        <v>0</v>
      </c>
      <c r="H637" s="97">
        <f t="shared" si="177"/>
        <v>0</v>
      </c>
      <c r="I637" s="97">
        <f t="shared" si="177"/>
        <v>0</v>
      </c>
      <c r="J637" s="97">
        <f t="shared" si="177"/>
        <v>0</v>
      </c>
      <c r="K637" s="97">
        <f t="shared" si="177"/>
        <v>0</v>
      </c>
      <c r="L637" s="97">
        <f t="shared" si="177"/>
        <v>0</v>
      </c>
      <c r="M637" s="97">
        <f t="shared" si="177"/>
        <v>68280</v>
      </c>
      <c r="N637" s="49">
        <f t="shared" si="177"/>
        <v>14200</v>
      </c>
      <c r="O637" s="26">
        <f t="shared" si="177"/>
        <v>54080</v>
      </c>
    </row>
    <row r="638" spans="1:15" x14ac:dyDescent="0.3">
      <c r="A638" s="177"/>
      <c r="B638" s="179" t="s">
        <v>21</v>
      </c>
      <c r="C638" s="2" t="s">
        <v>62</v>
      </c>
      <c r="D638" s="24">
        <v>36000</v>
      </c>
      <c r="E638" s="24"/>
      <c r="F638" s="24"/>
      <c r="G638" s="24"/>
      <c r="H638" s="24"/>
      <c r="I638" s="24"/>
      <c r="J638" s="24"/>
      <c r="K638" s="24"/>
      <c r="L638" s="24"/>
      <c r="M638" s="24">
        <f>D638+E638+F638+G638+H638+J638+I638</f>
        <v>36000</v>
      </c>
      <c r="N638" s="33">
        <v>12000</v>
      </c>
      <c r="O638" s="14">
        <f t="shared" ref="O638:O641" si="178">M638-N638</f>
        <v>24000</v>
      </c>
    </row>
    <row r="639" spans="1:15" x14ac:dyDescent="0.3">
      <c r="A639" s="177"/>
      <c r="B639" s="179"/>
      <c r="C639" s="2" t="s">
        <v>57</v>
      </c>
      <c r="D639" s="24">
        <v>12000</v>
      </c>
      <c r="E639" s="24"/>
      <c r="F639" s="24"/>
      <c r="G639" s="24"/>
      <c r="H639" s="24"/>
      <c r="I639" s="24"/>
      <c r="J639" s="24"/>
      <c r="K639" s="24"/>
      <c r="L639" s="24"/>
      <c r="M639" s="24">
        <f>D639+E639+F639+G639+H639+J639+I639</f>
        <v>12000</v>
      </c>
      <c r="N639" s="33">
        <v>6000</v>
      </c>
      <c r="O639" s="21">
        <f t="shared" si="178"/>
        <v>6000</v>
      </c>
    </row>
    <row r="640" spans="1:15" x14ac:dyDescent="0.3">
      <c r="A640" s="177"/>
      <c r="B640" s="179"/>
      <c r="C640" s="2" t="s">
        <v>58</v>
      </c>
      <c r="D640" s="24">
        <v>5000</v>
      </c>
      <c r="E640" s="24"/>
      <c r="F640" s="24"/>
      <c r="G640" s="24"/>
      <c r="H640" s="24"/>
      <c r="I640" s="24"/>
      <c r="J640" s="24"/>
      <c r="K640" s="24"/>
      <c r="L640" s="24"/>
      <c r="M640" s="24">
        <f>D640+E640+F640+G640+H640+J640+I640</f>
        <v>5000</v>
      </c>
      <c r="N640" s="33">
        <v>0</v>
      </c>
      <c r="O640" s="21">
        <f t="shared" si="178"/>
        <v>5000</v>
      </c>
    </row>
    <row r="641" spans="1:15" x14ac:dyDescent="0.3">
      <c r="A641" s="177"/>
      <c r="B641" s="179"/>
      <c r="C641" s="2" t="s">
        <v>45</v>
      </c>
      <c r="D641" s="24">
        <v>14310</v>
      </c>
      <c r="E641" s="24"/>
      <c r="F641" s="24"/>
      <c r="G641" s="24"/>
      <c r="H641" s="24"/>
      <c r="I641" s="24"/>
      <c r="J641" s="24"/>
      <c r="K641" s="24"/>
      <c r="L641" s="24"/>
      <c r="M641" s="24">
        <f>D641+E641+F641+G641+H641+J641+I641</f>
        <v>14310</v>
      </c>
      <c r="N641" s="33">
        <v>4860</v>
      </c>
      <c r="O641" s="14">
        <f t="shared" si="178"/>
        <v>9450</v>
      </c>
    </row>
    <row r="642" spans="1:15" x14ac:dyDescent="0.3">
      <c r="A642" s="177"/>
      <c r="B642" s="179"/>
      <c r="C642" s="6" t="s">
        <v>46</v>
      </c>
      <c r="D642" s="97">
        <f>SUM(D638,D641,D639,D640)</f>
        <v>67310</v>
      </c>
      <c r="E642" s="97">
        <f t="shared" ref="E642:O642" si="179">SUM(E638:E641)</f>
        <v>0</v>
      </c>
      <c r="F642" s="97">
        <f t="shared" si="179"/>
        <v>0</v>
      </c>
      <c r="G642" s="97">
        <f t="shared" si="179"/>
        <v>0</v>
      </c>
      <c r="H642" s="97">
        <f t="shared" si="179"/>
        <v>0</v>
      </c>
      <c r="I642" s="97">
        <f t="shared" si="179"/>
        <v>0</v>
      </c>
      <c r="J642" s="97">
        <f t="shared" si="179"/>
        <v>0</v>
      </c>
      <c r="K642" s="97">
        <f t="shared" si="179"/>
        <v>0</v>
      </c>
      <c r="L642" s="97">
        <f t="shared" si="179"/>
        <v>0</v>
      </c>
      <c r="M642" s="97">
        <f t="shared" si="179"/>
        <v>67310</v>
      </c>
      <c r="N642" s="49">
        <f t="shared" si="179"/>
        <v>22860</v>
      </c>
      <c r="O642" s="26">
        <f t="shared" si="179"/>
        <v>44450</v>
      </c>
    </row>
    <row r="643" spans="1:15" x14ac:dyDescent="0.3">
      <c r="A643" s="177" t="s">
        <v>101</v>
      </c>
      <c r="B643" s="179" t="s">
        <v>18</v>
      </c>
      <c r="C643" s="2" t="s">
        <v>40</v>
      </c>
      <c r="D643" s="24">
        <v>202400</v>
      </c>
      <c r="E643" s="24"/>
      <c r="F643" s="24">
        <v>252186</v>
      </c>
      <c r="G643" s="24"/>
      <c r="H643" s="24"/>
      <c r="I643" s="24"/>
      <c r="J643" s="24"/>
      <c r="K643" s="24"/>
      <c r="L643" s="24"/>
      <c r="M643" s="24">
        <f>D643+E643+F643+G643+H643+J643+I643</f>
        <v>454586</v>
      </c>
      <c r="N643" s="33">
        <v>175804</v>
      </c>
      <c r="O643" s="14">
        <f t="shared" ref="O643:O644" si="180">M643-N643</f>
        <v>278782</v>
      </c>
    </row>
    <row r="644" spans="1:15" x14ac:dyDescent="0.3">
      <c r="A644" s="177"/>
      <c r="B644" s="179"/>
      <c r="C644" s="2" t="s">
        <v>42</v>
      </c>
      <c r="D644" s="24">
        <v>35420</v>
      </c>
      <c r="E644" s="24"/>
      <c r="F644" s="24">
        <v>40150</v>
      </c>
      <c r="G644" s="24"/>
      <c r="H644" s="24"/>
      <c r="I644" s="24"/>
      <c r="J644" s="24"/>
      <c r="K644" s="24"/>
      <c r="L644" s="24"/>
      <c r="M644" s="24">
        <f>D644+E644+F644+G644+H644+J644+I644+K644</f>
        <v>75570</v>
      </c>
      <c r="N644" s="33">
        <v>30763</v>
      </c>
      <c r="O644" s="14">
        <f t="shared" si="180"/>
        <v>44807</v>
      </c>
    </row>
    <row r="645" spans="1:15" x14ac:dyDescent="0.3">
      <c r="A645" s="212" t="s">
        <v>129</v>
      </c>
      <c r="B645" s="213"/>
      <c r="C645" s="214"/>
      <c r="D645" s="115">
        <f>SUM(D612+D613+D614+D617+D625+D626+D637+D642+D643+D644)</f>
        <v>6655649</v>
      </c>
      <c r="E645" s="103">
        <f t="shared" ref="E645:O645" si="181">SUM(E612,E613,E614,E617,E625,E626,E637,E642,E643,E644)</f>
        <v>0</v>
      </c>
      <c r="F645" s="103">
        <f t="shared" si="181"/>
        <v>292336</v>
      </c>
      <c r="G645" s="103">
        <f t="shared" si="181"/>
        <v>0</v>
      </c>
      <c r="H645" s="103">
        <f t="shared" si="181"/>
        <v>0</v>
      </c>
      <c r="I645" s="103">
        <f t="shared" si="181"/>
        <v>0</v>
      </c>
      <c r="J645" s="103">
        <f t="shared" si="181"/>
        <v>0</v>
      </c>
      <c r="K645" s="103">
        <f t="shared" si="181"/>
        <v>0</v>
      </c>
      <c r="L645" s="103">
        <f t="shared" si="181"/>
        <v>0</v>
      </c>
      <c r="M645" s="103">
        <f>SUM(M612,M613,M614,M617,M625,M626,M637,M642,M643,M644)</f>
        <v>6947985</v>
      </c>
      <c r="N645" s="137">
        <f>SUM(N612,N613,N614,N617,N625,N626,N637,N642,N643,N644)</f>
        <v>2651592</v>
      </c>
      <c r="O645" s="60">
        <f t="shared" si="181"/>
        <v>4296393</v>
      </c>
    </row>
    <row r="646" spans="1:15" x14ac:dyDescent="0.3">
      <c r="A646" s="177" t="s">
        <v>102</v>
      </c>
      <c r="B646" s="180" t="s">
        <v>39</v>
      </c>
      <c r="C646" s="30" t="s">
        <v>49</v>
      </c>
      <c r="D646" s="24">
        <v>72000</v>
      </c>
      <c r="E646" s="24"/>
      <c r="F646" s="24"/>
      <c r="G646" s="24"/>
      <c r="H646" s="24"/>
      <c r="I646" s="24"/>
      <c r="J646" s="24"/>
      <c r="K646" s="24"/>
      <c r="L646" s="24"/>
      <c r="M646" s="24">
        <f>D646+E646+F646+G646+H646+J646+I646</f>
        <v>72000</v>
      </c>
      <c r="N646" s="33">
        <v>11880</v>
      </c>
      <c r="O646" s="21">
        <f t="shared" ref="O646:O648" si="182">M646-N646</f>
        <v>60120</v>
      </c>
    </row>
    <row r="647" spans="1:15" x14ac:dyDescent="0.3">
      <c r="A647" s="177"/>
      <c r="B647" s="199"/>
      <c r="C647" s="2" t="s">
        <v>40</v>
      </c>
      <c r="D647" s="24">
        <v>978360</v>
      </c>
      <c r="E647" s="24"/>
      <c r="F647" s="24"/>
      <c r="G647" s="24"/>
      <c r="H647" s="24"/>
      <c r="I647" s="24"/>
      <c r="J647" s="24"/>
      <c r="K647" s="24"/>
      <c r="L647" s="24"/>
      <c r="M647" s="24">
        <f>D647+E647+F647+G647+H647+J647+I647</f>
        <v>978360</v>
      </c>
      <c r="N647" s="33">
        <v>407650</v>
      </c>
      <c r="O647" s="14">
        <f t="shared" si="182"/>
        <v>570710</v>
      </c>
    </row>
    <row r="648" spans="1:15" x14ac:dyDescent="0.3">
      <c r="A648" s="177"/>
      <c r="B648" s="199"/>
      <c r="C648" s="2" t="s">
        <v>51</v>
      </c>
      <c r="D648" s="24">
        <v>0</v>
      </c>
      <c r="E648" s="24"/>
      <c r="F648" s="24"/>
      <c r="G648" s="24"/>
      <c r="H648" s="24"/>
      <c r="I648" s="24"/>
      <c r="J648" s="24"/>
      <c r="K648" s="24"/>
      <c r="L648" s="24"/>
      <c r="M648" s="24">
        <f>D648+E648+F648+G648+H648+J648+I648</f>
        <v>0</v>
      </c>
      <c r="N648" s="33">
        <v>0</v>
      </c>
      <c r="O648" s="14">
        <f t="shared" si="182"/>
        <v>0</v>
      </c>
    </row>
    <row r="649" spans="1:15" x14ac:dyDescent="0.3">
      <c r="A649" s="177"/>
      <c r="B649" s="199"/>
      <c r="C649" s="6" t="s">
        <v>41</v>
      </c>
      <c r="D649" s="97">
        <f>SUM(D646:D648)</f>
        <v>1050360</v>
      </c>
      <c r="E649" s="97">
        <f t="shared" ref="E649:O649" si="183">SUM(E646:E648)</f>
        <v>0</v>
      </c>
      <c r="F649" s="97">
        <f t="shared" si="183"/>
        <v>0</v>
      </c>
      <c r="G649" s="97">
        <f t="shared" si="183"/>
        <v>0</v>
      </c>
      <c r="H649" s="97">
        <f>SUM(H646:H648)</f>
        <v>0</v>
      </c>
      <c r="I649" s="97">
        <f>SUM(I646:I648)</f>
        <v>0</v>
      </c>
      <c r="J649" s="97">
        <f>SUM(J646:J648)</f>
        <v>0</v>
      </c>
      <c r="K649" s="97">
        <f t="shared" ref="K649:L649" si="184">SUM(K646:K648)</f>
        <v>0</v>
      </c>
      <c r="L649" s="97">
        <f t="shared" si="184"/>
        <v>0</v>
      </c>
      <c r="M649" s="97">
        <f>SUM(M646:M648)</f>
        <v>1050360</v>
      </c>
      <c r="N649" s="49">
        <f t="shared" si="183"/>
        <v>419530</v>
      </c>
      <c r="O649" s="26">
        <f t="shared" si="183"/>
        <v>630830</v>
      </c>
    </row>
    <row r="650" spans="1:15" x14ac:dyDescent="0.3">
      <c r="A650" s="177"/>
      <c r="B650" s="199"/>
      <c r="C650" s="57" t="s">
        <v>42</v>
      </c>
      <c r="D650" s="98">
        <v>85607</v>
      </c>
      <c r="E650" s="98"/>
      <c r="F650" s="98"/>
      <c r="G650" s="98"/>
      <c r="H650" s="98"/>
      <c r="I650" s="98"/>
      <c r="J650" s="98"/>
      <c r="K650" s="98"/>
      <c r="L650" s="98"/>
      <c r="M650" s="99">
        <f>D650+E650+F650+G650+H650+J650</f>
        <v>85607</v>
      </c>
      <c r="N650" s="133">
        <v>35670</v>
      </c>
      <c r="O650" s="55">
        <f t="shared" ref="O650:O654" si="185">M650-N650</f>
        <v>49937</v>
      </c>
    </row>
    <row r="651" spans="1:15" x14ac:dyDescent="0.3">
      <c r="A651" s="177"/>
      <c r="B651" s="199"/>
      <c r="C651" s="2" t="s">
        <v>43</v>
      </c>
      <c r="D651" s="24">
        <v>0</v>
      </c>
      <c r="E651" s="24"/>
      <c r="F651" s="24"/>
      <c r="G651" s="24"/>
      <c r="H651" s="24"/>
      <c r="I651" s="24"/>
      <c r="J651" s="24"/>
      <c r="K651" s="24"/>
      <c r="L651" s="24"/>
      <c r="M651" s="24">
        <f>D651+E651+F651+G651+H651+J651+I651</f>
        <v>0</v>
      </c>
      <c r="N651" s="33">
        <v>0</v>
      </c>
      <c r="O651" s="32">
        <f t="shared" si="185"/>
        <v>0</v>
      </c>
    </row>
    <row r="652" spans="1:15" x14ac:dyDescent="0.3">
      <c r="A652" s="177"/>
      <c r="B652" s="199"/>
      <c r="C652" s="2" t="s">
        <v>53</v>
      </c>
      <c r="D652" s="24">
        <v>0</v>
      </c>
      <c r="E652" s="24"/>
      <c r="F652" s="24"/>
      <c r="G652" s="24"/>
      <c r="H652" s="24"/>
      <c r="I652" s="24"/>
      <c r="J652" s="24"/>
      <c r="K652" s="24"/>
      <c r="L652" s="24"/>
      <c r="M652" s="24">
        <f>D652+E652+F652+G652+H652+J652+I652</f>
        <v>0</v>
      </c>
      <c r="N652" s="33">
        <v>0</v>
      </c>
      <c r="O652" s="32">
        <f t="shared" si="185"/>
        <v>0</v>
      </c>
    </row>
    <row r="653" spans="1:15" x14ac:dyDescent="0.3">
      <c r="A653" s="177"/>
      <c r="B653" s="199"/>
      <c r="C653" s="2" t="s">
        <v>44</v>
      </c>
      <c r="D653" s="24">
        <v>0</v>
      </c>
      <c r="E653" s="28"/>
      <c r="F653" s="24"/>
      <c r="G653" s="24"/>
      <c r="H653" s="24"/>
      <c r="I653" s="24"/>
      <c r="J653" s="24"/>
      <c r="K653" s="24"/>
      <c r="L653" s="24"/>
      <c r="M653" s="24">
        <f>D653+E653+F653+G653+H653+J653+I653</f>
        <v>0</v>
      </c>
      <c r="N653" s="33">
        <v>0</v>
      </c>
      <c r="O653" s="32">
        <f t="shared" si="185"/>
        <v>0</v>
      </c>
    </row>
    <row r="654" spans="1:15" x14ac:dyDescent="0.3">
      <c r="A654" s="177"/>
      <c r="B654" s="199"/>
      <c r="C654" s="30" t="s">
        <v>45</v>
      </c>
      <c r="D654" s="24">
        <v>0</v>
      </c>
      <c r="E654" s="24"/>
      <c r="F654" s="24"/>
      <c r="G654" s="24"/>
      <c r="H654" s="24"/>
      <c r="I654" s="24"/>
      <c r="J654" s="24"/>
      <c r="K654" s="24"/>
      <c r="L654" s="24"/>
      <c r="M654" s="24">
        <f>D654+E654+F654+G654+H654+J654+I654</f>
        <v>0</v>
      </c>
      <c r="N654" s="33">
        <v>0</v>
      </c>
      <c r="O654" s="32">
        <f t="shared" si="185"/>
        <v>0</v>
      </c>
    </row>
    <row r="655" spans="1:15" x14ac:dyDescent="0.3">
      <c r="A655" s="177"/>
      <c r="B655" s="181"/>
      <c r="C655" s="6" t="s">
        <v>46</v>
      </c>
      <c r="D655" s="97">
        <f>SUM(D651:D654)</f>
        <v>0</v>
      </c>
      <c r="E655" s="97">
        <f t="shared" ref="E655:L655" si="186">SUM(E651:E654)</f>
        <v>0</v>
      </c>
      <c r="F655" s="97">
        <f t="shared" si="186"/>
        <v>0</v>
      </c>
      <c r="G655" s="97">
        <f t="shared" si="186"/>
        <v>0</v>
      </c>
      <c r="H655" s="97">
        <f t="shared" si="186"/>
        <v>0</v>
      </c>
      <c r="I655" s="97">
        <f t="shared" si="186"/>
        <v>0</v>
      </c>
      <c r="J655" s="97">
        <f t="shared" si="186"/>
        <v>0</v>
      </c>
      <c r="K655" s="97">
        <f t="shared" si="186"/>
        <v>0</v>
      </c>
      <c r="L655" s="97">
        <f t="shared" si="186"/>
        <v>0</v>
      </c>
      <c r="M655" s="97">
        <f>SUM(M651:M654)</f>
        <v>0</v>
      </c>
      <c r="N655" s="49">
        <f t="shared" ref="N655:O655" si="187">SUM(N651:N654)</f>
        <v>0</v>
      </c>
      <c r="O655" s="34">
        <f t="shared" si="187"/>
        <v>0</v>
      </c>
    </row>
    <row r="656" spans="1:15" x14ac:dyDescent="0.3">
      <c r="A656" s="177"/>
      <c r="B656" s="179" t="s">
        <v>18</v>
      </c>
      <c r="C656" s="2" t="s">
        <v>40</v>
      </c>
      <c r="D656" s="24">
        <v>2851935</v>
      </c>
      <c r="E656" s="28"/>
      <c r="F656" s="24"/>
      <c r="G656" s="24"/>
      <c r="H656" s="24"/>
      <c r="I656" s="24"/>
      <c r="J656" s="24"/>
      <c r="K656" s="24"/>
      <c r="L656" s="24"/>
      <c r="M656" s="24">
        <f t="shared" ref="M656:M661" si="188">D656+E656+F656+G656+H656+J656+I656</f>
        <v>2851935</v>
      </c>
      <c r="N656" s="33">
        <v>1316667</v>
      </c>
      <c r="O656" s="14">
        <f t="shared" ref="O656:O661" si="189">M656-N656</f>
        <v>1535268</v>
      </c>
    </row>
    <row r="657" spans="1:15" x14ac:dyDescent="0.3">
      <c r="A657" s="177"/>
      <c r="B657" s="179"/>
      <c r="C657" s="2" t="s">
        <v>47</v>
      </c>
      <c r="D657" s="24">
        <v>100000</v>
      </c>
      <c r="E657" s="24"/>
      <c r="F657" s="24"/>
      <c r="G657" s="24"/>
      <c r="H657" s="24"/>
      <c r="I657" s="24"/>
      <c r="J657" s="24"/>
      <c r="K657" s="24"/>
      <c r="L657" s="24"/>
      <c r="M657" s="24">
        <f t="shared" si="188"/>
        <v>100000</v>
      </c>
      <c r="N657" s="33">
        <v>0</v>
      </c>
      <c r="O657" s="14">
        <f t="shared" si="189"/>
        <v>100000</v>
      </c>
    </row>
    <row r="658" spans="1:15" x14ac:dyDescent="0.3">
      <c r="A658" s="177"/>
      <c r="B658" s="179"/>
      <c r="C658" s="2" t="s">
        <v>48</v>
      </c>
      <c r="D658" s="24">
        <v>5000</v>
      </c>
      <c r="E658" s="24"/>
      <c r="F658" s="24"/>
      <c r="G658" s="24"/>
      <c r="H658" s="24"/>
      <c r="I658" s="24"/>
      <c r="J658" s="24"/>
      <c r="K658" s="24"/>
      <c r="L658" s="24"/>
      <c r="M658" s="24">
        <f t="shared" si="188"/>
        <v>5000</v>
      </c>
      <c r="N658" s="33">
        <v>0</v>
      </c>
      <c r="O658" s="14">
        <f t="shared" si="189"/>
        <v>5000</v>
      </c>
    </row>
    <row r="659" spans="1:15" x14ac:dyDescent="0.3">
      <c r="A659" s="177"/>
      <c r="B659" s="179"/>
      <c r="C659" s="30" t="s">
        <v>49</v>
      </c>
      <c r="D659" s="24">
        <v>0</v>
      </c>
      <c r="E659" s="28"/>
      <c r="F659" s="24"/>
      <c r="G659" s="24"/>
      <c r="H659" s="24"/>
      <c r="I659" s="24"/>
      <c r="J659" s="24"/>
      <c r="K659" s="24"/>
      <c r="L659" s="24"/>
      <c r="M659" s="24">
        <f t="shared" si="188"/>
        <v>0</v>
      </c>
      <c r="N659" s="33">
        <v>0</v>
      </c>
      <c r="O659" s="14">
        <f t="shared" si="189"/>
        <v>0</v>
      </c>
    </row>
    <row r="660" spans="1:15" x14ac:dyDescent="0.3">
      <c r="A660" s="177"/>
      <c r="B660" s="179"/>
      <c r="C660" s="2" t="s">
        <v>50</v>
      </c>
      <c r="D660" s="24">
        <v>12000</v>
      </c>
      <c r="E660" s="24"/>
      <c r="F660" s="24"/>
      <c r="G660" s="24"/>
      <c r="H660" s="24"/>
      <c r="I660" s="24"/>
      <c r="J660" s="24"/>
      <c r="K660" s="24"/>
      <c r="L660" s="24"/>
      <c r="M660" s="24">
        <f t="shared" si="188"/>
        <v>12000</v>
      </c>
      <c r="N660" s="33">
        <v>0</v>
      </c>
      <c r="O660" s="14">
        <f t="shared" si="189"/>
        <v>12000</v>
      </c>
    </row>
    <row r="661" spans="1:15" x14ac:dyDescent="0.3">
      <c r="A661" s="177"/>
      <c r="B661" s="179"/>
      <c r="C661" s="2" t="s">
        <v>51</v>
      </c>
      <c r="D661" s="24">
        <v>0</v>
      </c>
      <c r="E661" s="28"/>
      <c r="F661" s="24"/>
      <c r="G661" s="28"/>
      <c r="H661" s="24"/>
      <c r="I661" s="24"/>
      <c r="J661" s="24"/>
      <c r="K661" s="24"/>
      <c r="L661" s="24"/>
      <c r="M661" s="24">
        <f t="shared" si="188"/>
        <v>0</v>
      </c>
      <c r="N661" s="33">
        <v>0</v>
      </c>
      <c r="O661" s="14">
        <f t="shared" si="189"/>
        <v>0</v>
      </c>
    </row>
    <row r="662" spans="1:15" x14ac:dyDescent="0.3">
      <c r="A662" s="177"/>
      <c r="B662" s="179"/>
      <c r="C662" s="6" t="s">
        <v>41</v>
      </c>
      <c r="D662" s="97">
        <f>SUM(D656:D661)</f>
        <v>2968935</v>
      </c>
      <c r="E662" s="97">
        <f t="shared" ref="E662:O662" si="190">SUM(E656:E661)</f>
        <v>0</v>
      </c>
      <c r="F662" s="97">
        <f t="shared" si="190"/>
        <v>0</v>
      </c>
      <c r="G662" s="97">
        <f t="shared" si="190"/>
        <v>0</v>
      </c>
      <c r="H662" s="97">
        <f t="shared" si="190"/>
        <v>0</v>
      </c>
      <c r="I662" s="97">
        <f t="shared" si="190"/>
        <v>0</v>
      </c>
      <c r="J662" s="97">
        <f t="shared" si="190"/>
        <v>0</v>
      </c>
      <c r="K662" s="97">
        <f t="shared" si="190"/>
        <v>0</v>
      </c>
      <c r="L662" s="97">
        <f t="shared" si="190"/>
        <v>0</v>
      </c>
      <c r="M662" s="97">
        <f t="shared" si="190"/>
        <v>2968935</v>
      </c>
      <c r="N662" s="49">
        <f t="shared" si="190"/>
        <v>1316667</v>
      </c>
      <c r="O662" s="26">
        <f t="shared" si="190"/>
        <v>1652268</v>
      </c>
    </row>
    <row r="663" spans="1:15" x14ac:dyDescent="0.3">
      <c r="A663" s="177"/>
      <c r="B663" s="179"/>
      <c r="C663" s="57" t="s">
        <v>42</v>
      </c>
      <c r="D663" s="98">
        <v>534563</v>
      </c>
      <c r="E663" s="98"/>
      <c r="F663" s="98"/>
      <c r="G663" s="98"/>
      <c r="H663" s="98"/>
      <c r="I663" s="98"/>
      <c r="J663" s="98"/>
      <c r="K663" s="98"/>
      <c r="L663" s="98"/>
      <c r="M663" s="99">
        <f>D663+E663+F663+G663+H663+J663</f>
        <v>534563</v>
      </c>
      <c r="N663" s="133">
        <v>232202</v>
      </c>
      <c r="O663" s="55">
        <f t="shared" ref="O663:O672" si="191">M663-N663</f>
        <v>302361</v>
      </c>
    </row>
    <row r="664" spans="1:15" x14ac:dyDescent="0.3">
      <c r="A664" s="177"/>
      <c r="B664" s="179"/>
      <c r="C664" s="2" t="s">
        <v>43</v>
      </c>
      <c r="D664" s="24">
        <v>30000</v>
      </c>
      <c r="E664" s="24"/>
      <c r="F664" s="24"/>
      <c r="G664" s="24"/>
      <c r="H664" s="24"/>
      <c r="I664" s="24"/>
      <c r="J664" s="24"/>
      <c r="K664" s="24"/>
      <c r="L664" s="24"/>
      <c r="M664" s="24">
        <f>D664+E664+F664+G664+H664+J664+I664</f>
        <v>30000</v>
      </c>
      <c r="N664" s="33">
        <v>0</v>
      </c>
      <c r="O664" s="14">
        <f t="shared" si="191"/>
        <v>30000</v>
      </c>
    </row>
    <row r="665" spans="1:15" x14ac:dyDescent="0.3">
      <c r="A665" s="177"/>
      <c r="B665" s="179"/>
      <c r="C665" s="2" t="s">
        <v>53</v>
      </c>
      <c r="D665" s="24">
        <v>45000</v>
      </c>
      <c r="E665" s="24">
        <v>-36000</v>
      </c>
      <c r="F665" s="24"/>
      <c r="G665" s="24"/>
      <c r="H665" s="24"/>
      <c r="I665" s="24"/>
      <c r="J665" s="24"/>
      <c r="K665" s="24"/>
      <c r="L665" s="24"/>
      <c r="M665" s="24">
        <f>D665+E665+F665+G665+H665+J665+I665</f>
        <v>9000</v>
      </c>
      <c r="N665" s="33">
        <v>0</v>
      </c>
      <c r="O665" s="21">
        <f t="shared" si="191"/>
        <v>9000</v>
      </c>
    </row>
    <row r="666" spans="1:15" x14ac:dyDescent="0.3">
      <c r="A666" s="177"/>
      <c r="B666" s="179"/>
      <c r="C666" s="30" t="s">
        <v>55</v>
      </c>
      <c r="D666" s="24">
        <v>0</v>
      </c>
      <c r="E666" s="24"/>
      <c r="F666" s="24"/>
      <c r="G666" s="24"/>
      <c r="H666" s="24"/>
      <c r="I666" s="24"/>
      <c r="J666" s="24"/>
      <c r="K666" s="24"/>
      <c r="L666" s="24"/>
      <c r="M666" s="24">
        <f>D666+E666+F666+G666+H666+J666+I666</f>
        <v>0</v>
      </c>
      <c r="N666" s="33">
        <v>0</v>
      </c>
      <c r="O666" s="33">
        <f t="shared" si="191"/>
        <v>0</v>
      </c>
    </row>
    <row r="667" spans="1:15" x14ac:dyDescent="0.3">
      <c r="A667" s="177"/>
      <c r="B667" s="179"/>
      <c r="C667" s="2" t="s">
        <v>56</v>
      </c>
      <c r="D667" s="24">
        <v>0</v>
      </c>
      <c r="E667" s="24"/>
      <c r="F667" s="24"/>
      <c r="G667" s="28"/>
      <c r="H667" s="24"/>
      <c r="I667" s="24"/>
      <c r="J667" s="24"/>
      <c r="K667" s="24"/>
      <c r="L667" s="24"/>
      <c r="M667" s="24">
        <f>D667+E667+F667+G667+H667+J667+I667</f>
        <v>0</v>
      </c>
      <c r="N667" s="33">
        <v>0</v>
      </c>
      <c r="O667" s="21">
        <f t="shared" si="191"/>
        <v>0</v>
      </c>
    </row>
    <row r="668" spans="1:15" x14ac:dyDescent="0.3">
      <c r="A668" s="177"/>
      <c r="B668" s="179"/>
      <c r="C668" s="2" t="s">
        <v>57</v>
      </c>
      <c r="D668" s="24">
        <v>10000</v>
      </c>
      <c r="E668" s="24"/>
      <c r="F668" s="24"/>
      <c r="G668" s="28"/>
      <c r="H668" s="24"/>
      <c r="I668" s="24"/>
      <c r="J668" s="24"/>
      <c r="K668" s="24"/>
      <c r="L668" s="24"/>
      <c r="M668" s="24">
        <f>D668+E668+F668+G668+H668+J668+I668+K668+L668</f>
        <v>10000</v>
      </c>
      <c r="N668" s="33">
        <v>0</v>
      </c>
      <c r="O668" s="21">
        <f t="shared" si="191"/>
        <v>10000</v>
      </c>
    </row>
    <row r="669" spans="1:15" x14ac:dyDescent="0.3">
      <c r="A669" s="177"/>
      <c r="B669" s="179"/>
      <c r="C669" s="2" t="s">
        <v>44</v>
      </c>
      <c r="D669" s="24">
        <v>8400</v>
      </c>
      <c r="E669" s="28"/>
      <c r="F669" s="24"/>
      <c r="G669" s="28"/>
      <c r="H669" s="24"/>
      <c r="I669" s="24"/>
      <c r="J669" s="24"/>
      <c r="K669" s="24"/>
      <c r="L669" s="24"/>
      <c r="M669" s="24">
        <f>D669+E669+F669+G669+H669+J669+I669</f>
        <v>8400</v>
      </c>
      <c r="N669" s="33">
        <v>2100</v>
      </c>
      <c r="O669" s="21">
        <f t="shared" si="191"/>
        <v>6300</v>
      </c>
    </row>
    <row r="670" spans="1:15" x14ac:dyDescent="0.3">
      <c r="A670" s="177"/>
      <c r="B670" s="179"/>
      <c r="C670" s="2" t="s">
        <v>58</v>
      </c>
      <c r="D670" s="24">
        <v>0</v>
      </c>
      <c r="E670" s="24"/>
      <c r="F670" s="24"/>
      <c r="G670" s="28">
        <v>19685</v>
      </c>
      <c r="H670" s="24"/>
      <c r="I670" s="24"/>
      <c r="J670" s="24"/>
      <c r="K670" s="24"/>
      <c r="L670" s="24"/>
      <c r="M670" s="24">
        <f>D670+E670+F670+G670+H670+J670+I670</f>
        <v>19685</v>
      </c>
      <c r="N670" s="33">
        <v>0</v>
      </c>
      <c r="O670" s="21">
        <f t="shared" si="191"/>
        <v>19685</v>
      </c>
    </row>
    <row r="671" spans="1:15" x14ac:dyDescent="0.3">
      <c r="A671" s="177"/>
      <c r="B671" s="179"/>
      <c r="C671" s="2" t="s">
        <v>45</v>
      </c>
      <c r="D671" s="24">
        <v>18550</v>
      </c>
      <c r="E671" s="24">
        <f>-810-810-2000</f>
        <v>-3620</v>
      </c>
      <c r="F671" s="24"/>
      <c r="G671" s="28">
        <v>5315</v>
      </c>
      <c r="H671" s="24"/>
      <c r="I671" s="24"/>
      <c r="J671" s="24"/>
      <c r="K671" s="24"/>
      <c r="L671" s="24"/>
      <c r="M671" s="24">
        <f>D671+E671+F671+G671+H671+J671+I671</f>
        <v>20245</v>
      </c>
      <c r="N671" s="33">
        <v>0</v>
      </c>
      <c r="O671" s="21">
        <f t="shared" si="191"/>
        <v>20245</v>
      </c>
    </row>
    <row r="672" spans="1:15" x14ac:dyDescent="0.3">
      <c r="A672" s="177"/>
      <c r="B672" s="179"/>
      <c r="C672" s="2" t="s">
        <v>60</v>
      </c>
      <c r="D672" s="24">
        <v>0</v>
      </c>
      <c r="E672" s="24"/>
      <c r="F672" s="24"/>
      <c r="G672" s="28"/>
      <c r="H672" s="24"/>
      <c r="I672" s="24"/>
      <c r="J672" s="24"/>
      <c r="K672" s="24"/>
      <c r="L672" s="24"/>
      <c r="M672" s="24">
        <f>D672+E672+F672+G672+H672+J672+I672</f>
        <v>0</v>
      </c>
      <c r="N672" s="33">
        <v>0</v>
      </c>
      <c r="O672" s="21">
        <f t="shared" si="191"/>
        <v>0</v>
      </c>
    </row>
    <row r="673" spans="1:15" x14ac:dyDescent="0.3">
      <c r="A673" s="177"/>
      <c r="B673" s="179"/>
      <c r="C673" s="6" t="s">
        <v>46</v>
      </c>
      <c r="D673" s="97">
        <f>SUM(D664:D672)</f>
        <v>111950</v>
      </c>
      <c r="E673" s="97">
        <f t="shared" ref="E673:O673" si="192">SUM(E664:E672)</f>
        <v>-39620</v>
      </c>
      <c r="F673" s="97">
        <f t="shared" si="192"/>
        <v>0</v>
      </c>
      <c r="G673" s="97">
        <f t="shared" si="192"/>
        <v>25000</v>
      </c>
      <c r="H673" s="97">
        <f t="shared" si="192"/>
        <v>0</v>
      </c>
      <c r="I673" s="97">
        <f t="shared" si="192"/>
        <v>0</v>
      </c>
      <c r="J673" s="97">
        <f t="shared" si="192"/>
        <v>0</v>
      </c>
      <c r="K673" s="97">
        <f t="shared" si="192"/>
        <v>0</v>
      </c>
      <c r="L673" s="97">
        <f t="shared" si="192"/>
        <v>0</v>
      </c>
      <c r="M673" s="97">
        <f t="shared" si="192"/>
        <v>97330</v>
      </c>
      <c r="N673" s="49">
        <f t="shared" si="192"/>
        <v>2100</v>
      </c>
      <c r="O673" s="26">
        <f t="shared" si="192"/>
        <v>95230</v>
      </c>
    </row>
    <row r="674" spans="1:15" x14ac:dyDescent="0.3">
      <c r="A674" s="177"/>
      <c r="B674" s="179" t="s">
        <v>21</v>
      </c>
      <c r="C674" s="2" t="s">
        <v>62</v>
      </c>
      <c r="D674" s="24">
        <v>0</v>
      </c>
      <c r="E674" s="24">
        <v>36000</v>
      </c>
      <c r="F674" s="24"/>
      <c r="G674" s="24"/>
      <c r="H674" s="24"/>
      <c r="I674" s="24"/>
      <c r="J674" s="24"/>
      <c r="K674" s="24"/>
      <c r="L674" s="24"/>
      <c r="M674" s="24">
        <f>D674+E674+F674+G674+H674+J674+I674</f>
        <v>36000</v>
      </c>
      <c r="N674" s="33">
        <v>9000</v>
      </c>
      <c r="O674" s="14">
        <f t="shared" ref="O674:O678" si="193">M674-N674</f>
        <v>27000</v>
      </c>
    </row>
    <row r="675" spans="1:15" x14ac:dyDescent="0.3">
      <c r="A675" s="177"/>
      <c r="B675" s="179"/>
      <c r="C675" s="2" t="s">
        <v>57</v>
      </c>
      <c r="D675" s="24">
        <v>0</v>
      </c>
      <c r="E675" s="24"/>
      <c r="F675" s="24"/>
      <c r="G675" s="24"/>
      <c r="H675" s="24"/>
      <c r="I675" s="24"/>
      <c r="J675" s="24"/>
      <c r="K675" s="24"/>
      <c r="L675" s="24"/>
      <c r="M675" s="24">
        <f>D675+E675+F675+G675+H675+J675+I675</f>
        <v>0</v>
      </c>
      <c r="N675" s="33">
        <v>0</v>
      </c>
      <c r="O675" s="14">
        <f t="shared" si="193"/>
        <v>0</v>
      </c>
    </row>
    <row r="676" spans="1:15" x14ac:dyDescent="0.3">
      <c r="A676" s="177"/>
      <c r="B676" s="179"/>
      <c r="C676" s="2" t="s">
        <v>64</v>
      </c>
      <c r="D676" s="24">
        <v>0</v>
      </c>
      <c r="E676" s="24"/>
      <c r="F676" s="24"/>
      <c r="G676" s="24"/>
      <c r="H676" s="24"/>
      <c r="I676" s="24"/>
      <c r="J676" s="24"/>
      <c r="K676" s="24"/>
      <c r="L676" s="24"/>
      <c r="M676" s="24">
        <f>D676+E676+F676+G676+H676+J676+I676</f>
        <v>0</v>
      </c>
      <c r="N676" s="33">
        <v>0</v>
      </c>
      <c r="O676" s="14">
        <f t="shared" si="193"/>
        <v>0</v>
      </c>
    </row>
    <row r="677" spans="1:15" x14ac:dyDescent="0.3">
      <c r="A677" s="177"/>
      <c r="B677" s="179"/>
      <c r="C677" s="2" t="s">
        <v>58</v>
      </c>
      <c r="D677" s="24">
        <v>0</v>
      </c>
      <c r="E677" s="24"/>
      <c r="F677" s="24"/>
      <c r="G677" s="24"/>
      <c r="H677" s="24"/>
      <c r="I677" s="24"/>
      <c r="J677" s="24"/>
      <c r="K677" s="24"/>
      <c r="L677" s="24"/>
      <c r="M677" s="24">
        <f>D677+E677+F677+G677+H677+J677+I677</f>
        <v>0</v>
      </c>
      <c r="N677" s="33">
        <v>0</v>
      </c>
      <c r="O677" s="14">
        <f t="shared" si="193"/>
        <v>0</v>
      </c>
    </row>
    <row r="678" spans="1:15" x14ac:dyDescent="0.3">
      <c r="A678" s="177"/>
      <c r="B678" s="179"/>
      <c r="C678" s="2" t="s">
        <v>45</v>
      </c>
      <c r="D678" s="24">
        <v>0</v>
      </c>
      <c r="E678" s="24">
        <f>810+810+2000</f>
        <v>3620</v>
      </c>
      <c r="F678" s="24"/>
      <c r="G678" s="24"/>
      <c r="H678" s="24"/>
      <c r="I678" s="24"/>
      <c r="J678" s="24"/>
      <c r="K678" s="24"/>
      <c r="L678" s="24"/>
      <c r="M678" s="24">
        <f>D678+E678+F678+G678+H678+J678+I678</f>
        <v>3620</v>
      </c>
      <c r="N678" s="33">
        <v>2430</v>
      </c>
      <c r="O678" s="21">
        <f t="shared" si="193"/>
        <v>1190</v>
      </c>
    </row>
    <row r="679" spans="1:15" x14ac:dyDescent="0.3">
      <c r="A679" s="177"/>
      <c r="B679" s="179"/>
      <c r="C679" s="6" t="s">
        <v>46</v>
      </c>
      <c r="D679" s="97">
        <f>SUM(D674:D678)</f>
        <v>0</v>
      </c>
      <c r="E679" s="97">
        <f t="shared" ref="E679:O679" si="194">SUM(E674:E678)</f>
        <v>39620</v>
      </c>
      <c r="F679" s="97">
        <f t="shared" si="194"/>
        <v>0</v>
      </c>
      <c r="G679" s="97">
        <f t="shared" si="194"/>
        <v>0</v>
      </c>
      <c r="H679" s="97">
        <f t="shared" si="194"/>
        <v>0</v>
      </c>
      <c r="I679" s="97">
        <f t="shared" si="194"/>
        <v>0</v>
      </c>
      <c r="J679" s="97">
        <f t="shared" si="194"/>
        <v>0</v>
      </c>
      <c r="K679" s="97">
        <f t="shared" si="194"/>
        <v>0</v>
      </c>
      <c r="L679" s="97">
        <f t="shared" si="194"/>
        <v>0</v>
      </c>
      <c r="M679" s="97">
        <f t="shared" si="194"/>
        <v>39620</v>
      </c>
      <c r="N679" s="49">
        <f t="shared" si="194"/>
        <v>11430</v>
      </c>
      <c r="O679" s="26">
        <f t="shared" si="194"/>
        <v>28190</v>
      </c>
    </row>
    <row r="680" spans="1:15" x14ac:dyDescent="0.3">
      <c r="A680" s="177" t="s">
        <v>103</v>
      </c>
      <c r="B680" s="179" t="s">
        <v>18</v>
      </c>
      <c r="C680" s="2" t="s">
        <v>40</v>
      </c>
      <c r="D680" s="24">
        <v>87200</v>
      </c>
      <c r="E680" s="24"/>
      <c r="F680" s="24">
        <v>139942</v>
      </c>
      <c r="G680" s="24"/>
      <c r="H680" s="24"/>
      <c r="I680" s="24"/>
      <c r="J680" s="24"/>
      <c r="K680" s="24"/>
      <c r="L680" s="24"/>
      <c r="M680" s="24">
        <f>D680+E680+F680+G680+H680+J680+I680</f>
        <v>227142</v>
      </c>
      <c r="N680" s="33">
        <v>86988</v>
      </c>
      <c r="O680" s="14">
        <f t="shared" ref="O680:O681" si="195">M680-N680</f>
        <v>140154</v>
      </c>
    </row>
    <row r="681" spans="1:15" x14ac:dyDescent="0.3">
      <c r="A681" s="177"/>
      <c r="B681" s="179"/>
      <c r="C681" s="2" t="s">
        <v>42</v>
      </c>
      <c r="D681" s="24">
        <v>15260</v>
      </c>
      <c r="E681" s="24"/>
      <c r="F681" s="24">
        <v>22487</v>
      </c>
      <c r="G681" s="24"/>
      <c r="H681" s="24"/>
      <c r="I681" s="24"/>
      <c r="J681" s="24"/>
      <c r="K681" s="24"/>
      <c r="L681" s="24"/>
      <c r="M681" s="24">
        <f>D681+E681+F681+G681+H681+J681+I681+K681</f>
        <v>37747</v>
      </c>
      <c r="N681" s="33">
        <v>15219</v>
      </c>
      <c r="O681" s="14">
        <f t="shared" si="195"/>
        <v>22528</v>
      </c>
    </row>
    <row r="682" spans="1:15" x14ac:dyDescent="0.3">
      <c r="A682" s="212" t="s">
        <v>147</v>
      </c>
      <c r="B682" s="213"/>
      <c r="C682" s="214"/>
      <c r="D682" s="115">
        <f>SUM(D649+D650+D655+D662+D663+D673+D679+D680+D681)</f>
        <v>4853875</v>
      </c>
      <c r="E682" s="103">
        <f>SUM(E649,E650,E655,E662,E663,E673,E679,E680,E681)</f>
        <v>0</v>
      </c>
      <c r="F682" s="103">
        <f t="shared" ref="F682:O682" si="196">SUM(F649,F650,F655,F662,F663,F673,F679,F680,F681)</f>
        <v>162429</v>
      </c>
      <c r="G682" s="103">
        <f t="shared" si="196"/>
        <v>25000</v>
      </c>
      <c r="H682" s="103">
        <f>SUM(H649,H650,H655,H662,H663,H673,H679,H680,H681)</f>
        <v>0</v>
      </c>
      <c r="I682" s="103">
        <f>SUM(I649,I650,I655,I662,I663,I673,I679,I680,I681)</f>
        <v>0</v>
      </c>
      <c r="J682" s="103">
        <f>SUM(J649,J650,J655,J662,J663,J673,J679,J680,J681)</f>
        <v>0</v>
      </c>
      <c r="K682" s="103">
        <f t="shared" ref="K682:L682" si="197">SUM(K649,K650,K655,K662,K663,K673,K679,K680,K681)</f>
        <v>0</v>
      </c>
      <c r="L682" s="103">
        <f t="shared" si="197"/>
        <v>0</v>
      </c>
      <c r="M682" s="103">
        <f t="shared" si="196"/>
        <v>5041304</v>
      </c>
      <c r="N682" s="137">
        <f>SUM(N649,N650,N655,N662,N663,N673,N679,N680,N681)</f>
        <v>2119806</v>
      </c>
      <c r="O682" s="60">
        <f t="shared" si="196"/>
        <v>2921498</v>
      </c>
    </row>
    <row r="683" spans="1:15" x14ac:dyDescent="0.3">
      <c r="A683" s="177" t="s">
        <v>104</v>
      </c>
      <c r="B683" s="180" t="s">
        <v>39</v>
      </c>
      <c r="C683" s="2" t="s">
        <v>40</v>
      </c>
      <c r="D683" s="24">
        <v>0</v>
      </c>
      <c r="E683" s="24"/>
      <c r="F683" s="24"/>
      <c r="G683" s="24"/>
      <c r="H683" s="24"/>
      <c r="I683" s="24"/>
      <c r="J683" s="24"/>
      <c r="K683" s="24"/>
      <c r="L683" s="24"/>
      <c r="M683" s="24">
        <f>D683+E683+F683+G683+H683+J683+I683</f>
        <v>0</v>
      </c>
      <c r="N683" s="33">
        <v>0</v>
      </c>
      <c r="O683" s="21">
        <f t="shared" ref="O683:O687" si="198">M683-N683</f>
        <v>0</v>
      </c>
    </row>
    <row r="684" spans="1:15" x14ac:dyDescent="0.3">
      <c r="A684" s="177"/>
      <c r="B684" s="199"/>
      <c r="C684" s="2" t="s">
        <v>47</v>
      </c>
      <c r="D684" s="24">
        <v>0</v>
      </c>
      <c r="E684" s="24"/>
      <c r="F684" s="24"/>
      <c r="G684" s="24"/>
      <c r="H684" s="24"/>
      <c r="I684" s="24"/>
      <c r="J684" s="24"/>
      <c r="K684" s="24"/>
      <c r="L684" s="24"/>
      <c r="M684" s="24">
        <f>D684+E684+F684+G684+H684+J684+I684</f>
        <v>0</v>
      </c>
      <c r="N684" s="33">
        <v>0</v>
      </c>
      <c r="O684" s="14">
        <f t="shared" si="198"/>
        <v>0</v>
      </c>
    </row>
    <row r="685" spans="1:15" x14ac:dyDescent="0.3">
      <c r="A685" s="177"/>
      <c r="B685" s="199"/>
      <c r="C685" s="2" t="s">
        <v>48</v>
      </c>
      <c r="D685" s="24">
        <v>0</v>
      </c>
      <c r="E685" s="24"/>
      <c r="F685" s="24"/>
      <c r="G685" s="24"/>
      <c r="H685" s="24"/>
      <c r="I685" s="24"/>
      <c r="J685" s="24"/>
      <c r="K685" s="24"/>
      <c r="L685" s="24"/>
      <c r="M685" s="24">
        <f>D685+E685+F685+G685+H685+J685+I685</f>
        <v>0</v>
      </c>
      <c r="N685" s="33">
        <v>0</v>
      </c>
      <c r="O685" s="14">
        <f t="shared" si="198"/>
        <v>0</v>
      </c>
    </row>
    <row r="686" spans="1:15" x14ac:dyDescent="0.3">
      <c r="A686" s="177"/>
      <c r="B686" s="199"/>
      <c r="C686" s="2" t="s">
        <v>50</v>
      </c>
      <c r="D686" s="24">
        <v>0</v>
      </c>
      <c r="E686" s="24"/>
      <c r="F686" s="24"/>
      <c r="G686" s="24"/>
      <c r="H686" s="24"/>
      <c r="I686" s="24"/>
      <c r="J686" s="24"/>
      <c r="K686" s="24"/>
      <c r="L686" s="24"/>
      <c r="M686" s="24">
        <f>D686+E686+F686+G686+H686+J686+I686</f>
        <v>0</v>
      </c>
      <c r="N686" s="33">
        <v>0</v>
      </c>
      <c r="O686" s="14">
        <f t="shared" si="198"/>
        <v>0</v>
      </c>
    </row>
    <row r="687" spans="1:15" x14ac:dyDescent="0.3">
      <c r="A687" s="177"/>
      <c r="B687" s="199"/>
      <c r="C687" s="2" t="s">
        <v>51</v>
      </c>
      <c r="D687" s="24">
        <v>0</v>
      </c>
      <c r="E687" s="24"/>
      <c r="F687" s="24"/>
      <c r="G687" s="24"/>
      <c r="H687" s="24"/>
      <c r="I687" s="24"/>
      <c r="J687" s="24"/>
      <c r="K687" s="24"/>
      <c r="L687" s="24"/>
      <c r="M687" s="24">
        <f>D687+E687+F687+G687+H687+J687+I687</f>
        <v>0</v>
      </c>
      <c r="N687" s="33">
        <v>0</v>
      </c>
      <c r="O687" s="14">
        <f t="shared" si="198"/>
        <v>0</v>
      </c>
    </row>
    <row r="688" spans="1:15" x14ac:dyDescent="0.3">
      <c r="A688" s="177"/>
      <c r="B688" s="199"/>
      <c r="C688" s="6" t="s">
        <v>41</v>
      </c>
      <c r="D688" s="97">
        <f>SUM(D683:D687)</f>
        <v>0</v>
      </c>
      <c r="E688" s="97">
        <f t="shared" ref="E688:O688" si="199">SUM(E683:E687)</f>
        <v>0</v>
      </c>
      <c r="F688" s="97">
        <f t="shared" si="199"/>
        <v>0</v>
      </c>
      <c r="G688" s="97">
        <f t="shared" si="199"/>
        <v>0</v>
      </c>
      <c r="H688" s="97">
        <f t="shared" si="199"/>
        <v>0</v>
      </c>
      <c r="I688" s="97">
        <f t="shared" si="199"/>
        <v>0</v>
      </c>
      <c r="J688" s="97">
        <f t="shared" si="199"/>
        <v>0</v>
      </c>
      <c r="K688" s="97">
        <f t="shared" si="199"/>
        <v>0</v>
      </c>
      <c r="L688" s="97">
        <f t="shared" si="199"/>
        <v>0</v>
      </c>
      <c r="M688" s="97">
        <f t="shared" si="199"/>
        <v>0</v>
      </c>
      <c r="N688" s="49">
        <f t="shared" si="199"/>
        <v>0</v>
      </c>
      <c r="O688" s="26">
        <f t="shared" si="199"/>
        <v>0</v>
      </c>
    </row>
    <row r="689" spans="1:15" x14ac:dyDescent="0.3">
      <c r="A689" s="177"/>
      <c r="B689" s="199"/>
      <c r="C689" s="57" t="s">
        <v>42</v>
      </c>
      <c r="D689" s="98">
        <v>0</v>
      </c>
      <c r="E689" s="98"/>
      <c r="F689" s="98"/>
      <c r="G689" s="98"/>
      <c r="H689" s="98"/>
      <c r="I689" s="98"/>
      <c r="J689" s="98"/>
      <c r="K689" s="98"/>
      <c r="L689" s="98"/>
      <c r="M689" s="99">
        <f>D689+E689+F689+G689+H689+J689</f>
        <v>0</v>
      </c>
      <c r="N689" s="133">
        <v>0</v>
      </c>
      <c r="O689" s="55">
        <f t="shared" ref="O689:O705" si="200">M689-N689</f>
        <v>0</v>
      </c>
    </row>
    <row r="690" spans="1:15" x14ac:dyDescent="0.3">
      <c r="A690" s="177"/>
      <c r="B690" s="199"/>
      <c r="C690" s="35" t="s">
        <v>43</v>
      </c>
      <c r="D690" s="107">
        <v>0</v>
      </c>
      <c r="E690" s="107"/>
      <c r="F690" s="107"/>
      <c r="G690" s="107"/>
      <c r="H690" s="107"/>
      <c r="I690" s="107"/>
      <c r="J690" s="107"/>
      <c r="K690" s="107"/>
      <c r="L690" s="107"/>
      <c r="M690" s="24">
        <f>D690+E690+F690+G690+H690+J690+I690</f>
        <v>0</v>
      </c>
      <c r="N690" s="134">
        <v>0</v>
      </c>
      <c r="O690" s="33">
        <f t="shared" si="200"/>
        <v>0</v>
      </c>
    </row>
    <row r="691" spans="1:15" x14ac:dyDescent="0.3">
      <c r="A691" s="177"/>
      <c r="B691" s="199"/>
      <c r="C691" s="54" t="s">
        <v>53</v>
      </c>
      <c r="D691" s="107">
        <v>0</v>
      </c>
      <c r="E691" s="107"/>
      <c r="F691" s="107"/>
      <c r="G691" s="107"/>
      <c r="H691" s="107"/>
      <c r="I691" s="107"/>
      <c r="J691" s="107"/>
      <c r="K691" s="107"/>
      <c r="L691" s="107"/>
      <c r="M691" s="24">
        <f>D691+E691+F691+G691+H691+J691+I691</f>
        <v>0</v>
      </c>
      <c r="N691" s="134">
        <v>0</v>
      </c>
      <c r="O691" s="32">
        <f t="shared" si="200"/>
        <v>0</v>
      </c>
    </row>
    <row r="692" spans="1:15" x14ac:dyDescent="0.3">
      <c r="A692" s="177"/>
      <c r="B692" s="199"/>
      <c r="C692" s="35" t="s">
        <v>45</v>
      </c>
      <c r="D692" s="107">
        <v>0</v>
      </c>
      <c r="E692" s="107"/>
      <c r="F692" s="107"/>
      <c r="G692" s="107"/>
      <c r="H692" s="107"/>
      <c r="I692" s="107"/>
      <c r="J692" s="107"/>
      <c r="K692" s="107"/>
      <c r="L692" s="107"/>
      <c r="M692" s="24">
        <f>D692+E692+F692+G692+H692+J692+I692</f>
        <v>0</v>
      </c>
      <c r="N692" s="134">
        <v>0</v>
      </c>
      <c r="O692" s="32">
        <f t="shared" si="200"/>
        <v>0</v>
      </c>
    </row>
    <row r="693" spans="1:15" x14ac:dyDescent="0.3">
      <c r="A693" s="177"/>
      <c r="B693" s="181"/>
      <c r="C693" s="6" t="s">
        <v>46</v>
      </c>
      <c r="D693" s="97">
        <f>SUM(D690:D692)</f>
        <v>0</v>
      </c>
      <c r="E693" s="97">
        <f>E690+E692+E691</f>
        <v>0</v>
      </c>
      <c r="F693" s="97">
        <f t="shared" ref="F693:L693" si="201">F690+F692</f>
        <v>0</v>
      </c>
      <c r="G693" s="97">
        <f t="shared" si="201"/>
        <v>0</v>
      </c>
      <c r="H693" s="97">
        <f t="shared" si="201"/>
        <v>0</v>
      </c>
      <c r="I693" s="97">
        <f t="shared" si="201"/>
        <v>0</v>
      </c>
      <c r="J693" s="97">
        <f t="shared" si="201"/>
        <v>0</v>
      </c>
      <c r="K693" s="97">
        <f t="shared" si="201"/>
        <v>0</v>
      </c>
      <c r="L693" s="97">
        <f t="shared" si="201"/>
        <v>0</v>
      </c>
      <c r="M693" s="97">
        <f>M690+M692+M691</f>
        <v>0</v>
      </c>
      <c r="N693" s="49">
        <f>N690+N692+N691</f>
        <v>0</v>
      </c>
      <c r="O693" s="34">
        <f>O690+O692+O691</f>
        <v>0</v>
      </c>
    </row>
    <row r="694" spans="1:15" x14ac:dyDescent="0.3">
      <c r="A694" s="177"/>
      <c r="B694" s="180" t="s">
        <v>18</v>
      </c>
      <c r="C694" s="35" t="s">
        <v>40</v>
      </c>
      <c r="D694" s="107">
        <v>0</v>
      </c>
      <c r="E694" s="107"/>
      <c r="F694" s="107"/>
      <c r="G694" s="107"/>
      <c r="H694" s="107"/>
      <c r="I694" s="107"/>
      <c r="J694" s="107"/>
      <c r="K694" s="107"/>
      <c r="L694" s="107"/>
      <c r="M694" s="24">
        <f>D694+E694+F694+G694+H694+J694+I694</f>
        <v>0</v>
      </c>
      <c r="N694" s="134">
        <v>0</v>
      </c>
      <c r="O694" s="32">
        <f t="shared" si="200"/>
        <v>0</v>
      </c>
    </row>
    <row r="695" spans="1:15" x14ac:dyDescent="0.3">
      <c r="A695" s="177"/>
      <c r="B695" s="199"/>
      <c r="C695" s="6" t="s">
        <v>41</v>
      </c>
      <c r="D695" s="97">
        <f>SUM(D694)</f>
        <v>0</v>
      </c>
      <c r="E695" s="97">
        <f t="shared" ref="E695:O695" si="202">E694</f>
        <v>0</v>
      </c>
      <c r="F695" s="97">
        <f t="shared" si="202"/>
        <v>0</v>
      </c>
      <c r="G695" s="97">
        <f t="shared" si="202"/>
        <v>0</v>
      </c>
      <c r="H695" s="97">
        <f t="shared" si="202"/>
        <v>0</v>
      </c>
      <c r="I695" s="97">
        <f t="shared" si="202"/>
        <v>0</v>
      </c>
      <c r="J695" s="97">
        <f t="shared" si="202"/>
        <v>0</v>
      </c>
      <c r="K695" s="97">
        <f t="shared" si="202"/>
        <v>0</v>
      </c>
      <c r="L695" s="97">
        <f t="shared" si="202"/>
        <v>0</v>
      </c>
      <c r="M695" s="97">
        <f t="shared" si="202"/>
        <v>0</v>
      </c>
      <c r="N695" s="49">
        <f t="shared" si="202"/>
        <v>0</v>
      </c>
      <c r="O695" s="34">
        <f t="shared" si="202"/>
        <v>0</v>
      </c>
    </row>
    <row r="696" spans="1:15" x14ac:dyDescent="0.3">
      <c r="A696" s="177"/>
      <c r="B696" s="199"/>
      <c r="C696" s="57" t="s">
        <v>42</v>
      </c>
      <c r="D696" s="98">
        <v>0</v>
      </c>
      <c r="E696" s="98"/>
      <c r="F696" s="98">
        <v>0</v>
      </c>
      <c r="G696" s="98"/>
      <c r="H696" s="98"/>
      <c r="I696" s="98"/>
      <c r="J696" s="98"/>
      <c r="K696" s="98"/>
      <c r="L696" s="98"/>
      <c r="M696" s="99">
        <f t="shared" ref="M696:M705" si="203">D696+E696+F696+G696+H696+J696+I696</f>
        <v>0</v>
      </c>
      <c r="N696" s="133"/>
      <c r="O696" s="56">
        <f t="shared" ref="O696" si="204">M696-N696</f>
        <v>0</v>
      </c>
    </row>
    <row r="697" spans="1:15" x14ac:dyDescent="0.3">
      <c r="A697" s="177"/>
      <c r="B697" s="199"/>
      <c r="C697" s="2" t="s">
        <v>43</v>
      </c>
      <c r="D697" s="24">
        <v>0</v>
      </c>
      <c r="E697" s="24"/>
      <c r="F697" s="24"/>
      <c r="G697" s="24"/>
      <c r="H697" s="24"/>
      <c r="I697" s="24"/>
      <c r="J697" s="24"/>
      <c r="K697" s="24"/>
      <c r="L697" s="24"/>
      <c r="M697" s="24">
        <f t="shared" si="203"/>
        <v>0</v>
      </c>
      <c r="N697" s="33"/>
      <c r="O697" s="14">
        <f t="shared" si="200"/>
        <v>0</v>
      </c>
    </row>
    <row r="698" spans="1:15" x14ac:dyDescent="0.3">
      <c r="A698" s="177"/>
      <c r="B698" s="199"/>
      <c r="C698" s="2" t="s">
        <v>53</v>
      </c>
      <c r="D698" s="24">
        <v>0</v>
      </c>
      <c r="E698" s="24"/>
      <c r="F698" s="24"/>
      <c r="G698" s="24"/>
      <c r="H698" s="24"/>
      <c r="I698" s="24"/>
      <c r="J698" s="24"/>
      <c r="K698" s="24"/>
      <c r="L698" s="24"/>
      <c r="M698" s="24">
        <f t="shared" si="203"/>
        <v>0</v>
      </c>
      <c r="N698" s="33"/>
      <c r="O698" s="21">
        <f t="shared" si="200"/>
        <v>0</v>
      </c>
    </row>
    <row r="699" spans="1:15" x14ac:dyDescent="0.3">
      <c r="A699" s="177"/>
      <c r="B699" s="199"/>
      <c r="C699" s="30" t="s">
        <v>55</v>
      </c>
      <c r="D699" s="24">
        <v>0</v>
      </c>
      <c r="E699" s="24"/>
      <c r="F699" s="24"/>
      <c r="G699" s="24"/>
      <c r="H699" s="24"/>
      <c r="I699" s="24"/>
      <c r="J699" s="24"/>
      <c r="K699" s="24"/>
      <c r="L699" s="24"/>
      <c r="M699" s="24">
        <f t="shared" si="203"/>
        <v>0</v>
      </c>
      <c r="N699" s="33"/>
      <c r="O699" s="33">
        <f t="shared" si="200"/>
        <v>0</v>
      </c>
    </row>
    <row r="700" spans="1:15" x14ac:dyDescent="0.3">
      <c r="A700" s="177"/>
      <c r="B700" s="199"/>
      <c r="C700" s="2" t="s">
        <v>57</v>
      </c>
      <c r="D700" s="24">
        <v>0</v>
      </c>
      <c r="E700" s="24"/>
      <c r="F700" s="24"/>
      <c r="G700" s="24"/>
      <c r="H700" s="24"/>
      <c r="I700" s="24"/>
      <c r="J700" s="24"/>
      <c r="K700" s="24"/>
      <c r="L700" s="24"/>
      <c r="M700" s="24">
        <f t="shared" si="203"/>
        <v>0</v>
      </c>
      <c r="N700" s="33"/>
      <c r="O700" s="14">
        <f t="shared" si="200"/>
        <v>0</v>
      </c>
    </row>
    <row r="701" spans="1:15" x14ac:dyDescent="0.3">
      <c r="A701" s="177"/>
      <c r="B701" s="199"/>
      <c r="C701" s="2" t="s">
        <v>44</v>
      </c>
      <c r="D701" s="24">
        <v>0</v>
      </c>
      <c r="E701" s="24"/>
      <c r="F701" s="24"/>
      <c r="G701" s="24"/>
      <c r="H701" s="24"/>
      <c r="I701" s="24"/>
      <c r="J701" s="24"/>
      <c r="K701" s="24"/>
      <c r="L701" s="24"/>
      <c r="M701" s="24">
        <f t="shared" si="203"/>
        <v>0</v>
      </c>
      <c r="N701" s="33"/>
      <c r="O701" s="14">
        <f t="shared" si="200"/>
        <v>0</v>
      </c>
    </row>
    <row r="702" spans="1:15" x14ac:dyDescent="0.3">
      <c r="A702" s="177"/>
      <c r="B702" s="199"/>
      <c r="C702" s="2" t="s">
        <v>58</v>
      </c>
      <c r="D702" s="24">
        <v>0</v>
      </c>
      <c r="E702" s="24"/>
      <c r="F702" s="24"/>
      <c r="G702" s="24"/>
      <c r="H702" s="24"/>
      <c r="I702" s="24"/>
      <c r="J702" s="24"/>
      <c r="K702" s="24"/>
      <c r="L702" s="24"/>
      <c r="M702" s="24">
        <f t="shared" si="203"/>
        <v>0</v>
      </c>
      <c r="N702" s="33"/>
      <c r="O702" s="14">
        <f t="shared" si="200"/>
        <v>0</v>
      </c>
    </row>
    <row r="703" spans="1:15" x14ac:dyDescent="0.3">
      <c r="A703" s="177"/>
      <c r="B703" s="199"/>
      <c r="C703" s="2" t="s">
        <v>59</v>
      </c>
      <c r="D703" s="24">
        <v>0</v>
      </c>
      <c r="E703" s="24"/>
      <c r="F703" s="24"/>
      <c r="G703" s="24"/>
      <c r="H703" s="24"/>
      <c r="I703" s="24"/>
      <c r="J703" s="24"/>
      <c r="K703" s="24"/>
      <c r="L703" s="24"/>
      <c r="M703" s="24">
        <f t="shared" si="203"/>
        <v>0</v>
      </c>
      <c r="N703" s="33"/>
      <c r="O703" s="14">
        <f t="shared" si="200"/>
        <v>0</v>
      </c>
    </row>
    <row r="704" spans="1:15" x14ac:dyDescent="0.3">
      <c r="A704" s="177"/>
      <c r="B704" s="199"/>
      <c r="C704" s="2" t="s">
        <v>45</v>
      </c>
      <c r="D704" s="24">
        <v>0</v>
      </c>
      <c r="E704" s="24"/>
      <c r="F704" s="24"/>
      <c r="G704" s="24"/>
      <c r="H704" s="24"/>
      <c r="I704" s="24"/>
      <c r="J704" s="24"/>
      <c r="K704" s="24"/>
      <c r="L704" s="24"/>
      <c r="M704" s="24">
        <f t="shared" si="203"/>
        <v>0</v>
      </c>
      <c r="N704" s="33"/>
      <c r="O704" s="21">
        <f t="shared" si="200"/>
        <v>0</v>
      </c>
    </row>
    <row r="705" spans="1:15" x14ac:dyDescent="0.3">
      <c r="A705" s="177"/>
      <c r="B705" s="199"/>
      <c r="C705" s="2" t="s">
        <v>60</v>
      </c>
      <c r="D705" s="24">
        <v>574939</v>
      </c>
      <c r="E705" s="24"/>
      <c r="F705" s="28"/>
      <c r="G705" s="24"/>
      <c r="H705" s="24"/>
      <c r="I705" s="24"/>
      <c r="J705" s="24"/>
      <c r="K705" s="24"/>
      <c r="L705" s="24"/>
      <c r="M705" s="24">
        <f t="shared" si="203"/>
        <v>574939</v>
      </c>
      <c r="N705" s="33"/>
      <c r="O705" s="14">
        <f t="shared" si="200"/>
        <v>574939</v>
      </c>
    </row>
    <row r="706" spans="1:15" x14ac:dyDescent="0.3">
      <c r="A706" s="177"/>
      <c r="B706" s="181"/>
      <c r="C706" s="6" t="s">
        <v>46</v>
      </c>
      <c r="D706" s="97">
        <f>SUM(D697:D705)</f>
        <v>574939</v>
      </c>
      <c r="E706" s="97">
        <f t="shared" ref="E706:O706" si="205">SUM(E697:E705)</f>
        <v>0</v>
      </c>
      <c r="F706" s="97">
        <f t="shared" si="205"/>
        <v>0</v>
      </c>
      <c r="G706" s="97">
        <f t="shared" si="205"/>
        <v>0</v>
      </c>
      <c r="H706" s="97">
        <f>SUM(H697:H705)</f>
        <v>0</v>
      </c>
      <c r="I706" s="97">
        <f>SUM(I697:I705)</f>
        <v>0</v>
      </c>
      <c r="J706" s="97">
        <f>SUM(J697:J705)</f>
        <v>0</v>
      </c>
      <c r="K706" s="97">
        <f t="shared" ref="K706:L706" si="206">SUM(K697:K705)</f>
        <v>0</v>
      </c>
      <c r="L706" s="97">
        <f t="shared" si="206"/>
        <v>0</v>
      </c>
      <c r="M706" s="97">
        <f t="shared" si="205"/>
        <v>574939</v>
      </c>
      <c r="N706" s="49">
        <f t="shared" si="205"/>
        <v>0</v>
      </c>
      <c r="O706" s="26">
        <f t="shared" si="205"/>
        <v>574939</v>
      </c>
    </row>
    <row r="707" spans="1:15" x14ac:dyDescent="0.3">
      <c r="A707" s="177" t="s">
        <v>105</v>
      </c>
      <c r="B707" s="179" t="s">
        <v>18</v>
      </c>
      <c r="C707" s="2" t="s">
        <v>40</v>
      </c>
      <c r="D707" s="24">
        <v>0</v>
      </c>
      <c r="E707" s="24"/>
      <c r="F707" s="24"/>
      <c r="G707" s="24"/>
      <c r="H707" s="24"/>
      <c r="I707" s="24"/>
      <c r="J707" s="24"/>
      <c r="K707" s="24"/>
      <c r="L707" s="24"/>
      <c r="M707" s="24">
        <f>D707+E707+F707+G707+H707+J707+I707</f>
        <v>0</v>
      </c>
      <c r="N707" s="33"/>
      <c r="O707" s="14">
        <f t="shared" ref="O707:O708" si="207">M707-N707</f>
        <v>0</v>
      </c>
    </row>
    <row r="708" spans="1:15" x14ac:dyDescent="0.3">
      <c r="A708" s="177"/>
      <c r="B708" s="179"/>
      <c r="C708" s="2" t="s">
        <v>42</v>
      </c>
      <c r="D708" s="24">
        <v>0</v>
      </c>
      <c r="E708" s="24"/>
      <c r="F708" s="24"/>
      <c r="G708" s="24"/>
      <c r="H708" s="24"/>
      <c r="I708" s="24"/>
      <c r="J708" s="24"/>
      <c r="K708" s="24"/>
      <c r="L708" s="24"/>
      <c r="M708" s="24">
        <f>D708+E708+F708+G708+H708+J708+I708</f>
        <v>0</v>
      </c>
      <c r="N708" s="33"/>
      <c r="O708" s="14">
        <f t="shared" si="207"/>
        <v>0</v>
      </c>
    </row>
    <row r="709" spans="1:15" x14ac:dyDescent="0.3">
      <c r="A709" s="212" t="s">
        <v>130</v>
      </c>
      <c r="B709" s="213"/>
      <c r="C709" s="214"/>
      <c r="D709" s="115">
        <f>SUM(D688+D689+D693+D695+D696+D706+D707+D708)</f>
        <v>574939</v>
      </c>
      <c r="E709" s="103">
        <f>SUM(E688,E689,E706,E707,E708)+E696+E695+E693</f>
        <v>0</v>
      </c>
      <c r="F709" s="103">
        <f t="shared" ref="F709:O709" si="208">SUM(F688,F689,F706,F707,F708)+F696+F695+F693</f>
        <v>0</v>
      </c>
      <c r="G709" s="103">
        <f t="shared" si="208"/>
        <v>0</v>
      </c>
      <c r="H709" s="103">
        <f>SUM(H688,H689,H706,H707,H708)+H696+H695+H693</f>
        <v>0</v>
      </c>
      <c r="I709" s="103">
        <f>SUM(I688,I689,I706,I707,I708)+I696+I695+I693</f>
        <v>0</v>
      </c>
      <c r="J709" s="103">
        <f>SUM(J688,J689,J706,J707,J708)+J696+J695+J693</f>
        <v>0</v>
      </c>
      <c r="K709" s="103">
        <f t="shared" ref="K709:L709" si="209">SUM(K688,K689,K706,K707,K708)+K696+K695+K693</f>
        <v>0</v>
      </c>
      <c r="L709" s="103">
        <f t="shared" si="209"/>
        <v>0</v>
      </c>
      <c r="M709" s="103">
        <f t="shared" si="208"/>
        <v>574939</v>
      </c>
      <c r="N709" s="137">
        <f>SUM(N688,N689,N706,N707,N708)+N696+N695+N693</f>
        <v>0</v>
      </c>
      <c r="O709" s="60">
        <f t="shared" si="208"/>
        <v>574939</v>
      </c>
    </row>
    <row r="710" spans="1:15" x14ac:dyDescent="0.3">
      <c r="A710" s="198" t="s">
        <v>106</v>
      </c>
      <c r="B710" s="117" t="s">
        <v>6</v>
      </c>
      <c r="C710" s="2" t="s">
        <v>67</v>
      </c>
      <c r="D710" s="24">
        <v>0</v>
      </c>
      <c r="E710" s="24"/>
      <c r="F710" s="24"/>
      <c r="G710" s="24"/>
      <c r="H710" s="24"/>
      <c r="I710" s="24"/>
      <c r="J710" s="24"/>
      <c r="K710" s="24"/>
      <c r="L710" s="24"/>
      <c r="M710" s="24">
        <f>D710+E710+F710+G710+H710+J710+I710</f>
        <v>0</v>
      </c>
      <c r="N710" s="33">
        <v>0</v>
      </c>
      <c r="O710" s="14">
        <f t="shared" ref="O710:O712" si="210">M710-N710</f>
        <v>0</v>
      </c>
    </row>
    <row r="711" spans="1:15" x14ac:dyDescent="0.3">
      <c r="A711" s="205"/>
      <c r="B711" s="180" t="s">
        <v>39</v>
      </c>
      <c r="C711" s="2" t="s">
        <v>40</v>
      </c>
      <c r="D711" s="24">
        <v>978360</v>
      </c>
      <c r="E711" s="24"/>
      <c r="F711" s="24"/>
      <c r="G711" s="24"/>
      <c r="H711" s="24"/>
      <c r="I711" s="24"/>
      <c r="J711" s="24"/>
      <c r="K711" s="24"/>
      <c r="L711" s="24"/>
      <c r="M711" s="24">
        <f>D711+E711+F711+G711+H711+J711+I711</f>
        <v>978360</v>
      </c>
      <c r="N711" s="33">
        <v>399497</v>
      </c>
      <c r="O711" s="14">
        <f t="shared" si="210"/>
        <v>578863</v>
      </c>
    </row>
    <row r="712" spans="1:15" x14ac:dyDescent="0.3">
      <c r="A712" s="205"/>
      <c r="B712" s="199"/>
      <c r="C712" s="2" t="s">
        <v>51</v>
      </c>
      <c r="D712" s="24">
        <v>0</v>
      </c>
      <c r="E712" s="24"/>
      <c r="F712" s="24"/>
      <c r="G712" s="24"/>
      <c r="H712" s="24"/>
      <c r="I712" s="24"/>
      <c r="J712" s="24"/>
      <c r="K712" s="24"/>
      <c r="L712" s="24"/>
      <c r="M712" s="24">
        <f>D712+E712+F712+G712+H712+J712+I712</f>
        <v>0</v>
      </c>
      <c r="N712" s="33">
        <v>0</v>
      </c>
      <c r="O712" s="14">
        <f t="shared" si="210"/>
        <v>0</v>
      </c>
    </row>
    <row r="713" spans="1:15" x14ac:dyDescent="0.3">
      <c r="A713" s="205"/>
      <c r="B713" s="199"/>
      <c r="C713" s="6" t="s">
        <v>41</v>
      </c>
      <c r="D713" s="97">
        <f>SUM(D711:D712)</f>
        <v>978360</v>
      </c>
      <c r="E713" s="97">
        <f t="shared" ref="E713:O713" si="211">SUM(E711:E712)</f>
        <v>0</v>
      </c>
      <c r="F713" s="97">
        <f t="shared" si="211"/>
        <v>0</v>
      </c>
      <c r="G713" s="97">
        <f t="shared" si="211"/>
        <v>0</v>
      </c>
      <c r="H713" s="97">
        <f t="shared" si="211"/>
        <v>0</v>
      </c>
      <c r="I713" s="97">
        <f t="shared" si="211"/>
        <v>0</v>
      </c>
      <c r="J713" s="97">
        <f t="shared" si="211"/>
        <v>0</v>
      </c>
      <c r="K713" s="97">
        <f t="shared" si="211"/>
        <v>0</v>
      </c>
      <c r="L713" s="97">
        <f t="shared" si="211"/>
        <v>0</v>
      </c>
      <c r="M713" s="97">
        <f t="shared" si="211"/>
        <v>978360</v>
      </c>
      <c r="N713" s="49">
        <f t="shared" si="211"/>
        <v>399497</v>
      </c>
      <c r="O713" s="26">
        <f t="shared" si="211"/>
        <v>578863</v>
      </c>
    </row>
    <row r="714" spans="1:15" x14ac:dyDescent="0.3">
      <c r="A714" s="205"/>
      <c r="B714" s="199"/>
      <c r="C714" s="57" t="s">
        <v>42</v>
      </c>
      <c r="D714" s="98">
        <v>85607</v>
      </c>
      <c r="E714" s="98"/>
      <c r="F714" s="98"/>
      <c r="G714" s="98"/>
      <c r="H714" s="98"/>
      <c r="I714" s="98"/>
      <c r="J714" s="98"/>
      <c r="K714" s="98"/>
      <c r="L714" s="98"/>
      <c r="M714" s="99">
        <f>D714+E714+F714+G714+H714+J714</f>
        <v>85607</v>
      </c>
      <c r="N714" s="133">
        <v>35671</v>
      </c>
      <c r="O714" s="55">
        <f t="shared" ref="O714:O718" si="212">M714-N714</f>
        <v>49936</v>
      </c>
    </row>
    <row r="715" spans="1:15" x14ac:dyDescent="0.3">
      <c r="A715" s="205"/>
      <c r="B715" s="199"/>
      <c r="C715" s="2" t="s">
        <v>43</v>
      </c>
      <c r="D715" s="24">
        <v>0</v>
      </c>
      <c r="E715" s="24"/>
      <c r="F715" s="24"/>
      <c r="G715" s="24"/>
      <c r="H715" s="24"/>
      <c r="I715" s="24"/>
      <c r="J715" s="24"/>
      <c r="K715" s="24"/>
      <c r="L715" s="24"/>
      <c r="M715" s="24">
        <f>D715+E715+F715+G715+H715+J715+I715</f>
        <v>0</v>
      </c>
      <c r="N715" s="33">
        <v>0</v>
      </c>
      <c r="O715" s="32">
        <f t="shared" si="212"/>
        <v>0</v>
      </c>
    </row>
    <row r="716" spans="1:15" x14ac:dyDescent="0.3">
      <c r="A716" s="205"/>
      <c r="B716" s="199"/>
      <c r="C716" s="2" t="s">
        <v>53</v>
      </c>
      <c r="D716" s="24">
        <v>0</v>
      </c>
      <c r="E716" s="24"/>
      <c r="F716" s="24"/>
      <c r="G716" s="24"/>
      <c r="H716" s="24"/>
      <c r="I716" s="24"/>
      <c r="J716" s="24"/>
      <c r="K716" s="24"/>
      <c r="L716" s="24"/>
      <c r="M716" s="24">
        <f>D716+E716+F716+G716+H716+J716+I716</f>
        <v>0</v>
      </c>
      <c r="N716" s="33">
        <v>0</v>
      </c>
      <c r="O716" s="32">
        <f t="shared" si="212"/>
        <v>0</v>
      </c>
    </row>
    <row r="717" spans="1:15" x14ac:dyDescent="0.3">
      <c r="A717" s="205"/>
      <c r="B717" s="199"/>
      <c r="C717" s="2" t="s">
        <v>44</v>
      </c>
      <c r="D717" s="24">
        <v>0</v>
      </c>
      <c r="E717" s="24"/>
      <c r="F717" s="24"/>
      <c r="G717" s="24"/>
      <c r="H717" s="24"/>
      <c r="I717" s="24"/>
      <c r="J717" s="24"/>
      <c r="K717" s="24"/>
      <c r="L717" s="24"/>
      <c r="M717" s="24">
        <f>D717+E717+F717+G717+H717+J717+I717</f>
        <v>0</v>
      </c>
      <c r="N717" s="33">
        <v>0</v>
      </c>
      <c r="O717" s="32">
        <f t="shared" si="212"/>
        <v>0</v>
      </c>
    </row>
    <row r="718" spans="1:15" x14ac:dyDescent="0.3">
      <c r="A718" s="205"/>
      <c r="B718" s="199"/>
      <c r="C718" s="2" t="s">
        <v>45</v>
      </c>
      <c r="D718" s="24">
        <v>0</v>
      </c>
      <c r="E718" s="24"/>
      <c r="F718" s="24"/>
      <c r="G718" s="24"/>
      <c r="H718" s="24"/>
      <c r="I718" s="24"/>
      <c r="J718" s="24"/>
      <c r="K718" s="24"/>
      <c r="L718" s="24"/>
      <c r="M718" s="24">
        <f>D718+E718+F718+G718+H718+J718+I718</f>
        <v>0</v>
      </c>
      <c r="N718" s="33">
        <v>0</v>
      </c>
      <c r="O718" s="32">
        <f t="shared" si="212"/>
        <v>0</v>
      </c>
    </row>
    <row r="719" spans="1:15" x14ac:dyDescent="0.3">
      <c r="A719" s="205"/>
      <c r="B719" s="181"/>
      <c r="C719" s="6" t="s">
        <v>46</v>
      </c>
      <c r="D719" s="97">
        <f>SUM(D715:D718)</f>
        <v>0</v>
      </c>
      <c r="E719" s="97">
        <f t="shared" ref="E719:O719" si="213">SUM(E715:E718)</f>
        <v>0</v>
      </c>
      <c r="F719" s="97">
        <f t="shared" si="213"/>
        <v>0</v>
      </c>
      <c r="G719" s="97">
        <f t="shared" si="213"/>
        <v>0</v>
      </c>
      <c r="H719" s="97">
        <f t="shared" si="213"/>
        <v>0</v>
      </c>
      <c r="I719" s="97">
        <f t="shared" si="213"/>
        <v>0</v>
      </c>
      <c r="J719" s="97">
        <f t="shared" si="213"/>
        <v>0</v>
      </c>
      <c r="K719" s="97">
        <f t="shared" si="213"/>
        <v>0</v>
      </c>
      <c r="L719" s="97">
        <f t="shared" si="213"/>
        <v>0</v>
      </c>
      <c r="M719" s="97">
        <f t="shared" si="213"/>
        <v>0</v>
      </c>
      <c r="N719" s="49">
        <f>SUM(N715:N718)</f>
        <v>0</v>
      </c>
      <c r="O719" s="34">
        <f t="shared" si="213"/>
        <v>0</v>
      </c>
    </row>
    <row r="720" spans="1:15" x14ac:dyDescent="0.3">
      <c r="A720" s="205"/>
      <c r="B720" s="180" t="s">
        <v>18</v>
      </c>
      <c r="C720" s="2" t="s">
        <v>40</v>
      </c>
      <c r="D720" s="24">
        <v>5251337</v>
      </c>
      <c r="E720" s="24">
        <f>-15290</f>
        <v>-15290</v>
      </c>
      <c r="F720" s="24"/>
      <c r="G720" s="24"/>
      <c r="H720" s="24"/>
      <c r="I720" s="24"/>
      <c r="J720" s="28"/>
      <c r="K720" s="28"/>
      <c r="L720" s="28"/>
      <c r="M720" s="24">
        <f t="shared" ref="M720:M725" si="214">D720+E720+F720+G720+H720+J720+I720</f>
        <v>5236047</v>
      </c>
      <c r="N720" s="33">
        <v>2197647</v>
      </c>
      <c r="O720" s="14">
        <f t="shared" ref="O720:O725" si="215">M720-N720</f>
        <v>3038400</v>
      </c>
    </row>
    <row r="721" spans="1:15" x14ac:dyDescent="0.3">
      <c r="A721" s="205"/>
      <c r="B721" s="199"/>
      <c r="C721" s="2" t="s">
        <v>47</v>
      </c>
      <c r="D721" s="24">
        <v>200000</v>
      </c>
      <c r="E721" s="24"/>
      <c r="F721" s="24"/>
      <c r="G721" s="24"/>
      <c r="H721" s="24"/>
      <c r="I721" s="24"/>
      <c r="J721" s="24"/>
      <c r="K721" s="24"/>
      <c r="L721" s="24"/>
      <c r="M721" s="24">
        <f t="shared" si="214"/>
        <v>200000</v>
      </c>
      <c r="N721" s="33">
        <v>0</v>
      </c>
      <c r="O721" s="14">
        <f t="shared" si="215"/>
        <v>200000</v>
      </c>
    </row>
    <row r="722" spans="1:15" x14ac:dyDescent="0.3">
      <c r="A722" s="205"/>
      <c r="B722" s="199"/>
      <c r="C722" s="2" t="s">
        <v>48</v>
      </c>
      <c r="D722" s="24">
        <v>10000</v>
      </c>
      <c r="E722" s="24"/>
      <c r="F722" s="24"/>
      <c r="G722" s="24"/>
      <c r="H722" s="24"/>
      <c r="I722" s="24"/>
      <c r="J722" s="24"/>
      <c r="K722" s="24"/>
      <c r="L722" s="24"/>
      <c r="M722" s="24">
        <f t="shared" si="214"/>
        <v>10000</v>
      </c>
      <c r="N722" s="33">
        <v>0</v>
      </c>
      <c r="O722" s="14">
        <f t="shared" si="215"/>
        <v>10000</v>
      </c>
    </row>
    <row r="723" spans="1:15" x14ac:dyDescent="0.3">
      <c r="A723" s="205"/>
      <c r="B723" s="199"/>
      <c r="C723" s="2" t="s">
        <v>50</v>
      </c>
      <c r="D723" s="24">
        <v>24000</v>
      </c>
      <c r="E723" s="24"/>
      <c r="F723" s="24"/>
      <c r="G723" s="24"/>
      <c r="H723" s="24"/>
      <c r="I723" s="24"/>
      <c r="J723" s="24"/>
      <c r="K723" s="24"/>
      <c r="L723" s="24"/>
      <c r="M723" s="24">
        <f t="shared" si="214"/>
        <v>24000</v>
      </c>
      <c r="N723" s="33">
        <v>0</v>
      </c>
      <c r="O723" s="14">
        <f t="shared" si="215"/>
        <v>24000</v>
      </c>
    </row>
    <row r="724" spans="1:15" x14ac:dyDescent="0.3">
      <c r="A724" s="205"/>
      <c r="B724" s="199"/>
      <c r="C724" s="2" t="s">
        <v>51</v>
      </c>
      <c r="D724" s="24">
        <v>0</v>
      </c>
      <c r="E724" s="24">
        <v>15290</v>
      </c>
      <c r="F724" s="24"/>
      <c r="G724" s="24"/>
      <c r="H724" s="24"/>
      <c r="I724" s="24"/>
      <c r="J724" s="24"/>
      <c r="K724" s="24"/>
      <c r="L724" s="24"/>
      <c r="M724" s="24">
        <f t="shared" si="214"/>
        <v>15290</v>
      </c>
      <c r="N724" s="33">
        <v>15290</v>
      </c>
      <c r="O724" s="21">
        <f t="shared" si="215"/>
        <v>0</v>
      </c>
    </row>
    <row r="725" spans="1:15" x14ac:dyDescent="0.3">
      <c r="A725" s="205"/>
      <c r="B725" s="199"/>
      <c r="C725" s="2" t="s">
        <v>52</v>
      </c>
      <c r="D725" s="24">
        <v>15000</v>
      </c>
      <c r="E725" s="24"/>
      <c r="F725" s="24"/>
      <c r="G725" s="24"/>
      <c r="H725" s="24"/>
      <c r="I725" s="24"/>
      <c r="J725" s="24"/>
      <c r="K725" s="24"/>
      <c r="L725" s="24"/>
      <c r="M725" s="24">
        <f t="shared" si="214"/>
        <v>15000</v>
      </c>
      <c r="N725" s="33">
        <v>0</v>
      </c>
      <c r="O725" s="14">
        <f t="shared" si="215"/>
        <v>15000</v>
      </c>
    </row>
    <row r="726" spans="1:15" x14ac:dyDescent="0.3">
      <c r="A726" s="205"/>
      <c r="B726" s="199"/>
      <c r="C726" s="6" t="s">
        <v>41</v>
      </c>
      <c r="D726" s="97">
        <f>SUM(D720:D725)</f>
        <v>5500337</v>
      </c>
      <c r="E726" s="97">
        <f>SUM(E720:E725)</f>
        <v>0</v>
      </c>
      <c r="F726" s="97">
        <f t="shared" ref="F726:L726" si="216">SUM(F720:F724)</f>
        <v>0</v>
      </c>
      <c r="G726" s="97">
        <f t="shared" si="216"/>
        <v>0</v>
      </c>
      <c r="H726" s="97">
        <f t="shared" si="216"/>
        <v>0</v>
      </c>
      <c r="I726" s="97">
        <f t="shared" si="216"/>
        <v>0</v>
      </c>
      <c r="J726" s="97">
        <f t="shared" si="216"/>
        <v>0</v>
      </c>
      <c r="K726" s="97">
        <f t="shared" si="216"/>
        <v>0</v>
      </c>
      <c r="L726" s="97">
        <f t="shared" si="216"/>
        <v>0</v>
      </c>
      <c r="M726" s="97">
        <f>SUM(M720:M725)</f>
        <v>5500337</v>
      </c>
      <c r="N726" s="49">
        <f>SUM(N720:N725)</f>
        <v>2212937</v>
      </c>
      <c r="O726" s="26">
        <f>SUM(O720:O725)</f>
        <v>3287400</v>
      </c>
    </row>
    <row r="727" spans="1:15" x14ac:dyDescent="0.3">
      <c r="A727" s="205"/>
      <c r="B727" s="199"/>
      <c r="C727" s="57" t="s">
        <v>42</v>
      </c>
      <c r="D727" s="98">
        <v>995687</v>
      </c>
      <c r="E727" s="98"/>
      <c r="F727" s="98">
        <v>0</v>
      </c>
      <c r="G727" s="98"/>
      <c r="H727" s="98"/>
      <c r="I727" s="98"/>
      <c r="J727" s="98"/>
      <c r="K727" s="98"/>
      <c r="L727" s="98"/>
      <c r="M727" s="99">
        <f>D727+E727+F727+G727+H727+J727</f>
        <v>995687</v>
      </c>
      <c r="N727" s="133">
        <v>388508</v>
      </c>
      <c r="O727" s="55">
        <f t="shared" ref="O727:O739" si="217">M727-N727</f>
        <v>607179</v>
      </c>
    </row>
    <row r="728" spans="1:15" x14ac:dyDescent="0.3">
      <c r="A728" s="205"/>
      <c r="B728" s="199"/>
      <c r="C728" s="2" t="s">
        <v>43</v>
      </c>
      <c r="D728" s="24">
        <v>40000</v>
      </c>
      <c r="E728" s="24"/>
      <c r="F728" s="24"/>
      <c r="G728" s="24"/>
      <c r="H728" s="24"/>
      <c r="I728" s="24"/>
      <c r="J728" s="24"/>
      <c r="K728" s="24"/>
      <c r="L728" s="24"/>
      <c r="M728" s="24">
        <f t="shared" ref="M728:M739" si="218">D728+E728+F728+G728+H728+J728+I728</f>
        <v>40000</v>
      </c>
      <c r="N728" s="33">
        <v>0</v>
      </c>
      <c r="O728" s="14">
        <f t="shared" si="217"/>
        <v>40000</v>
      </c>
    </row>
    <row r="729" spans="1:15" x14ac:dyDescent="0.3">
      <c r="A729" s="205"/>
      <c r="B729" s="199"/>
      <c r="C729" s="2" t="s">
        <v>53</v>
      </c>
      <c r="D729" s="24">
        <v>75000</v>
      </c>
      <c r="E729" s="24">
        <v>-10000</v>
      </c>
      <c r="F729" s="24"/>
      <c r="G729" s="24"/>
      <c r="H729" s="24"/>
      <c r="I729" s="24"/>
      <c r="J729" s="24"/>
      <c r="K729" s="24"/>
      <c r="L729" s="24"/>
      <c r="M729" s="24">
        <f t="shared" si="218"/>
        <v>65000</v>
      </c>
      <c r="N729" s="33">
        <v>25284</v>
      </c>
      <c r="O729" s="21">
        <f t="shared" si="217"/>
        <v>39716</v>
      </c>
    </row>
    <row r="730" spans="1:15" x14ac:dyDescent="0.3">
      <c r="A730" s="205"/>
      <c r="B730" s="199"/>
      <c r="C730" s="2" t="s">
        <v>54</v>
      </c>
      <c r="D730" s="24">
        <v>33456</v>
      </c>
      <c r="E730" s="24"/>
      <c r="F730" s="24"/>
      <c r="G730" s="24"/>
      <c r="H730" s="24"/>
      <c r="I730" s="24"/>
      <c r="J730" s="24"/>
      <c r="K730" s="24"/>
      <c r="L730" s="24"/>
      <c r="M730" s="24">
        <f t="shared" si="218"/>
        <v>33456</v>
      </c>
      <c r="N730" s="33">
        <v>11152</v>
      </c>
      <c r="O730" s="14">
        <f t="shared" si="217"/>
        <v>22304</v>
      </c>
    </row>
    <row r="731" spans="1:15" x14ac:dyDescent="0.3">
      <c r="A731" s="205"/>
      <c r="B731" s="199"/>
      <c r="C731" s="30" t="s">
        <v>55</v>
      </c>
      <c r="D731" s="24">
        <v>0</v>
      </c>
      <c r="E731" s="24">
        <v>10000</v>
      </c>
      <c r="F731" s="24"/>
      <c r="G731" s="24"/>
      <c r="H731" s="24"/>
      <c r="I731" s="24"/>
      <c r="J731" s="24"/>
      <c r="K731" s="24"/>
      <c r="L731" s="24"/>
      <c r="M731" s="24">
        <f t="shared" si="218"/>
        <v>10000</v>
      </c>
      <c r="N731" s="33">
        <v>1404</v>
      </c>
      <c r="O731" s="33">
        <f t="shared" si="217"/>
        <v>8596</v>
      </c>
    </row>
    <row r="732" spans="1:15" x14ac:dyDescent="0.3">
      <c r="A732" s="205"/>
      <c r="B732" s="199"/>
      <c r="C732" s="2" t="s">
        <v>56</v>
      </c>
      <c r="D732" s="24">
        <v>0</v>
      </c>
      <c r="E732" s="24"/>
      <c r="F732" s="24"/>
      <c r="G732" s="24"/>
      <c r="H732" s="24"/>
      <c r="I732" s="24"/>
      <c r="J732" s="24"/>
      <c r="K732" s="24"/>
      <c r="L732" s="24"/>
      <c r="M732" s="24">
        <f t="shared" si="218"/>
        <v>0</v>
      </c>
      <c r="N732" s="33">
        <v>0</v>
      </c>
      <c r="O732" s="14">
        <f t="shared" si="217"/>
        <v>0</v>
      </c>
    </row>
    <row r="733" spans="1:15" x14ac:dyDescent="0.3">
      <c r="A733" s="205"/>
      <c r="B733" s="199"/>
      <c r="C733" s="2" t="s">
        <v>62</v>
      </c>
      <c r="D733" s="24">
        <v>300000</v>
      </c>
      <c r="E733" s="24"/>
      <c r="F733" s="24"/>
      <c r="G733" s="24"/>
      <c r="H733" s="24"/>
      <c r="I733" s="24"/>
      <c r="J733" s="24"/>
      <c r="K733" s="24"/>
      <c r="L733" s="24"/>
      <c r="M733" s="24">
        <f t="shared" si="218"/>
        <v>300000</v>
      </c>
      <c r="N733" s="33">
        <v>0</v>
      </c>
      <c r="O733" s="14">
        <f t="shared" si="217"/>
        <v>300000</v>
      </c>
    </row>
    <row r="734" spans="1:15" x14ac:dyDescent="0.3">
      <c r="A734" s="205"/>
      <c r="B734" s="199"/>
      <c r="C734" s="2" t="s">
        <v>57</v>
      </c>
      <c r="D734" s="24">
        <v>16000</v>
      </c>
      <c r="E734" s="28">
        <f>-1000-10000</f>
        <v>-11000</v>
      </c>
      <c r="F734" s="24"/>
      <c r="G734" s="24"/>
      <c r="H734" s="24"/>
      <c r="I734" s="24"/>
      <c r="J734" s="24"/>
      <c r="K734" s="24"/>
      <c r="L734" s="24"/>
      <c r="M734" s="24">
        <f t="shared" si="218"/>
        <v>5000</v>
      </c>
      <c r="N734" s="33">
        <v>0</v>
      </c>
      <c r="O734" s="14">
        <f t="shared" si="217"/>
        <v>5000</v>
      </c>
    </row>
    <row r="735" spans="1:15" x14ac:dyDescent="0.3">
      <c r="A735" s="205"/>
      <c r="B735" s="199"/>
      <c r="C735" s="2" t="s">
        <v>44</v>
      </c>
      <c r="D735" s="24">
        <v>16800</v>
      </c>
      <c r="E735" s="28"/>
      <c r="F735" s="24"/>
      <c r="G735" s="24"/>
      <c r="H735" s="24"/>
      <c r="I735" s="24"/>
      <c r="J735" s="24"/>
      <c r="K735" s="24"/>
      <c r="L735" s="24"/>
      <c r="M735" s="24">
        <f t="shared" si="218"/>
        <v>16800</v>
      </c>
      <c r="N735" s="33">
        <v>4200</v>
      </c>
      <c r="O735" s="14">
        <f t="shared" si="217"/>
        <v>12600</v>
      </c>
    </row>
    <row r="736" spans="1:15" x14ac:dyDescent="0.3">
      <c r="A736" s="205"/>
      <c r="B736" s="199"/>
      <c r="C736" s="2" t="s">
        <v>58</v>
      </c>
      <c r="D736" s="24">
        <v>10000</v>
      </c>
      <c r="E736" s="24"/>
      <c r="F736" s="24"/>
      <c r="G736" s="24"/>
      <c r="H736" s="24"/>
      <c r="I736" s="24"/>
      <c r="J736" s="24"/>
      <c r="K736" s="24"/>
      <c r="L736" s="24"/>
      <c r="M736" s="24">
        <f t="shared" si="218"/>
        <v>10000</v>
      </c>
      <c r="N736" s="33">
        <v>0</v>
      </c>
      <c r="O736" s="14">
        <f t="shared" si="217"/>
        <v>10000</v>
      </c>
    </row>
    <row r="737" spans="1:15" x14ac:dyDescent="0.3">
      <c r="A737" s="205"/>
      <c r="B737" s="199"/>
      <c r="C737" s="2" t="s">
        <v>59</v>
      </c>
      <c r="D737" s="24">
        <v>30000</v>
      </c>
      <c r="E737" s="24"/>
      <c r="F737" s="24"/>
      <c r="G737" s="24"/>
      <c r="H737" s="24"/>
      <c r="I737" s="24"/>
      <c r="J737" s="24"/>
      <c r="K737" s="24"/>
      <c r="L737" s="24"/>
      <c r="M737" s="24">
        <f t="shared" si="218"/>
        <v>30000</v>
      </c>
      <c r="N737" s="33">
        <v>7425</v>
      </c>
      <c r="O737" s="14">
        <f t="shared" si="217"/>
        <v>22575</v>
      </c>
    </row>
    <row r="738" spans="1:15" x14ac:dyDescent="0.3">
      <c r="A738" s="205"/>
      <c r="B738" s="199"/>
      <c r="C738" s="2" t="s">
        <v>45</v>
      </c>
      <c r="D738" s="24">
        <v>35343</v>
      </c>
      <c r="E738" s="24"/>
      <c r="F738" s="24"/>
      <c r="G738" s="24"/>
      <c r="H738" s="24"/>
      <c r="I738" s="24"/>
      <c r="J738" s="24"/>
      <c r="K738" s="24"/>
      <c r="L738" s="24"/>
      <c r="M738" s="24">
        <f t="shared" si="218"/>
        <v>35343</v>
      </c>
      <c r="N738" s="33">
        <v>7762</v>
      </c>
      <c r="O738" s="21">
        <f t="shared" si="217"/>
        <v>27581</v>
      </c>
    </row>
    <row r="739" spans="1:15" x14ac:dyDescent="0.3">
      <c r="A739" s="205"/>
      <c r="B739" s="199"/>
      <c r="C739" s="2" t="s">
        <v>60</v>
      </c>
      <c r="D739" s="24">
        <v>0</v>
      </c>
      <c r="E739" s="24"/>
      <c r="F739" s="24"/>
      <c r="G739" s="24"/>
      <c r="H739" s="24"/>
      <c r="I739" s="24"/>
      <c r="J739" s="24"/>
      <c r="K739" s="24"/>
      <c r="L739" s="24"/>
      <c r="M739" s="24">
        <f t="shared" si="218"/>
        <v>0</v>
      </c>
      <c r="N739" s="33">
        <v>0</v>
      </c>
      <c r="O739" s="14">
        <f t="shared" si="217"/>
        <v>0</v>
      </c>
    </row>
    <row r="740" spans="1:15" x14ac:dyDescent="0.3">
      <c r="A740" s="205"/>
      <c r="B740" s="199"/>
      <c r="C740" s="6" t="s">
        <v>46</v>
      </c>
      <c r="D740" s="97">
        <f>SUM(D728:D739)</f>
        <v>556599</v>
      </c>
      <c r="E740" s="97">
        <f t="shared" ref="E740:O740" si="219">SUM(E728:E739)</f>
        <v>-11000</v>
      </c>
      <c r="F740" s="97">
        <f t="shared" si="219"/>
        <v>0</v>
      </c>
      <c r="G740" s="97">
        <f t="shared" si="219"/>
        <v>0</v>
      </c>
      <c r="H740" s="97">
        <f t="shared" si="219"/>
        <v>0</v>
      </c>
      <c r="I740" s="97">
        <f t="shared" si="219"/>
        <v>0</v>
      </c>
      <c r="J740" s="97">
        <f t="shared" si="219"/>
        <v>0</v>
      </c>
      <c r="K740" s="97">
        <f t="shared" si="219"/>
        <v>0</v>
      </c>
      <c r="L740" s="97">
        <f t="shared" si="219"/>
        <v>0</v>
      </c>
      <c r="M740" s="97">
        <f t="shared" si="219"/>
        <v>545599</v>
      </c>
      <c r="N740" s="49">
        <f t="shared" si="219"/>
        <v>57227</v>
      </c>
      <c r="O740" s="26">
        <f t="shared" si="219"/>
        <v>488372</v>
      </c>
    </row>
    <row r="741" spans="1:15" x14ac:dyDescent="0.3">
      <c r="A741" s="205"/>
      <c r="B741" s="199"/>
      <c r="C741" s="2" t="s">
        <v>112</v>
      </c>
      <c r="D741" s="24">
        <v>0</v>
      </c>
      <c r="E741" s="24"/>
      <c r="F741" s="24"/>
      <c r="G741" s="24"/>
      <c r="H741" s="24"/>
      <c r="I741" s="24"/>
      <c r="J741" s="24"/>
      <c r="K741" s="24"/>
      <c r="L741" s="24"/>
      <c r="M741" s="24">
        <f>D741+E741+F741+G741+H741+J741+I741</f>
        <v>0</v>
      </c>
      <c r="N741" s="33">
        <v>0</v>
      </c>
      <c r="O741" s="14">
        <f t="shared" ref="O741:O742" si="220">M741-N741</f>
        <v>0</v>
      </c>
    </row>
    <row r="742" spans="1:15" x14ac:dyDescent="0.3">
      <c r="A742" s="205"/>
      <c r="B742" s="199"/>
      <c r="C742" s="2" t="s">
        <v>113</v>
      </c>
      <c r="D742" s="24">
        <v>0</v>
      </c>
      <c r="E742" s="24"/>
      <c r="F742" s="24"/>
      <c r="G742" s="24"/>
      <c r="H742" s="24"/>
      <c r="I742" s="24"/>
      <c r="J742" s="24"/>
      <c r="K742" s="24"/>
      <c r="L742" s="24"/>
      <c r="M742" s="24">
        <f>D742+E742+F742+G742+H742+J742+I742</f>
        <v>0</v>
      </c>
      <c r="N742" s="33">
        <v>0</v>
      </c>
      <c r="O742" s="14">
        <f t="shared" si="220"/>
        <v>0</v>
      </c>
    </row>
    <row r="743" spans="1:15" x14ac:dyDescent="0.3">
      <c r="A743" s="205"/>
      <c r="B743" s="181"/>
      <c r="C743" s="6" t="s">
        <v>114</v>
      </c>
      <c r="D743" s="97">
        <f>SUM(D741:D742)</f>
        <v>0</v>
      </c>
      <c r="E743" s="97">
        <f t="shared" ref="E743:O743" si="221">SUM(E741:E742)</f>
        <v>0</v>
      </c>
      <c r="F743" s="97">
        <f t="shared" si="221"/>
        <v>0</v>
      </c>
      <c r="G743" s="97">
        <f t="shared" si="221"/>
        <v>0</v>
      </c>
      <c r="H743" s="97">
        <f t="shared" si="221"/>
        <v>0</v>
      </c>
      <c r="I743" s="97">
        <f t="shared" si="221"/>
        <v>0</v>
      </c>
      <c r="J743" s="97">
        <f t="shared" si="221"/>
        <v>0</v>
      </c>
      <c r="K743" s="97">
        <f t="shared" si="221"/>
        <v>0</v>
      </c>
      <c r="L743" s="97">
        <f t="shared" si="221"/>
        <v>0</v>
      </c>
      <c r="M743" s="97">
        <f t="shared" si="221"/>
        <v>0</v>
      </c>
      <c r="N743" s="49">
        <f t="shared" si="221"/>
        <v>0</v>
      </c>
      <c r="O743" s="26">
        <f t="shared" si="221"/>
        <v>0</v>
      </c>
    </row>
    <row r="744" spans="1:15" x14ac:dyDescent="0.3">
      <c r="A744" s="205"/>
      <c r="B744" s="180" t="s">
        <v>21</v>
      </c>
      <c r="C744" s="2" t="s">
        <v>62</v>
      </c>
      <c r="D744" s="24">
        <v>72000</v>
      </c>
      <c r="E744" s="24"/>
      <c r="F744" s="24"/>
      <c r="G744" s="24"/>
      <c r="H744" s="24"/>
      <c r="I744" s="24"/>
      <c r="J744" s="24"/>
      <c r="K744" s="24"/>
      <c r="L744" s="24"/>
      <c r="M744" s="24">
        <f>D744+E744+F744+G744+H744+J744+I744</f>
        <v>72000</v>
      </c>
      <c r="N744" s="33">
        <v>24000</v>
      </c>
      <c r="O744" s="14">
        <f t="shared" ref="O744:O747" si="222">M744-N744</f>
        <v>48000</v>
      </c>
    </row>
    <row r="745" spans="1:15" x14ac:dyDescent="0.3">
      <c r="A745" s="205"/>
      <c r="B745" s="199"/>
      <c r="C745" s="2" t="s">
        <v>57</v>
      </c>
      <c r="D745" s="24">
        <v>5000</v>
      </c>
      <c r="E745" s="24">
        <f>1000+10000</f>
        <v>11000</v>
      </c>
      <c r="F745" s="24"/>
      <c r="G745" s="24"/>
      <c r="H745" s="24"/>
      <c r="I745" s="24"/>
      <c r="J745" s="24"/>
      <c r="K745" s="24"/>
      <c r="L745" s="24"/>
      <c r="M745" s="24">
        <f>D745+E745+F745+G745+H745+J745+I745</f>
        <v>16000</v>
      </c>
      <c r="N745" s="33">
        <v>12000</v>
      </c>
      <c r="O745" s="21">
        <f t="shared" si="222"/>
        <v>4000</v>
      </c>
    </row>
    <row r="746" spans="1:15" x14ac:dyDescent="0.3">
      <c r="A746" s="205"/>
      <c r="B746" s="199"/>
      <c r="C746" s="2" t="s">
        <v>58</v>
      </c>
      <c r="D746" s="24">
        <v>0</v>
      </c>
      <c r="E746" s="24"/>
      <c r="F746" s="24"/>
      <c r="G746" s="24"/>
      <c r="H746" s="24"/>
      <c r="I746" s="24"/>
      <c r="J746" s="24"/>
      <c r="K746" s="24"/>
      <c r="L746" s="24"/>
      <c r="M746" s="24">
        <f>D746+E746+F746+G746+H746+J746+I746</f>
        <v>0</v>
      </c>
      <c r="N746" s="33">
        <v>0</v>
      </c>
      <c r="O746" s="14">
        <f t="shared" si="222"/>
        <v>0</v>
      </c>
    </row>
    <row r="747" spans="1:15" x14ac:dyDescent="0.3">
      <c r="A747" s="205"/>
      <c r="B747" s="199"/>
      <c r="C747" s="2" t="s">
        <v>45</v>
      </c>
      <c r="D747" s="24">
        <v>20790</v>
      </c>
      <c r="E747" s="24"/>
      <c r="F747" s="24"/>
      <c r="G747" s="24"/>
      <c r="H747" s="24"/>
      <c r="I747" s="24"/>
      <c r="J747" s="24"/>
      <c r="K747" s="24"/>
      <c r="L747" s="24"/>
      <c r="M747" s="24">
        <f>D747+E747+F747+G747+H747+J747+I747</f>
        <v>20790</v>
      </c>
      <c r="N747" s="33">
        <v>9720</v>
      </c>
      <c r="O747" s="14">
        <f t="shared" si="222"/>
        <v>11070</v>
      </c>
    </row>
    <row r="748" spans="1:15" x14ac:dyDescent="0.3">
      <c r="A748" s="196"/>
      <c r="B748" s="181"/>
      <c r="C748" s="6" t="s">
        <v>46</v>
      </c>
      <c r="D748" s="97">
        <f>SUM(D744:D747)</f>
        <v>97790</v>
      </c>
      <c r="E748" s="97">
        <f t="shared" ref="E748:O748" si="223">SUM(E744:E747)</f>
        <v>11000</v>
      </c>
      <c r="F748" s="97">
        <f t="shared" si="223"/>
        <v>0</v>
      </c>
      <c r="G748" s="97">
        <f t="shared" si="223"/>
        <v>0</v>
      </c>
      <c r="H748" s="97">
        <f t="shared" si="223"/>
        <v>0</v>
      </c>
      <c r="I748" s="97">
        <f t="shared" si="223"/>
        <v>0</v>
      </c>
      <c r="J748" s="97">
        <f t="shared" si="223"/>
        <v>0</v>
      </c>
      <c r="K748" s="97">
        <f t="shared" si="223"/>
        <v>0</v>
      </c>
      <c r="L748" s="97">
        <f t="shared" si="223"/>
        <v>0</v>
      </c>
      <c r="M748" s="97">
        <f t="shared" si="223"/>
        <v>108790</v>
      </c>
      <c r="N748" s="49">
        <f t="shared" si="223"/>
        <v>45720</v>
      </c>
      <c r="O748" s="26">
        <f t="shared" si="223"/>
        <v>63070</v>
      </c>
    </row>
    <row r="749" spans="1:15" x14ac:dyDescent="0.3">
      <c r="A749" s="177" t="s">
        <v>107</v>
      </c>
      <c r="B749" s="179" t="s">
        <v>18</v>
      </c>
      <c r="C749" s="2" t="s">
        <v>40</v>
      </c>
      <c r="D749" s="24">
        <v>275168</v>
      </c>
      <c r="E749" s="24"/>
      <c r="F749" s="24">
        <v>292765</v>
      </c>
      <c r="G749" s="24"/>
      <c r="H749" s="24"/>
      <c r="I749" s="24"/>
      <c r="J749" s="24"/>
      <c r="K749" s="24"/>
      <c r="L749" s="24"/>
      <c r="M749" s="24">
        <f>D749+E749+F749+G749+H749+J749+I749</f>
        <v>567933</v>
      </c>
      <c r="N749" s="33">
        <v>220880</v>
      </c>
      <c r="O749" s="14">
        <f t="shared" ref="O749:O750" si="224">M749-N749</f>
        <v>347053</v>
      </c>
    </row>
    <row r="750" spans="1:15" x14ac:dyDescent="0.3">
      <c r="A750" s="177"/>
      <c r="B750" s="179"/>
      <c r="C750" s="2" t="s">
        <v>42</v>
      </c>
      <c r="D750" s="24">
        <v>48154</v>
      </c>
      <c r="E750" s="24"/>
      <c r="F750" s="24">
        <v>46276</v>
      </c>
      <c r="G750" s="24"/>
      <c r="H750" s="24"/>
      <c r="I750" s="24"/>
      <c r="J750" s="24"/>
      <c r="K750" s="24"/>
      <c r="L750" s="24"/>
      <c r="M750" s="24">
        <f>D750+E750+F750+G750+H750+J750+I750</f>
        <v>94430</v>
      </c>
      <c r="N750" s="33">
        <v>38656</v>
      </c>
      <c r="O750" s="14">
        <f t="shared" si="224"/>
        <v>55774</v>
      </c>
    </row>
    <row r="751" spans="1:15" x14ac:dyDescent="0.3">
      <c r="A751" s="212" t="s">
        <v>131</v>
      </c>
      <c r="B751" s="213"/>
      <c r="C751" s="214"/>
      <c r="D751" s="115">
        <f>SUM(D710+D713+D714+D719+D726+D727+D740+D743+D748+D749+D750)</f>
        <v>8537702</v>
      </c>
      <c r="E751" s="103">
        <f t="shared" ref="E751:O751" si="225">SUM(E710,E713,E714,E719,E726,E727,E740,E743,E748,E749,E750)</f>
        <v>0</v>
      </c>
      <c r="F751" s="103">
        <f t="shared" si="225"/>
        <v>339041</v>
      </c>
      <c r="G751" s="103">
        <f t="shared" si="225"/>
        <v>0</v>
      </c>
      <c r="H751" s="103">
        <f t="shared" si="225"/>
        <v>0</v>
      </c>
      <c r="I751" s="103">
        <f t="shared" si="225"/>
        <v>0</v>
      </c>
      <c r="J751" s="103">
        <f t="shared" si="225"/>
        <v>0</v>
      </c>
      <c r="K751" s="103">
        <f t="shared" si="225"/>
        <v>0</v>
      </c>
      <c r="L751" s="103">
        <f t="shared" si="225"/>
        <v>0</v>
      </c>
      <c r="M751" s="103">
        <f t="shared" si="225"/>
        <v>8876743</v>
      </c>
      <c r="N751" s="137">
        <f>SUM(N710,N713,N714,N719,N726,N727,N740,N743,N748,N749,N750)</f>
        <v>3399096</v>
      </c>
      <c r="O751" s="61">
        <f t="shared" si="225"/>
        <v>5477647</v>
      </c>
    </row>
    <row r="752" spans="1:15" x14ac:dyDescent="0.3">
      <c r="A752" s="177" t="s">
        <v>108</v>
      </c>
      <c r="B752" s="179" t="s">
        <v>39</v>
      </c>
      <c r="C752" s="6" t="s">
        <v>40</v>
      </c>
      <c r="D752" s="97">
        <v>0</v>
      </c>
      <c r="E752" s="97"/>
      <c r="F752" s="97"/>
      <c r="G752" s="97"/>
      <c r="H752" s="97"/>
      <c r="I752" s="97"/>
      <c r="J752" s="97"/>
      <c r="K752" s="97"/>
      <c r="L752" s="97"/>
      <c r="M752" s="108">
        <f>D752+E752+F752+G752+H752+J752</f>
        <v>0</v>
      </c>
      <c r="N752" s="49">
        <v>0</v>
      </c>
      <c r="O752" s="20">
        <f t="shared" ref="O752:O755" si="226">M752-N752</f>
        <v>0</v>
      </c>
    </row>
    <row r="753" spans="1:15" x14ac:dyDescent="0.3">
      <c r="A753" s="177"/>
      <c r="B753" s="179"/>
      <c r="C753" s="57" t="s">
        <v>42</v>
      </c>
      <c r="D753" s="98">
        <v>0</v>
      </c>
      <c r="E753" s="98"/>
      <c r="F753" s="98"/>
      <c r="G753" s="98"/>
      <c r="H753" s="98"/>
      <c r="I753" s="98"/>
      <c r="J753" s="98"/>
      <c r="K753" s="98"/>
      <c r="L753" s="98"/>
      <c r="M753" s="99">
        <f>D753+E753+F753+G753+H753+J753</f>
        <v>0</v>
      </c>
      <c r="N753" s="133">
        <v>0</v>
      </c>
      <c r="O753" s="55">
        <f t="shared" si="226"/>
        <v>0</v>
      </c>
    </row>
    <row r="754" spans="1:15" x14ac:dyDescent="0.3">
      <c r="A754" s="177"/>
      <c r="B754" s="179"/>
      <c r="C754" s="2" t="s">
        <v>43</v>
      </c>
      <c r="D754" s="24">
        <v>0</v>
      </c>
      <c r="E754" s="24"/>
      <c r="F754" s="24"/>
      <c r="G754" s="24"/>
      <c r="H754" s="24"/>
      <c r="I754" s="24"/>
      <c r="J754" s="24"/>
      <c r="K754" s="24"/>
      <c r="L754" s="24"/>
      <c r="M754" s="24">
        <f>D754+E754+F754+G754+H754+J754+I754</f>
        <v>0</v>
      </c>
      <c r="N754" s="33">
        <v>0</v>
      </c>
      <c r="O754" s="14">
        <f t="shared" si="226"/>
        <v>0</v>
      </c>
    </row>
    <row r="755" spans="1:15" x14ac:dyDescent="0.3">
      <c r="A755" s="177"/>
      <c r="B755" s="179"/>
      <c r="C755" s="2" t="s">
        <v>45</v>
      </c>
      <c r="D755" s="24">
        <v>0</v>
      </c>
      <c r="E755" s="24"/>
      <c r="F755" s="24"/>
      <c r="G755" s="24"/>
      <c r="H755" s="24"/>
      <c r="I755" s="24"/>
      <c r="J755" s="24"/>
      <c r="K755" s="24"/>
      <c r="L755" s="24"/>
      <c r="M755" s="24">
        <f>D755+E755+F755+G755+H755+J755+I755</f>
        <v>0</v>
      </c>
      <c r="N755" s="33">
        <v>0</v>
      </c>
      <c r="O755" s="14">
        <f t="shared" si="226"/>
        <v>0</v>
      </c>
    </row>
    <row r="756" spans="1:15" x14ac:dyDescent="0.3">
      <c r="A756" s="177"/>
      <c r="B756" s="179"/>
      <c r="C756" s="6" t="s">
        <v>46</v>
      </c>
      <c r="D756" s="97">
        <v>0</v>
      </c>
      <c r="E756" s="97">
        <f t="shared" ref="E756:O756" si="227">SUM(E754:E755)</f>
        <v>0</v>
      </c>
      <c r="F756" s="97">
        <f t="shared" si="227"/>
        <v>0</v>
      </c>
      <c r="G756" s="97">
        <f t="shared" si="227"/>
        <v>0</v>
      </c>
      <c r="H756" s="97">
        <f t="shared" si="227"/>
        <v>0</v>
      </c>
      <c r="I756" s="97">
        <f t="shared" si="227"/>
        <v>0</v>
      </c>
      <c r="J756" s="97">
        <f t="shared" si="227"/>
        <v>0</v>
      </c>
      <c r="K756" s="97">
        <f t="shared" si="227"/>
        <v>0</v>
      </c>
      <c r="L756" s="97">
        <f t="shared" si="227"/>
        <v>0</v>
      </c>
      <c r="M756" s="97">
        <f t="shared" si="227"/>
        <v>0</v>
      </c>
      <c r="N756" s="49">
        <f t="shared" si="227"/>
        <v>0</v>
      </c>
      <c r="O756" s="26">
        <f t="shared" si="227"/>
        <v>0</v>
      </c>
    </row>
    <row r="757" spans="1:15" x14ac:dyDescent="0.3">
      <c r="A757" s="177"/>
      <c r="B757" s="179" t="s">
        <v>18</v>
      </c>
      <c r="C757" s="2" t="s">
        <v>40</v>
      </c>
      <c r="D757" s="24">
        <v>10730973</v>
      </c>
      <c r="E757" s="24">
        <v>-41182</v>
      </c>
      <c r="F757" s="24"/>
      <c r="G757" s="24"/>
      <c r="H757" s="24"/>
      <c r="I757" s="24"/>
      <c r="J757" s="24"/>
      <c r="K757" s="24"/>
      <c r="L757" s="24"/>
      <c r="M757" s="24">
        <f t="shared" ref="M757:M762" si="228">D757+E757+F757+G757+H757+J757+I757</f>
        <v>10689791</v>
      </c>
      <c r="N757" s="33">
        <v>4245245</v>
      </c>
      <c r="O757" s="14">
        <f t="shared" ref="O757:O762" si="229">M757-N757</f>
        <v>6444546</v>
      </c>
    </row>
    <row r="758" spans="1:15" x14ac:dyDescent="0.3">
      <c r="A758" s="177"/>
      <c r="B758" s="179"/>
      <c r="C758" s="2" t="s">
        <v>63</v>
      </c>
      <c r="D758" s="24">
        <v>0</v>
      </c>
      <c r="E758" s="24"/>
      <c r="F758" s="24"/>
      <c r="G758" s="24"/>
      <c r="H758" s="24"/>
      <c r="I758" s="24"/>
      <c r="J758" s="24"/>
      <c r="K758" s="24"/>
      <c r="L758" s="24"/>
      <c r="M758" s="24">
        <f t="shared" si="228"/>
        <v>0</v>
      </c>
      <c r="N758" s="33">
        <v>0</v>
      </c>
      <c r="O758" s="14">
        <f t="shared" si="229"/>
        <v>0</v>
      </c>
    </row>
    <row r="759" spans="1:15" x14ac:dyDescent="0.3">
      <c r="A759" s="177"/>
      <c r="B759" s="179"/>
      <c r="C759" s="2" t="s">
        <v>47</v>
      </c>
      <c r="D759" s="24">
        <v>400000</v>
      </c>
      <c r="E759" s="24"/>
      <c r="F759" s="24"/>
      <c r="G759" s="24"/>
      <c r="H759" s="24"/>
      <c r="I759" s="24"/>
      <c r="J759" s="24"/>
      <c r="K759" s="24"/>
      <c r="L759" s="24"/>
      <c r="M759" s="24">
        <f t="shared" si="228"/>
        <v>400000</v>
      </c>
      <c r="N759" s="33">
        <v>0</v>
      </c>
      <c r="O759" s="14">
        <f t="shared" si="229"/>
        <v>400000</v>
      </c>
    </row>
    <row r="760" spans="1:15" x14ac:dyDescent="0.3">
      <c r="A760" s="177"/>
      <c r="B760" s="179"/>
      <c r="C760" s="2" t="s">
        <v>48</v>
      </c>
      <c r="D760" s="24">
        <v>20000</v>
      </c>
      <c r="E760" s="24"/>
      <c r="F760" s="24"/>
      <c r="G760" s="24"/>
      <c r="H760" s="24"/>
      <c r="I760" s="24"/>
      <c r="J760" s="24"/>
      <c r="K760" s="24"/>
      <c r="L760" s="24"/>
      <c r="M760" s="24">
        <f t="shared" si="228"/>
        <v>20000</v>
      </c>
      <c r="N760" s="33">
        <v>0</v>
      </c>
      <c r="O760" s="14">
        <f t="shared" si="229"/>
        <v>20000</v>
      </c>
    </row>
    <row r="761" spans="1:15" x14ac:dyDescent="0.3">
      <c r="A761" s="177"/>
      <c r="B761" s="179"/>
      <c r="C761" s="2" t="s">
        <v>50</v>
      </c>
      <c r="D761" s="24">
        <v>48000</v>
      </c>
      <c r="E761" s="24"/>
      <c r="F761" s="24"/>
      <c r="G761" s="24"/>
      <c r="H761" s="24"/>
      <c r="I761" s="24"/>
      <c r="J761" s="24"/>
      <c r="K761" s="24"/>
      <c r="L761" s="24"/>
      <c r="M761" s="24">
        <f t="shared" si="228"/>
        <v>48000</v>
      </c>
      <c r="N761" s="33">
        <v>0</v>
      </c>
      <c r="O761" s="14">
        <f t="shared" si="229"/>
        <v>48000</v>
      </c>
    </row>
    <row r="762" spans="1:15" x14ac:dyDescent="0.3">
      <c r="A762" s="177"/>
      <c r="B762" s="179"/>
      <c r="C762" s="2" t="s">
        <v>51</v>
      </c>
      <c r="D762" s="24">
        <v>0</v>
      </c>
      <c r="E762" s="24">
        <v>41182</v>
      </c>
      <c r="F762" s="28"/>
      <c r="G762" s="24"/>
      <c r="H762" s="24"/>
      <c r="I762" s="24"/>
      <c r="J762" s="24"/>
      <c r="K762" s="24"/>
      <c r="L762" s="24"/>
      <c r="M762" s="24">
        <f t="shared" si="228"/>
        <v>41182</v>
      </c>
      <c r="N762" s="33">
        <v>41182</v>
      </c>
      <c r="O762" s="14">
        <f t="shared" si="229"/>
        <v>0</v>
      </c>
    </row>
    <row r="763" spans="1:15" x14ac:dyDescent="0.3">
      <c r="A763" s="177"/>
      <c r="B763" s="179"/>
      <c r="C763" s="6" t="s">
        <v>41</v>
      </c>
      <c r="D763" s="97">
        <f>SUM(D757:D762)</f>
        <v>11198973</v>
      </c>
      <c r="E763" s="97">
        <f t="shared" ref="E763:O763" si="230">SUM(E757:E762)</f>
        <v>0</v>
      </c>
      <c r="F763" s="97">
        <f t="shared" si="230"/>
        <v>0</v>
      </c>
      <c r="G763" s="97">
        <f t="shared" si="230"/>
        <v>0</v>
      </c>
      <c r="H763" s="97">
        <f t="shared" si="230"/>
        <v>0</v>
      </c>
      <c r="I763" s="97">
        <f t="shared" si="230"/>
        <v>0</v>
      </c>
      <c r="J763" s="97">
        <f t="shared" si="230"/>
        <v>0</v>
      </c>
      <c r="K763" s="97">
        <f t="shared" si="230"/>
        <v>0</v>
      </c>
      <c r="L763" s="97">
        <f t="shared" si="230"/>
        <v>0</v>
      </c>
      <c r="M763" s="97">
        <f t="shared" si="230"/>
        <v>11198973</v>
      </c>
      <c r="N763" s="49">
        <f t="shared" si="230"/>
        <v>4286427</v>
      </c>
      <c r="O763" s="26">
        <f t="shared" si="230"/>
        <v>6912546</v>
      </c>
    </row>
    <row r="764" spans="1:15" x14ac:dyDescent="0.3">
      <c r="A764" s="177"/>
      <c r="B764" s="179"/>
      <c r="C764" s="57" t="s">
        <v>42</v>
      </c>
      <c r="D764" s="98">
        <v>2025573</v>
      </c>
      <c r="E764" s="98"/>
      <c r="F764" s="98"/>
      <c r="G764" s="98"/>
      <c r="H764" s="98"/>
      <c r="I764" s="98"/>
      <c r="J764" s="98"/>
      <c r="K764" s="98"/>
      <c r="L764" s="98"/>
      <c r="M764" s="99">
        <f t="shared" ref="M764:M772" si="231">D764+E764+F764+G764+H764+J764+I764</f>
        <v>2025573</v>
      </c>
      <c r="N764" s="133">
        <v>710855</v>
      </c>
      <c r="O764" s="55">
        <f t="shared" ref="O764:O775" si="232">M764-N764</f>
        <v>1314718</v>
      </c>
    </row>
    <row r="765" spans="1:15" x14ac:dyDescent="0.3">
      <c r="A765" s="177"/>
      <c r="B765" s="179"/>
      <c r="C765" s="2" t="s">
        <v>43</v>
      </c>
      <c r="D765" s="24">
        <v>60000</v>
      </c>
      <c r="E765" s="24"/>
      <c r="F765" s="24"/>
      <c r="G765" s="24"/>
      <c r="H765" s="24"/>
      <c r="I765" s="24"/>
      <c r="J765" s="24"/>
      <c r="K765" s="24"/>
      <c r="L765" s="24"/>
      <c r="M765" s="24">
        <f t="shared" si="231"/>
        <v>60000</v>
      </c>
      <c r="N765" s="33">
        <v>23622</v>
      </c>
      <c r="O765" s="14">
        <f t="shared" si="232"/>
        <v>36378</v>
      </c>
    </row>
    <row r="766" spans="1:15" x14ac:dyDescent="0.3">
      <c r="A766" s="177"/>
      <c r="B766" s="179"/>
      <c r="C766" s="2" t="s">
        <v>53</v>
      </c>
      <c r="D766" s="24">
        <v>50000</v>
      </c>
      <c r="E766" s="24"/>
      <c r="F766" s="24"/>
      <c r="G766" s="24"/>
      <c r="H766" s="24"/>
      <c r="I766" s="24"/>
      <c r="J766" s="24"/>
      <c r="K766" s="24"/>
      <c r="L766" s="24"/>
      <c r="M766" s="24">
        <f t="shared" si="231"/>
        <v>50000</v>
      </c>
      <c r="N766" s="33">
        <v>0</v>
      </c>
      <c r="O766" s="14">
        <f t="shared" si="232"/>
        <v>50000</v>
      </c>
    </row>
    <row r="767" spans="1:15" x14ac:dyDescent="0.3">
      <c r="A767" s="177"/>
      <c r="B767" s="179"/>
      <c r="C767" s="2" t="s">
        <v>54</v>
      </c>
      <c r="D767" s="24">
        <v>38688</v>
      </c>
      <c r="E767" s="24"/>
      <c r="F767" s="24"/>
      <c r="G767" s="24"/>
      <c r="H767" s="24"/>
      <c r="I767" s="24"/>
      <c r="J767" s="24"/>
      <c r="K767" s="24"/>
      <c r="L767" s="24"/>
      <c r="M767" s="24">
        <f t="shared" si="231"/>
        <v>38688</v>
      </c>
      <c r="N767" s="33">
        <v>16595</v>
      </c>
      <c r="O767" s="14">
        <f t="shared" si="232"/>
        <v>22093</v>
      </c>
    </row>
    <row r="768" spans="1:15" x14ac:dyDescent="0.3">
      <c r="A768" s="177"/>
      <c r="B768" s="179"/>
      <c r="C768" s="2" t="s">
        <v>55</v>
      </c>
      <c r="D768" s="24">
        <v>8132</v>
      </c>
      <c r="E768" s="24"/>
      <c r="F768" s="24"/>
      <c r="G768" s="24"/>
      <c r="H768" s="24"/>
      <c r="I768" s="24"/>
      <c r="J768" s="24"/>
      <c r="K768" s="24"/>
      <c r="L768" s="24"/>
      <c r="M768" s="24">
        <f t="shared" si="231"/>
        <v>8132</v>
      </c>
      <c r="N768" s="33">
        <v>0</v>
      </c>
      <c r="O768" s="14">
        <f t="shared" si="232"/>
        <v>8132</v>
      </c>
    </row>
    <row r="769" spans="1:15" x14ac:dyDescent="0.3">
      <c r="A769" s="177"/>
      <c r="B769" s="179"/>
      <c r="C769" s="2" t="s">
        <v>62</v>
      </c>
      <c r="D769" s="24">
        <v>0</v>
      </c>
      <c r="E769" s="24"/>
      <c r="F769" s="24"/>
      <c r="G769" s="24"/>
      <c r="H769" s="24"/>
      <c r="I769" s="24"/>
      <c r="J769" s="24"/>
      <c r="K769" s="24"/>
      <c r="L769" s="24"/>
      <c r="M769" s="24">
        <f t="shared" si="231"/>
        <v>0</v>
      </c>
      <c r="N769" s="33">
        <v>0</v>
      </c>
      <c r="O769" s="14">
        <f t="shared" si="232"/>
        <v>0</v>
      </c>
    </row>
    <row r="770" spans="1:15" x14ac:dyDescent="0.3">
      <c r="A770" s="177"/>
      <c r="B770" s="179"/>
      <c r="C770" s="2" t="s">
        <v>57</v>
      </c>
      <c r="D770" s="24">
        <v>14000</v>
      </c>
      <c r="E770" s="28"/>
      <c r="F770" s="24"/>
      <c r="G770" s="24"/>
      <c r="H770" s="24"/>
      <c r="I770" s="24"/>
      <c r="J770" s="24"/>
      <c r="K770" s="24"/>
      <c r="L770" s="24"/>
      <c r="M770" s="24">
        <f t="shared" si="231"/>
        <v>14000</v>
      </c>
      <c r="N770" s="33">
        <v>0</v>
      </c>
      <c r="O770" s="14">
        <f t="shared" si="232"/>
        <v>14000</v>
      </c>
    </row>
    <row r="771" spans="1:15" x14ac:dyDescent="0.3">
      <c r="A771" s="177"/>
      <c r="B771" s="179"/>
      <c r="C771" s="2" t="s">
        <v>44</v>
      </c>
      <c r="D771" s="24">
        <v>33600</v>
      </c>
      <c r="E771" s="24"/>
      <c r="F771" s="24"/>
      <c r="G771" s="24"/>
      <c r="H771" s="24"/>
      <c r="I771" s="24"/>
      <c r="J771" s="24"/>
      <c r="K771" s="24"/>
      <c r="L771" s="24"/>
      <c r="M771" s="24">
        <f t="shared" si="231"/>
        <v>33600</v>
      </c>
      <c r="N771" s="33">
        <v>8400</v>
      </c>
      <c r="O771" s="14">
        <f t="shared" si="232"/>
        <v>25200</v>
      </c>
    </row>
    <row r="772" spans="1:15" x14ac:dyDescent="0.3">
      <c r="A772" s="177"/>
      <c r="B772" s="179"/>
      <c r="C772" s="2" t="s">
        <v>58</v>
      </c>
      <c r="D772" s="24">
        <v>0</v>
      </c>
      <c r="E772" s="24"/>
      <c r="F772" s="28"/>
      <c r="G772" s="24"/>
      <c r="H772" s="28"/>
      <c r="I772" s="28"/>
      <c r="J772" s="24"/>
      <c r="K772" s="24"/>
      <c r="L772" s="24"/>
      <c r="M772" s="24">
        <f t="shared" si="231"/>
        <v>0</v>
      </c>
      <c r="N772" s="33">
        <v>0</v>
      </c>
      <c r="O772" s="14">
        <f t="shared" si="232"/>
        <v>0</v>
      </c>
    </row>
    <row r="773" spans="1:15" x14ac:dyDescent="0.3">
      <c r="A773" s="177"/>
      <c r="B773" s="179"/>
      <c r="C773" s="2" t="s">
        <v>59</v>
      </c>
      <c r="D773" s="24">
        <v>22000</v>
      </c>
      <c r="E773" s="24">
        <v>3875</v>
      </c>
      <c r="F773" s="28"/>
      <c r="G773" s="24"/>
      <c r="H773" s="24"/>
      <c r="I773" s="24"/>
      <c r="J773" s="24"/>
      <c r="K773" s="24"/>
      <c r="L773" s="24"/>
      <c r="M773" s="24">
        <f>D773+E773+F773+G773+H773+J773+I773+K773+L773</f>
        <v>25875</v>
      </c>
      <c r="N773" s="33">
        <v>25875</v>
      </c>
      <c r="O773" s="14">
        <f t="shared" si="232"/>
        <v>0</v>
      </c>
    </row>
    <row r="774" spans="1:15" x14ac:dyDescent="0.3">
      <c r="A774" s="177"/>
      <c r="B774" s="179"/>
      <c r="C774" s="2" t="s">
        <v>45</v>
      </c>
      <c r="D774" s="24">
        <v>30644</v>
      </c>
      <c r="E774" s="24"/>
      <c r="F774" s="28"/>
      <c r="G774" s="24"/>
      <c r="H774" s="24"/>
      <c r="I774" s="24"/>
      <c r="J774" s="24"/>
      <c r="K774" s="24"/>
      <c r="L774" s="24"/>
      <c r="M774" s="24">
        <f>D774+E774+F774+G774+H774+J774+I774</f>
        <v>30644</v>
      </c>
      <c r="N774" s="33">
        <v>7208</v>
      </c>
      <c r="O774" s="14">
        <f t="shared" si="232"/>
        <v>23436</v>
      </c>
    </row>
    <row r="775" spans="1:15" x14ac:dyDescent="0.3">
      <c r="A775" s="177"/>
      <c r="B775" s="179"/>
      <c r="C775" s="2" t="s">
        <v>60</v>
      </c>
      <c r="D775" s="24">
        <v>0</v>
      </c>
      <c r="E775" s="28"/>
      <c r="F775" s="28"/>
      <c r="G775" s="24"/>
      <c r="H775" s="24"/>
      <c r="I775" s="24"/>
      <c r="J775" s="24"/>
      <c r="K775" s="24"/>
      <c r="L775" s="24"/>
      <c r="M775" s="24">
        <f>D775+E775+F775+G775+H775+J775+I775</f>
        <v>0</v>
      </c>
      <c r="N775" s="33">
        <v>0</v>
      </c>
      <c r="O775" s="14">
        <f t="shared" si="232"/>
        <v>0</v>
      </c>
    </row>
    <row r="776" spans="1:15" x14ac:dyDescent="0.3">
      <c r="A776" s="177"/>
      <c r="B776" s="179"/>
      <c r="C776" s="6" t="s">
        <v>46</v>
      </c>
      <c r="D776" s="97">
        <f>SUM(D765:D775)</f>
        <v>257064</v>
      </c>
      <c r="E776" s="97">
        <f t="shared" ref="E776:O776" si="233">SUM(E765:E775)</f>
        <v>3875</v>
      </c>
      <c r="F776" s="97">
        <f t="shared" si="233"/>
        <v>0</v>
      </c>
      <c r="G776" s="97">
        <f t="shared" si="233"/>
        <v>0</v>
      </c>
      <c r="H776" s="97">
        <f t="shared" si="233"/>
        <v>0</v>
      </c>
      <c r="I776" s="97">
        <f t="shared" si="233"/>
        <v>0</v>
      </c>
      <c r="J776" s="97">
        <f t="shared" si="233"/>
        <v>0</v>
      </c>
      <c r="K776" s="97">
        <f t="shared" si="233"/>
        <v>0</v>
      </c>
      <c r="L776" s="97">
        <f t="shared" si="233"/>
        <v>0</v>
      </c>
      <c r="M776" s="97">
        <f t="shared" si="233"/>
        <v>260939</v>
      </c>
      <c r="N776" s="49">
        <f t="shared" si="233"/>
        <v>81700</v>
      </c>
      <c r="O776" s="26">
        <f t="shared" si="233"/>
        <v>179239</v>
      </c>
    </row>
    <row r="777" spans="1:15" x14ac:dyDescent="0.3">
      <c r="A777" s="177"/>
      <c r="B777" s="179" t="s">
        <v>21</v>
      </c>
      <c r="C777" s="12" t="s">
        <v>65</v>
      </c>
      <c r="D777" s="106">
        <v>1450000</v>
      </c>
      <c r="E777" s="109"/>
      <c r="F777" s="109"/>
      <c r="G777" s="109"/>
      <c r="H777" s="109"/>
      <c r="I777" s="109"/>
      <c r="J777" s="109"/>
      <c r="K777" s="109"/>
      <c r="L777" s="109"/>
      <c r="M777" s="24">
        <f>D777+E777+F777+G777+H777+J777+I777</f>
        <v>1450000</v>
      </c>
      <c r="N777" s="136">
        <v>537934</v>
      </c>
      <c r="O777" s="14">
        <f t="shared" ref="O777:O778" si="234">M777-N777</f>
        <v>912066</v>
      </c>
    </row>
    <row r="778" spans="1:15" x14ac:dyDescent="0.3">
      <c r="A778" s="177"/>
      <c r="B778" s="179"/>
      <c r="C778" s="12" t="s">
        <v>52</v>
      </c>
      <c r="D778" s="106">
        <v>300000</v>
      </c>
      <c r="E778" s="109"/>
      <c r="F778" s="109"/>
      <c r="G778" s="109"/>
      <c r="H778" s="109"/>
      <c r="I778" s="109"/>
      <c r="J778" s="109"/>
      <c r="K778" s="109"/>
      <c r="L778" s="109"/>
      <c r="M778" s="24">
        <f>D778+E778+F778+G778+H778+J778+I778</f>
        <v>300000</v>
      </c>
      <c r="N778" s="136">
        <v>125000</v>
      </c>
      <c r="O778" s="14">
        <f t="shared" si="234"/>
        <v>175000</v>
      </c>
    </row>
    <row r="779" spans="1:15" x14ac:dyDescent="0.3">
      <c r="A779" s="177"/>
      <c r="B779" s="179"/>
      <c r="C779" s="6" t="s">
        <v>41</v>
      </c>
      <c r="D779" s="97">
        <f>SUM(D777:D778)</f>
        <v>1750000</v>
      </c>
      <c r="E779" s="97">
        <f t="shared" ref="E779:O779" si="235">SUM(E777:E778)</f>
        <v>0</v>
      </c>
      <c r="F779" s="97">
        <f t="shared" si="235"/>
        <v>0</v>
      </c>
      <c r="G779" s="97">
        <f t="shared" si="235"/>
        <v>0</v>
      </c>
      <c r="H779" s="97">
        <f t="shared" si="235"/>
        <v>0</v>
      </c>
      <c r="I779" s="97">
        <f t="shared" si="235"/>
        <v>0</v>
      </c>
      <c r="J779" s="97">
        <f t="shared" si="235"/>
        <v>0</v>
      </c>
      <c r="K779" s="97">
        <f t="shared" si="235"/>
        <v>0</v>
      </c>
      <c r="L779" s="97">
        <f t="shared" si="235"/>
        <v>0</v>
      </c>
      <c r="M779" s="97">
        <f t="shared" si="235"/>
        <v>1750000</v>
      </c>
      <c r="N779" s="49">
        <f t="shared" si="235"/>
        <v>662934</v>
      </c>
      <c r="O779" s="26">
        <f t="shared" si="235"/>
        <v>1087066</v>
      </c>
    </row>
    <row r="780" spans="1:15" x14ac:dyDescent="0.3">
      <c r="A780" s="177"/>
      <c r="B780" s="179"/>
      <c r="C780" s="57" t="s">
        <v>42</v>
      </c>
      <c r="D780" s="98">
        <v>276284</v>
      </c>
      <c r="E780" s="98"/>
      <c r="F780" s="98"/>
      <c r="G780" s="98"/>
      <c r="H780" s="98"/>
      <c r="I780" s="98"/>
      <c r="J780" s="98"/>
      <c r="K780" s="98"/>
      <c r="L780" s="98"/>
      <c r="M780" s="99">
        <f t="shared" ref="M780:M785" si="236">D780+E780+F780+G780+H780+J780+I780</f>
        <v>276284</v>
      </c>
      <c r="N780" s="133">
        <v>99357</v>
      </c>
      <c r="O780" s="55">
        <f t="shared" ref="O780:O788" si="237">M780-N780</f>
        <v>176927</v>
      </c>
    </row>
    <row r="781" spans="1:15" x14ac:dyDescent="0.3">
      <c r="A781" s="177"/>
      <c r="B781" s="179"/>
      <c r="C781" s="2" t="s">
        <v>43</v>
      </c>
      <c r="D781" s="24">
        <v>35000</v>
      </c>
      <c r="E781" s="24"/>
      <c r="F781" s="24"/>
      <c r="G781" s="24"/>
      <c r="H781" s="24"/>
      <c r="I781" s="24"/>
      <c r="J781" s="24"/>
      <c r="K781" s="24"/>
      <c r="L781" s="24"/>
      <c r="M781" s="24">
        <f t="shared" si="236"/>
        <v>35000</v>
      </c>
      <c r="N781" s="33">
        <v>0</v>
      </c>
      <c r="O781" s="14">
        <f t="shared" si="237"/>
        <v>35000</v>
      </c>
    </row>
    <row r="782" spans="1:15" x14ac:dyDescent="0.3">
      <c r="A782" s="177"/>
      <c r="B782" s="179"/>
      <c r="C782" s="2" t="s">
        <v>53</v>
      </c>
      <c r="D782" s="24">
        <v>25000</v>
      </c>
      <c r="E782" s="24"/>
      <c r="F782" s="24"/>
      <c r="G782" s="24"/>
      <c r="H782" s="24"/>
      <c r="I782" s="24"/>
      <c r="J782" s="24"/>
      <c r="K782" s="24"/>
      <c r="L782" s="24"/>
      <c r="M782" s="24">
        <f t="shared" si="236"/>
        <v>25000</v>
      </c>
      <c r="N782" s="33">
        <v>0</v>
      </c>
      <c r="O782" s="14">
        <f t="shared" si="237"/>
        <v>25000</v>
      </c>
    </row>
    <row r="783" spans="1:15" x14ac:dyDescent="0.3">
      <c r="A783" s="177"/>
      <c r="B783" s="179"/>
      <c r="C783" s="2" t="s">
        <v>55</v>
      </c>
      <c r="D783" s="24">
        <v>20400</v>
      </c>
      <c r="E783" s="24"/>
      <c r="F783" s="24"/>
      <c r="G783" s="24"/>
      <c r="H783" s="24"/>
      <c r="I783" s="24"/>
      <c r="J783" s="24"/>
      <c r="K783" s="24"/>
      <c r="L783" s="24"/>
      <c r="M783" s="24">
        <f t="shared" si="236"/>
        <v>20400</v>
      </c>
      <c r="N783" s="33">
        <v>9028</v>
      </c>
      <c r="O783" s="14">
        <f t="shared" si="237"/>
        <v>11372</v>
      </c>
    </row>
    <row r="784" spans="1:15" x14ac:dyDescent="0.3">
      <c r="A784" s="177"/>
      <c r="B784" s="179"/>
      <c r="C784" s="2" t="s">
        <v>62</v>
      </c>
      <c r="D784" s="24">
        <v>684000</v>
      </c>
      <c r="E784" s="24"/>
      <c r="F784" s="24"/>
      <c r="G784" s="24"/>
      <c r="H784" s="24"/>
      <c r="I784" s="24"/>
      <c r="J784" s="24"/>
      <c r="K784" s="24"/>
      <c r="L784" s="24"/>
      <c r="M784" s="24">
        <f t="shared" si="236"/>
        <v>684000</v>
      </c>
      <c r="N784" s="33">
        <v>228000</v>
      </c>
      <c r="O784" s="14">
        <f t="shared" si="237"/>
        <v>456000</v>
      </c>
    </row>
    <row r="785" spans="1:15" x14ac:dyDescent="0.3">
      <c r="A785" s="177"/>
      <c r="B785" s="179"/>
      <c r="C785" s="2" t="s">
        <v>57</v>
      </c>
      <c r="D785" s="24">
        <v>90000</v>
      </c>
      <c r="E785" s="24"/>
      <c r="F785" s="24"/>
      <c r="G785" s="24"/>
      <c r="H785" s="24"/>
      <c r="I785" s="24"/>
      <c r="J785" s="24"/>
      <c r="K785" s="24"/>
      <c r="L785" s="24"/>
      <c r="M785" s="24">
        <f t="shared" si="236"/>
        <v>90000</v>
      </c>
      <c r="N785" s="33">
        <v>30000</v>
      </c>
      <c r="O785" s="21">
        <f t="shared" si="237"/>
        <v>60000</v>
      </c>
    </row>
    <row r="786" spans="1:15" x14ac:dyDescent="0.3">
      <c r="A786" s="177"/>
      <c r="B786" s="179"/>
      <c r="C786" s="2" t="s">
        <v>64</v>
      </c>
      <c r="D786" s="24">
        <v>20000</v>
      </c>
      <c r="E786" s="24"/>
      <c r="F786" s="24"/>
      <c r="G786" s="24"/>
      <c r="H786" s="24"/>
      <c r="I786" s="24"/>
      <c r="J786" s="24"/>
      <c r="K786" s="24"/>
      <c r="L786" s="24"/>
      <c r="M786" s="24">
        <f>D786+E786+F786+G786+H786+J786+I786+K786+L786</f>
        <v>20000</v>
      </c>
      <c r="N786" s="33">
        <v>0</v>
      </c>
      <c r="O786" s="14">
        <f t="shared" si="237"/>
        <v>20000</v>
      </c>
    </row>
    <row r="787" spans="1:15" x14ac:dyDescent="0.3">
      <c r="A787" s="177"/>
      <c r="B787" s="179"/>
      <c r="C787" s="2" t="s">
        <v>58</v>
      </c>
      <c r="D787" s="24">
        <v>20000</v>
      </c>
      <c r="E787" s="24">
        <v>-3875</v>
      </c>
      <c r="F787" s="24"/>
      <c r="G787" s="24"/>
      <c r="H787" s="24"/>
      <c r="I787" s="24"/>
      <c r="J787" s="24"/>
      <c r="K787" s="24"/>
      <c r="L787" s="24"/>
      <c r="M787" s="24">
        <f>D787+E787+F787+G787+H787+J787+I787</f>
        <v>16125</v>
      </c>
      <c r="N787" s="33">
        <v>0</v>
      </c>
      <c r="O787" s="21">
        <f t="shared" si="237"/>
        <v>16125</v>
      </c>
    </row>
    <row r="788" spans="1:15" x14ac:dyDescent="0.3">
      <c r="A788" s="177"/>
      <c r="B788" s="179"/>
      <c r="C788" s="2" t="s">
        <v>45</v>
      </c>
      <c r="D788" s="24">
        <v>235070</v>
      </c>
      <c r="E788" s="24"/>
      <c r="F788" s="24"/>
      <c r="G788" s="24"/>
      <c r="H788" s="24"/>
      <c r="I788" s="24"/>
      <c r="J788" s="24"/>
      <c r="K788" s="24"/>
      <c r="L788" s="24"/>
      <c r="M788" s="24">
        <f>D788+E788+F788+G788+H788+J788+I788</f>
        <v>235070</v>
      </c>
      <c r="N788" s="33">
        <v>71512</v>
      </c>
      <c r="O788" s="14">
        <f t="shared" si="237"/>
        <v>163558</v>
      </c>
    </row>
    <row r="789" spans="1:15" x14ac:dyDescent="0.3">
      <c r="A789" s="177"/>
      <c r="B789" s="179"/>
      <c r="C789" s="6" t="s">
        <v>46</v>
      </c>
      <c r="D789" s="97">
        <f>SUM(D781:D788)</f>
        <v>1129470</v>
      </c>
      <c r="E789" s="97">
        <f t="shared" ref="E789:O789" si="238">SUM(E781:E788)</f>
        <v>-3875</v>
      </c>
      <c r="F789" s="97">
        <f t="shared" si="238"/>
        <v>0</v>
      </c>
      <c r="G789" s="97">
        <f t="shared" si="238"/>
        <v>0</v>
      </c>
      <c r="H789" s="97">
        <f t="shared" si="238"/>
        <v>0</v>
      </c>
      <c r="I789" s="97">
        <f t="shared" si="238"/>
        <v>0</v>
      </c>
      <c r="J789" s="97">
        <f t="shared" si="238"/>
        <v>0</v>
      </c>
      <c r="K789" s="97">
        <f t="shared" si="238"/>
        <v>0</v>
      </c>
      <c r="L789" s="97">
        <f t="shared" si="238"/>
        <v>0</v>
      </c>
      <c r="M789" s="97">
        <f t="shared" si="238"/>
        <v>1125595</v>
      </c>
      <c r="N789" s="49">
        <f t="shared" si="238"/>
        <v>338540</v>
      </c>
      <c r="O789" s="26">
        <f t="shared" si="238"/>
        <v>787055</v>
      </c>
    </row>
    <row r="790" spans="1:15" x14ac:dyDescent="0.3">
      <c r="A790" s="177" t="s">
        <v>109</v>
      </c>
      <c r="B790" s="179" t="s">
        <v>18</v>
      </c>
      <c r="C790" s="2" t="s">
        <v>40</v>
      </c>
      <c r="D790" s="24">
        <v>796102</v>
      </c>
      <c r="E790" s="24"/>
      <c r="F790" s="24">
        <v>641150</v>
      </c>
      <c r="G790" s="24"/>
      <c r="H790" s="24"/>
      <c r="I790" s="24"/>
      <c r="J790" s="24"/>
      <c r="K790" s="24"/>
      <c r="L790" s="24"/>
      <c r="M790" s="24">
        <f>D790+E790+F790+G790+H790+J790+I790</f>
        <v>1437252</v>
      </c>
      <c r="N790" s="33">
        <v>521337</v>
      </c>
      <c r="O790" s="14">
        <f t="shared" ref="O790:O791" si="239">M790-N790</f>
        <v>915915</v>
      </c>
    </row>
    <row r="791" spans="1:15" x14ac:dyDescent="0.3">
      <c r="A791" s="177"/>
      <c r="B791" s="179"/>
      <c r="C791" s="2" t="s">
        <v>42</v>
      </c>
      <c r="D791" s="24">
        <v>139318</v>
      </c>
      <c r="E791" s="24"/>
      <c r="F791" s="24">
        <v>98697</v>
      </c>
      <c r="G791" s="24"/>
      <c r="H791" s="24"/>
      <c r="I791" s="24"/>
      <c r="J791" s="24"/>
      <c r="K791" s="24"/>
      <c r="L791" s="24"/>
      <c r="M791" s="24">
        <f>D791+E791+F791+G791+H791+J791+I791+K791</f>
        <v>238015</v>
      </c>
      <c r="N791" s="33">
        <v>91234</v>
      </c>
      <c r="O791" s="14">
        <f t="shared" si="239"/>
        <v>146781</v>
      </c>
    </row>
    <row r="792" spans="1:15" x14ac:dyDescent="0.3">
      <c r="A792" s="212" t="s">
        <v>132</v>
      </c>
      <c r="B792" s="213"/>
      <c r="C792" s="214"/>
      <c r="D792" s="115">
        <f>SUM(D752+D753+D756+D763+D764+D776+D779+D780+D789+D790+D791)</f>
        <v>17572784</v>
      </c>
      <c r="E792" s="103">
        <f t="shared" ref="E792:O792" si="240">SUM(E752,E753,E756,E763,E764,E776,E779,E780,E790,E789,E791)</f>
        <v>0</v>
      </c>
      <c r="F792" s="103">
        <f t="shared" si="240"/>
        <v>739847</v>
      </c>
      <c r="G792" s="103">
        <f t="shared" si="240"/>
        <v>0</v>
      </c>
      <c r="H792" s="103">
        <f t="shared" si="240"/>
        <v>0</v>
      </c>
      <c r="I792" s="103">
        <f t="shared" si="240"/>
        <v>0</v>
      </c>
      <c r="J792" s="103">
        <f t="shared" si="240"/>
        <v>0</v>
      </c>
      <c r="K792" s="103">
        <f t="shared" si="240"/>
        <v>0</v>
      </c>
      <c r="L792" s="103">
        <f t="shared" si="240"/>
        <v>0</v>
      </c>
      <c r="M792" s="103">
        <f t="shared" si="240"/>
        <v>18312631</v>
      </c>
      <c r="N792" s="137">
        <f>SUM(N752,N753,N756,N763,N764,N776,N779,N780,N790,N789,N791)</f>
        <v>6792384</v>
      </c>
      <c r="O792" s="61">
        <f t="shared" si="240"/>
        <v>11520247</v>
      </c>
    </row>
    <row r="793" spans="1:15" x14ac:dyDescent="0.3">
      <c r="A793" s="198" t="s">
        <v>110</v>
      </c>
      <c r="B793" s="3" t="s">
        <v>6</v>
      </c>
      <c r="C793" s="2" t="s">
        <v>67</v>
      </c>
      <c r="D793" s="24">
        <v>0</v>
      </c>
      <c r="E793" s="24"/>
      <c r="F793" s="24"/>
      <c r="G793" s="24"/>
      <c r="H793" s="24"/>
      <c r="I793" s="24"/>
      <c r="J793" s="24"/>
      <c r="K793" s="24"/>
      <c r="L793" s="24"/>
      <c r="M793" s="24">
        <f t="shared" ref="M793:M798" si="241">D793+E793+F793+G793+H793+J793+I793</f>
        <v>0</v>
      </c>
      <c r="N793" s="33">
        <v>0</v>
      </c>
      <c r="O793" s="14">
        <f t="shared" ref="O793:O798" si="242">M793-N793</f>
        <v>0</v>
      </c>
    </row>
    <row r="794" spans="1:15" x14ac:dyDescent="0.3">
      <c r="A794" s="205"/>
      <c r="B794" s="179" t="s">
        <v>18</v>
      </c>
      <c r="C794" s="2" t="s">
        <v>40</v>
      </c>
      <c r="D794" s="24">
        <v>2612064</v>
      </c>
      <c r="E794" s="24"/>
      <c r="F794" s="28"/>
      <c r="G794" s="24"/>
      <c r="H794" s="24"/>
      <c r="I794" s="24"/>
      <c r="J794" s="24"/>
      <c r="K794" s="24"/>
      <c r="L794" s="24"/>
      <c r="M794" s="24">
        <f t="shared" si="241"/>
        <v>2612064</v>
      </c>
      <c r="N794" s="33">
        <v>1076795</v>
      </c>
      <c r="O794" s="14">
        <f t="shared" si="242"/>
        <v>1535269</v>
      </c>
    </row>
    <row r="795" spans="1:15" x14ac:dyDescent="0.3">
      <c r="A795" s="205"/>
      <c r="B795" s="179"/>
      <c r="C795" s="2" t="s">
        <v>47</v>
      </c>
      <c r="D795" s="24">
        <v>100000</v>
      </c>
      <c r="E795" s="24"/>
      <c r="F795" s="28"/>
      <c r="G795" s="24"/>
      <c r="H795" s="24"/>
      <c r="I795" s="24"/>
      <c r="J795" s="24"/>
      <c r="K795" s="24"/>
      <c r="L795" s="24"/>
      <c r="M795" s="24">
        <f t="shared" si="241"/>
        <v>100000</v>
      </c>
      <c r="N795" s="33">
        <v>0</v>
      </c>
      <c r="O795" s="14">
        <f t="shared" si="242"/>
        <v>100000</v>
      </c>
    </row>
    <row r="796" spans="1:15" x14ac:dyDescent="0.3">
      <c r="A796" s="205"/>
      <c r="B796" s="179"/>
      <c r="C796" s="2" t="s">
        <v>48</v>
      </c>
      <c r="D796" s="24">
        <v>5000</v>
      </c>
      <c r="E796" s="24"/>
      <c r="F796" s="28"/>
      <c r="G796" s="24"/>
      <c r="H796" s="24"/>
      <c r="I796" s="24"/>
      <c r="J796" s="24"/>
      <c r="K796" s="24"/>
      <c r="L796" s="24"/>
      <c r="M796" s="24">
        <f t="shared" si="241"/>
        <v>5000</v>
      </c>
      <c r="N796" s="33">
        <v>0</v>
      </c>
      <c r="O796" s="14">
        <f t="shared" si="242"/>
        <v>5000</v>
      </c>
    </row>
    <row r="797" spans="1:15" x14ac:dyDescent="0.3">
      <c r="A797" s="205"/>
      <c r="B797" s="179"/>
      <c r="C797" s="2" t="s">
        <v>50</v>
      </c>
      <c r="D797" s="24">
        <v>12000</v>
      </c>
      <c r="E797" s="24"/>
      <c r="F797" s="28"/>
      <c r="G797" s="24"/>
      <c r="H797" s="24"/>
      <c r="I797" s="24"/>
      <c r="J797" s="24"/>
      <c r="K797" s="24"/>
      <c r="L797" s="24"/>
      <c r="M797" s="24">
        <f t="shared" si="241"/>
        <v>12000</v>
      </c>
      <c r="N797" s="33">
        <v>0</v>
      </c>
      <c r="O797" s="14">
        <f t="shared" si="242"/>
        <v>12000</v>
      </c>
    </row>
    <row r="798" spans="1:15" x14ac:dyDescent="0.3">
      <c r="A798" s="205"/>
      <c r="B798" s="179"/>
      <c r="C798" s="2" t="s">
        <v>51</v>
      </c>
      <c r="D798" s="24">
        <v>0</v>
      </c>
      <c r="E798" s="24"/>
      <c r="F798" s="28"/>
      <c r="G798" s="24"/>
      <c r="H798" s="24"/>
      <c r="I798" s="24"/>
      <c r="J798" s="24"/>
      <c r="K798" s="24"/>
      <c r="L798" s="24"/>
      <c r="M798" s="24">
        <f t="shared" si="241"/>
        <v>0</v>
      </c>
      <c r="N798" s="33">
        <v>0</v>
      </c>
      <c r="O798" s="14">
        <f t="shared" si="242"/>
        <v>0</v>
      </c>
    </row>
    <row r="799" spans="1:15" x14ac:dyDescent="0.3">
      <c r="A799" s="205"/>
      <c r="B799" s="179"/>
      <c r="C799" s="6" t="s">
        <v>41</v>
      </c>
      <c r="D799" s="97">
        <f>SUM(D794:D798)</f>
        <v>2729064</v>
      </c>
      <c r="E799" s="97">
        <f t="shared" ref="E799:O799" si="243">SUM(E794:E798)</f>
        <v>0</v>
      </c>
      <c r="F799" s="97">
        <f t="shared" si="243"/>
        <v>0</v>
      </c>
      <c r="G799" s="97">
        <f t="shared" si="243"/>
        <v>0</v>
      </c>
      <c r="H799" s="97">
        <f t="shared" si="243"/>
        <v>0</v>
      </c>
      <c r="I799" s="97">
        <f t="shared" si="243"/>
        <v>0</v>
      </c>
      <c r="J799" s="97">
        <f t="shared" si="243"/>
        <v>0</v>
      </c>
      <c r="K799" s="97">
        <f t="shared" si="243"/>
        <v>0</v>
      </c>
      <c r="L799" s="97">
        <f t="shared" si="243"/>
        <v>0</v>
      </c>
      <c r="M799" s="97">
        <f t="shared" si="243"/>
        <v>2729064</v>
      </c>
      <c r="N799" s="49">
        <f t="shared" si="243"/>
        <v>1076795</v>
      </c>
      <c r="O799" s="26">
        <f t="shared" si="243"/>
        <v>1652269</v>
      </c>
    </row>
    <row r="800" spans="1:15" x14ac:dyDescent="0.3">
      <c r="A800" s="205"/>
      <c r="B800" s="179"/>
      <c r="C800" s="57" t="s">
        <v>42</v>
      </c>
      <c r="D800" s="98">
        <v>492586</v>
      </c>
      <c r="E800" s="98"/>
      <c r="F800" s="98"/>
      <c r="G800" s="98"/>
      <c r="H800" s="98"/>
      <c r="I800" s="98"/>
      <c r="J800" s="98"/>
      <c r="K800" s="98"/>
      <c r="L800" s="98"/>
      <c r="M800" s="99">
        <f>D800+E800+F800+G800+H800+J800</f>
        <v>492586</v>
      </c>
      <c r="N800" s="133">
        <v>190225</v>
      </c>
      <c r="O800" s="55">
        <f t="shared" ref="O800:O809" si="244">M800-N800</f>
        <v>302361</v>
      </c>
    </row>
    <row r="801" spans="1:15" x14ac:dyDescent="0.3">
      <c r="A801" s="205"/>
      <c r="B801" s="179"/>
      <c r="C801" s="2" t="s">
        <v>43</v>
      </c>
      <c r="D801" s="24">
        <v>30000</v>
      </c>
      <c r="E801" s="24"/>
      <c r="F801" s="24"/>
      <c r="G801" s="24"/>
      <c r="H801" s="24"/>
      <c r="I801" s="24"/>
      <c r="J801" s="24"/>
      <c r="K801" s="24"/>
      <c r="L801" s="24"/>
      <c r="M801" s="24">
        <f>D801+E801+F801+G801+H801+J801+I801</f>
        <v>30000</v>
      </c>
      <c r="N801" s="33">
        <v>0</v>
      </c>
      <c r="O801" s="14">
        <f t="shared" si="244"/>
        <v>30000</v>
      </c>
    </row>
    <row r="802" spans="1:15" x14ac:dyDescent="0.3">
      <c r="A802" s="205"/>
      <c r="B802" s="179"/>
      <c r="C802" s="2" t="s">
        <v>53</v>
      </c>
      <c r="D802" s="24">
        <v>35000</v>
      </c>
      <c r="E802" s="24"/>
      <c r="F802" s="24"/>
      <c r="G802" s="24"/>
      <c r="H802" s="24"/>
      <c r="I802" s="24"/>
      <c r="J802" s="24"/>
      <c r="K802" s="24"/>
      <c r="L802" s="24"/>
      <c r="M802" s="24">
        <f>D802+E802+F802+G802+H802+J802+I802+K802+L802</f>
        <v>35000</v>
      </c>
      <c r="N802" s="33">
        <v>0</v>
      </c>
      <c r="O802" s="14">
        <f t="shared" si="244"/>
        <v>35000</v>
      </c>
    </row>
    <row r="803" spans="1:15" x14ac:dyDescent="0.3">
      <c r="A803" s="205"/>
      <c r="B803" s="179"/>
      <c r="C803" s="30" t="s">
        <v>55</v>
      </c>
      <c r="D803" s="24">
        <v>0</v>
      </c>
      <c r="E803" s="24"/>
      <c r="F803" s="24"/>
      <c r="G803" s="24"/>
      <c r="H803" s="24"/>
      <c r="I803" s="24"/>
      <c r="J803" s="24"/>
      <c r="K803" s="24"/>
      <c r="L803" s="24"/>
      <c r="M803" s="24">
        <f t="shared" ref="M803:M809" si="245">D803+E803+F803+G803+H803+J803+I803</f>
        <v>0</v>
      </c>
      <c r="N803" s="32">
        <v>0</v>
      </c>
      <c r="O803" s="32">
        <f t="shared" si="244"/>
        <v>0</v>
      </c>
    </row>
    <row r="804" spans="1:15" x14ac:dyDescent="0.3">
      <c r="A804" s="205"/>
      <c r="B804" s="179"/>
      <c r="C804" s="30" t="s">
        <v>57</v>
      </c>
      <c r="D804" s="24"/>
      <c r="E804" s="24"/>
      <c r="F804" s="24"/>
      <c r="G804" s="24"/>
      <c r="H804" s="24"/>
      <c r="I804" s="24"/>
      <c r="J804" s="24"/>
      <c r="K804" s="24"/>
      <c r="L804" s="24"/>
      <c r="M804" s="24">
        <f t="shared" si="245"/>
        <v>0</v>
      </c>
      <c r="N804" s="32">
        <v>0</v>
      </c>
      <c r="O804" s="32">
        <f t="shared" si="244"/>
        <v>0</v>
      </c>
    </row>
    <row r="805" spans="1:15" x14ac:dyDescent="0.3">
      <c r="A805" s="205"/>
      <c r="B805" s="179"/>
      <c r="C805" s="2" t="s">
        <v>44</v>
      </c>
      <c r="D805" s="24">
        <v>8400</v>
      </c>
      <c r="E805" s="24"/>
      <c r="F805" s="24"/>
      <c r="G805" s="24"/>
      <c r="H805" s="24"/>
      <c r="I805" s="24"/>
      <c r="J805" s="24"/>
      <c r="K805" s="24"/>
      <c r="L805" s="24"/>
      <c r="M805" s="24">
        <f t="shared" si="245"/>
        <v>8400</v>
      </c>
      <c r="N805" s="32">
        <v>2100</v>
      </c>
      <c r="O805" s="21">
        <f t="shared" si="244"/>
        <v>6300</v>
      </c>
    </row>
    <row r="806" spans="1:15" x14ac:dyDescent="0.3">
      <c r="A806" s="205"/>
      <c r="B806" s="179"/>
      <c r="C806" s="2" t="s">
        <v>58</v>
      </c>
      <c r="D806" s="24">
        <v>0</v>
      </c>
      <c r="E806" s="24"/>
      <c r="F806" s="24"/>
      <c r="G806" s="24"/>
      <c r="H806" s="24"/>
      <c r="I806" s="24"/>
      <c r="J806" s="24"/>
      <c r="K806" s="24"/>
      <c r="L806" s="24"/>
      <c r="M806" s="24">
        <f t="shared" si="245"/>
        <v>0</v>
      </c>
      <c r="N806" s="32">
        <v>0</v>
      </c>
      <c r="O806" s="21">
        <f t="shared" si="244"/>
        <v>0</v>
      </c>
    </row>
    <row r="807" spans="1:15" x14ac:dyDescent="0.3">
      <c r="A807" s="205"/>
      <c r="B807" s="179"/>
      <c r="C807" s="2" t="s">
        <v>59</v>
      </c>
      <c r="D807" s="24">
        <v>15000</v>
      </c>
      <c r="E807" s="24"/>
      <c r="F807" s="28"/>
      <c r="G807" s="28"/>
      <c r="H807" s="24"/>
      <c r="I807" s="24"/>
      <c r="J807" s="24"/>
      <c r="K807" s="24"/>
      <c r="L807" s="24"/>
      <c r="M807" s="24">
        <f t="shared" si="245"/>
        <v>15000</v>
      </c>
      <c r="N807" s="32">
        <v>3600</v>
      </c>
      <c r="O807" s="21">
        <f t="shared" si="244"/>
        <v>11400</v>
      </c>
    </row>
    <row r="808" spans="1:15" x14ac:dyDescent="0.3">
      <c r="A808" s="205"/>
      <c r="B808" s="179"/>
      <c r="C808" s="2" t="s">
        <v>45</v>
      </c>
      <c r="D808" s="24">
        <v>14250</v>
      </c>
      <c r="E808" s="24"/>
      <c r="F808" s="28"/>
      <c r="G808" s="28"/>
      <c r="H808" s="24"/>
      <c r="I808" s="24"/>
      <c r="J808" s="24"/>
      <c r="K808" s="24"/>
      <c r="L808" s="24"/>
      <c r="M808" s="24">
        <f t="shared" si="245"/>
        <v>14250</v>
      </c>
      <c r="N808" s="32">
        <v>0</v>
      </c>
      <c r="O808" s="21">
        <f t="shared" si="244"/>
        <v>14250</v>
      </c>
    </row>
    <row r="809" spans="1:15" x14ac:dyDescent="0.3">
      <c r="A809" s="205"/>
      <c r="B809" s="179"/>
      <c r="C809" s="2" t="s">
        <v>60</v>
      </c>
      <c r="D809" s="24">
        <v>0</v>
      </c>
      <c r="E809" s="24"/>
      <c r="F809" s="28"/>
      <c r="G809" s="28"/>
      <c r="H809" s="24"/>
      <c r="I809" s="24"/>
      <c r="J809" s="24"/>
      <c r="K809" s="24"/>
      <c r="L809" s="24"/>
      <c r="M809" s="24">
        <f t="shared" si="245"/>
        <v>0</v>
      </c>
      <c r="N809" s="32">
        <v>0</v>
      </c>
      <c r="O809" s="21">
        <f t="shared" si="244"/>
        <v>0</v>
      </c>
    </row>
    <row r="810" spans="1:15" x14ac:dyDescent="0.3">
      <c r="A810" s="205"/>
      <c r="B810" s="179"/>
      <c r="C810" s="6" t="s">
        <v>46</v>
      </c>
      <c r="D810" s="97">
        <f>SUM(D801:D809)</f>
        <v>102650</v>
      </c>
      <c r="E810" s="97">
        <f t="shared" ref="E810:O810" si="246">SUM(E801:E809)</f>
        <v>0</v>
      </c>
      <c r="F810" s="97">
        <f t="shared" si="246"/>
        <v>0</v>
      </c>
      <c r="G810" s="97">
        <f t="shared" si="246"/>
        <v>0</v>
      </c>
      <c r="H810" s="97">
        <f t="shared" si="246"/>
        <v>0</v>
      </c>
      <c r="I810" s="97">
        <f t="shared" si="246"/>
        <v>0</v>
      </c>
      <c r="J810" s="97">
        <f t="shared" si="246"/>
        <v>0</v>
      </c>
      <c r="K810" s="97">
        <f t="shared" si="246"/>
        <v>0</v>
      </c>
      <c r="L810" s="97">
        <f t="shared" si="246"/>
        <v>0</v>
      </c>
      <c r="M810" s="97">
        <f t="shared" si="246"/>
        <v>102650</v>
      </c>
      <c r="N810" s="49">
        <f>SUM(N801:N809)</f>
        <v>5700</v>
      </c>
      <c r="O810" s="26">
        <f t="shared" si="246"/>
        <v>96950</v>
      </c>
    </row>
    <row r="811" spans="1:15" x14ac:dyDescent="0.3">
      <c r="A811" s="205"/>
      <c r="B811" s="180" t="s">
        <v>21</v>
      </c>
      <c r="C811" s="67" t="s">
        <v>62</v>
      </c>
      <c r="D811" s="110">
        <v>36000</v>
      </c>
      <c r="E811" s="110"/>
      <c r="F811" s="110"/>
      <c r="G811" s="110"/>
      <c r="H811" s="110"/>
      <c r="I811" s="110"/>
      <c r="J811" s="110"/>
      <c r="K811" s="110"/>
      <c r="L811" s="110"/>
      <c r="M811" s="24">
        <f>D811+E811+F811+G811+H811+J811+I811</f>
        <v>36000</v>
      </c>
      <c r="N811" s="134">
        <v>12000</v>
      </c>
      <c r="O811" s="21">
        <f t="shared" ref="O811:O815" si="247">M811-N811</f>
        <v>24000</v>
      </c>
    </row>
    <row r="812" spans="1:15" x14ac:dyDescent="0.3">
      <c r="A812" s="205"/>
      <c r="B812" s="199"/>
      <c r="C812" s="88" t="s">
        <v>57</v>
      </c>
      <c r="D812" s="110">
        <v>6000</v>
      </c>
      <c r="E812" s="110"/>
      <c r="F812" s="110"/>
      <c r="G812" s="110"/>
      <c r="H812" s="110"/>
      <c r="I812" s="110"/>
      <c r="J812" s="110"/>
      <c r="K812" s="110"/>
      <c r="L812" s="110"/>
      <c r="M812" s="24">
        <f>D812+E812+F812+G812+H812+J812+I812</f>
        <v>6000</v>
      </c>
      <c r="N812" s="134">
        <v>0</v>
      </c>
      <c r="O812" s="21">
        <f t="shared" si="247"/>
        <v>6000</v>
      </c>
    </row>
    <row r="813" spans="1:15" x14ac:dyDescent="0.3">
      <c r="A813" s="196"/>
      <c r="B813" s="181"/>
      <c r="C813" s="67" t="s">
        <v>45</v>
      </c>
      <c r="D813" s="110">
        <v>11340</v>
      </c>
      <c r="E813" s="110"/>
      <c r="F813" s="110"/>
      <c r="G813" s="110"/>
      <c r="H813" s="110"/>
      <c r="I813" s="110"/>
      <c r="J813" s="110"/>
      <c r="K813" s="110"/>
      <c r="L813" s="110"/>
      <c r="M813" s="24">
        <f>D813+E813+F813+G813+H813+J813+I813</f>
        <v>11340</v>
      </c>
      <c r="N813" s="134">
        <v>3240</v>
      </c>
      <c r="O813" s="21">
        <f t="shared" si="247"/>
        <v>8100</v>
      </c>
    </row>
    <row r="814" spans="1:15" x14ac:dyDescent="0.3">
      <c r="A814" s="177" t="s">
        <v>111</v>
      </c>
      <c r="B814" s="179" t="s">
        <v>18</v>
      </c>
      <c r="C814" s="2" t="s">
        <v>40</v>
      </c>
      <c r="D814" s="24">
        <v>92400</v>
      </c>
      <c r="E814" s="24"/>
      <c r="F814" s="24">
        <v>140558</v>
      </c>
      <c r="G814" s="24"/>
      <c r="H814" s="24"/>
      <c r="I814" s="24"/>
      <c r="J814" s="24"/>
      <c r="K814" s="24"/>
      <c r="L814" s="24"/>
      <c r="M814" s="24">
        <f>D814+E814+F814+G814+H814+J814+I814</f>
        <v>232958</v>
      </c>
      <c r="N814" s="33">
        <v>89613</v>
      </c>
      <c r="O814" s="14">
        <f t="shared" si="247"/>
        <v>143345</v>
      </c>
    </row>
    <row r="815" spans="1:15" x14ac:dyDescent="0.3">
      <c r="A815" s="198"/>
      <c r="B815" s="180"/>
      <c r="C815" s="5" t="s">
        <v>42</v>
      </c>
      <c r="D815" s="92">
        <v>16170</v>
      </c>
      <c r="E815" s="92"/>
      <c r="F815" s="92">
        <v>22549</v>
      </c>
      <c r="G815" s="92"/>
      <c r="H815" s="92"/>
      <c r="I815" s="92"/>
      <c r="J815" s="92"/>
      <c r="K815" s="92"/>
      <c r="L815" s="92"/>
      <c r="M815" s="24">
        <f>D815+E815+F815+G815+H815+J815+I815</f>
        <v>38719</v>
      </c>
      <c r="N815" s="130">
        <v>15683</v>
      </c>
      <c r="O815" s="14">
        <f t="shared" si="247"/>
        <v>23036</v>
      </c>
    </row>
    <row r="816" spans="1:15" x14ac:dyDescent="0.3">
      <c r="A816" s="212" t="s">
        <v>133</v>
      </c>
      <c r="B816" s="213"/>
      <c r="C816" s="214"/>
      <c r="D816" s="111">
        <f>SUM(D793,D799,D800,D810,D814,D815,D811,D813,D812)</f>
        <v>3486210</v>
      </c>
      <c r="E816" s="111">
        <f>SUM(E793,E799,E800,E810,E814,E815,E811,E813,E812)</f>
        <v>0</v>
      </c>
      <c r="F816" s="111">
        <f t="shared" ref="F816:N816" si="248">SUM(F793,F799,F800,F810,F814,F815,F811,F813,F812)</f>
        <v>163107</v>
      </c>
      <c r="G816" s="111">
        <f t="shared" si="248"/>
        <v>0</v>
      </c>
      <c r="H816" s="111">
        <f t="shared" si="248"/>
        <v>0</v>
      </c>
      <c r="I816" s="111">
        <f t="shared" si="248"/>
        <v>0</v>
      </c>
      <c r="J816" s="111">
        <f t="shared" si="248"/>
        <v>0</v>
      </c>
      <c r="K816" s="111">
        <f t="shared" si="248"/>
        <v>0</v>
      </c>
      <c r="L816" s="111">
        <f t="shared" si="248"/>
        <v>0</v>
      </c>
      <c r="M816" s="111">
        <f t="shared" si="248"/>
        <v>3649317</v>
      </c>
      <c r="N816" s="63">
        <f t="shared" si="248"/>
        <v>1393256</v>
      </c>
      <c r="O816" s="63">
        <f>SUM(O793,O799,O800,O810,O814,O815,O811,O813,O812)</f>
        <v>2256061</v>
      </c>
    </row>
    <row r="817" spans="1:16" ht="43.5" customHeight="1" x14ac:dyDescent="0.3">
      <c r="A817" s="215" t="s">
        <v>121</v>
      </c>
      <c r="B817" s="216"/>
      <c r="C817" s="217"/>
      <c r="D817" s="112">
        <f t="shared" ref="D817:N817" si="249">D816+D792+D751+D709+D682+D645+D611+D577+D540+D506+D484+D452+D419+D384+D321+D286+D254</f>
        <v>283817565</v>
      </c>
      <c r="E817" s="112">
        <f t="shared" si="249"/>
        <v>0</v>
      </c>
      <c r="F817" s="112">
        <f t="shared" si="249"/>
        <v>9936713</v>
      </c>
      <c r="G817" s="112">
        <f t="shared" si="249"/>
        <v>627580</v>
      </c>
      <c r="H817" s="112">
        <f t="shared" si="249"/>
        <v>0</v>
      </c>
      <c r="I817" s="112">
        <f t="shared" si="249"/>
        <v>0</v>
      </c>
      <c r="J817" s="112">
        <f t="shared" si="249"/>
        <v>0</v>
      </c>
      <c r="K817" s="112">
        <f t="shared" si="249"/>
        <v>0</v>
      </c>
      <c r="L817" s="112">
        <f t="shared" si="249"/>
        <v>0</v>
      </c>
      <c r="M817" s="112">
        <f t="shared" si="249"/>
        <v>294381858</v>
      </c>
      <c r="N817" s="66">
        <f t="shared" si="249"/>
        <v>107958750</v>
      </c>
      <c r="O817" s="66">
        <f>O816+O792+O751+O709+O682+O645+O611+O577+O540+O506+O484+O452+O419+O384+O321+O286+O254</f>
        <v>186423108</v>
      </c>
    </row>
    <row r="818" spans="1:16" x14ac:dyDescent="0.3">
      <c r="B818" s="1"/>
      <c r="O818" s="14"/>
    </row>
    <row r="819" spans="1:16" x14ac:dyDescent="0.3">
      <c r="B819" s="1"/>
      <c r="O819" s="13"/>
    </row>
    <row r="820" spans="1:16" x14ac:dyDescent="0.3">
      <c r="B820" s="1"/>
      <c r="O820" s="13"/>
    </row>
    <row r="821" spans="1:16" ht="15.6" x14ac:dyDescent="0.3">
      <c r="A821" s="23" t="s">
        <v>137</v>
      </c>
      <c r="B821" s="1"/>
      <c r="O821" s="13"/>
    </row>
    <row r="822" spans="1:16" x14ac:dyDescent="0.3">
      <c r="B822" s="1"/>
      <c r="C822" s="68"/>
      <c r="D822" s="69"/>
      <c r="E822" s="69"/>
      <c r="F822" s="69"/>
      <c r="G822" s="69"/>
      <c r="H822" s="69"/>
      <c r="I822" s="69"/>
      <c r="J822" s="69"/>
      <c r="K822" s="69"/>
      <c r="L822" s="69"/>
      <c r="M822" s="69"/>
      <c r="N822" s="70"/>
      <c r="O822" s="13"/>
    </row>
    <row r="823" spans="1:16" s="40" customFormat="1" ht="62.25" customHeight="1" x14ac:dyDescent="0.3">
      <c r="A823" s="218" t="s">
        <v>142</v>
      </c>
      <c r="B823" s="219"/>
      <c r="C823" s="124" t="s">
        <v>2</v>
      </c>
      <c r="D823" s="122" t="s">
        <v>3</v>
      </c>
      <c r="E823" s="122" t="s">
        <v>4</v>
      </c>
      <c r="F823" s="125" t="s">
        <v>151</v>
      </c>
      <c r="G823" s="126" t="s">
        <v>156</v>
      </c>
      <c r="H823" s="126"/>
      <c r="I823" s="126"/>
      <c r="J823" s="126"/>
      <c r="K823" s="126"/>
      <c r="L823" s="126" t="s">
        <v>148</v>
      </c>
      <c r="M823" s="122" t="s">
        <v>154</v>
      </c>
      <c r="N823" s="123" t="s">
        <v>155</v>
      </c>
      <c r="O823" s="39"/>
      <c r="P823" s="45"/>
    </row>
    <row r="824" spans="1:16" ht="15" customHeight="1" x14ac:dyDescent="0.3">
      <c r="A824" s="218"/>
      <c r="B824" s="219"/>
      <c r="C824" s="71" t="s">
        <v>7</v>
      </c>
      <c r="D824" s="71">
        <f t="shared" ref="D824:N824" si="250">D100+D92+D85+D82+D76+D72+D69+D64+D57+D54+D51+D48+D41+D34+D29+D26+D5</f>
        <v>60956655</v>
      </c>
      <c r="E824" s="71">
        <f t="shared" si="250"/>
        <v>0</v>
      </c>
      <c r="F824" s="71">
        <f t="shared" si="250"/>
        <v>0</v>
      </c>
      <c r="G824" s="71">
        <f t="shared" si="250"/>
        <v>0</v>
      </c>
      <c r="H824" s="71">
        <f t="shared" si="250"/>
        <v>0</v>
      </c>
      <c r="I824" s="71">
        <f t="shared" si="250"/>
        <v>0</v>
      </c>
      <c r="J824" s="71">
        <f t="shared" si="250"/>
        <v>0</v>
      </c>
      <c r="K824" s="71">
        <f t="shared" ref="K824:L824" si="251">K100+K92+K85+K82+K76+K72+K69+K64+K57+K54+K51+K48+K41+K34+K29+K26+K5</f>
        <v>0</v>
      </c>
      <c r="L824" s="71">
        <f t="shared" si="251"/>
        <v>0</v>
      </c>
      <c r="M824" s="71">
        <f t="shared" ref="M824:M837" si="252">D824+E824+F824+G824+H824+J824+I824+K824+L824</f>
        <v>60956655</v>
      </c>
      <c r="N824" s="72">
        <f t="shared" si="250"/>
        <v>12585518</v>
      </c>
      <c r="O824" s="13"/>
    </row>
    <row r="825" spans="1:16" ht="15" customHeight="1" x14ac:dyDescent="0.3">
      <c r="A825" s="218"/>
      <c r="B825" s="219"/>
      <c r="C825" s="71" t="s">
        <v>134</v>
      </c>
      <c r="D825" s="71">
        <f t="shared" ref="D825:J825" si="253">D86+D65+D58+D42+D35+D30+D6</f>
        <v>127000</v>
      </c>
      <c r="E825" s="71">
        <f t="shared" si="253"/>
        <v>0</v>
      </c>
      <c r="F825" s="71">
        <f t="shared" si="253"/>
        <v>0</v>
      </c>
      <c r="G825" s="71">
        <f t="shared" si="253"/>
        <v>0</v>
      </c>
      <c r="H825" s="71">
        <f t="shared" si="253"/>
        <v>0</v>
      </c>
      <c r="I825" s="71">
        <f t="shared" si="253"/>
        <v>0</v>
      </c>
      <c r="J825" s="71">
        <f t="shared" si="253"/>
        <v>0</v>
      </c>
      <c r="K825" s="71">
        <f t="shared" ref="K825:L825" si="254">K86+K65+K58+K42+K35+K30+K6</f>
        <v>0</v>
      </c>
      <c r="L825" s="71">
        <f t="shared" si="254"/>
        <v>0</v>
      </c>
      <c r="M825" s="71">
        <f t="shared" si="252"/>
        <v>127000</v>
      </c>
      <c r="N825" s="72" t="s">
        <v>149</v>
      </c>
      <c r="O825" s="13"/>
    </row>
    <row r="826" spans="1:16" ht="15" customHeight="1" x14ac:dyDescent="0.3">
      <c r="A826" s="218"/>
      <c r="B826" s="219"/>
      <c r="C826" s="71" t="s">
        <v>135</v>
      </c>
      <c r="D826" s="71">
        <f t="shared" ref="D826:N826" si="255">D10</f>
        <v>0</v>
      </c>
      <c r="E826" s="71">
        <f t="shared" si="255"/>
        <v>0</v>
      </c>
      <c r="F826" s="71">
        <f t="shared" si="255"/>
        <v>0</v>
      </c>
      <c r="G826" s="71">
        <f t="shared" si="255"/>
        <v>0</v>
      </c>
      <c r="H826" s="71">
        <f t="shared" si="255"/>
        <v>0</v>
      </c>
      <c r="I826" s="71">
        <f t="shared" si="255"/>
        <v>0</v>
      </c>
      <c r="J826" s="71">
        <f t="shared" si="255"/>
        <v>0</v>
      </c>
      <c r="K826" s="71">
        <f t="shared" ref="K826:L826" si="256">K10</f>
        <v>0</v>
      </c>
      <c r="L826" s="71">
        <f t="shared" si="256"/>
        <v>0</v>
      </c>
      <c r="M826" s="71">
        <f t="shared" si="252"/>
        <v>0</v>
      </c>
      <c r="N826" s="72">
        <f t="shared" si="255"/>
        <v>0</v>
      </c>
      <c r="O826" s="13"/>
    </row>
    <row r="827" spans="1:16" ht="15" customHeight="1" x14ac:dyDescent="0.3">
      <c r="A827" s="218"/>
      <c r="B827" s="219"/>
      <c r="C827" s="71" t="s">
        <v>19</v>
      </c>
      <c r="D827" s="71">
        <f t="shared" ref="D827:N827" si="257">D89+D79+D45+D23+D18+D61+D94+D97</f>
        <v>75000</v>
      </c>
      <c r="E827" s="71">
        <f t="shared" si="257"/>
        <v>0</v>
      </c>
      <c r="F827" s="71">
        <f t="shared" si="257"/>
        <v>0</v>
      </c>
      <c r="G827" s="71">
        <f t="shared" si="257"/>
        <v>0</v>
      </c>
      <c r="H827" s="71">
        <f t="shared" si="257"/>
        <v>0</v>
      </c>
      <c r="I827" s="71">
        <f t="shared" si="257"/>
        <v>0</v>
      </c>
      <c r="J827" s="71">
        <f t="shared" si="257"/>
        <v>0</v>
      </c>
      <c r="K827" s="71">
        <f t="shared" ref="K827:L827" si="258">K89+K79+K45+K23+K18+K61+K94+K97</f>
        <v>0</v>
      </c>
      <c r="L827" s="71">
        <f t="shared" si="258"/>
        <v>0</v>
      </c>
      <c r="M827" s="71">
        <f t="shared" si="252"/>
        <v>75000</v>
      </c>
      <c r="N827" s="71">
        <f t="shared" si="257"/>
        <v>19305</v>
      </c>
      <c r="O827" s="13"/>
    </row>
    <row r="828" spans="1:16" ht="15" customHeight="1" x14ac:dyDescent="0.3">
      <c r="A828" s="218"/>
      <c r="B828" s="219"/>
      <c r="C828" s="71" t="s">
        <v>11</v>
      </c>
      <c r="D828" s="71">
        <f>D103+D99+D95+D90+D88+D84+D80+D78+D75+D74+D71+D68+D67+D63+D60+D56+D53+D50+D46+D44+D39+D38+D37+D33+D32+D28+D24+D19+D15+D12+D11+D9+D102</f>
        <v>27097000</v>
      </c>
      <c r="E828" s="71">
        <f t="shared" ref="E828:N828" si="259">E103+E99+E95+E90+E88+E84+E80+E78+E75+E74+E71+E68+E67+E63+E60+E56+E53+E50+E46+E44+E39+E38+E37+E33+E32+E28+E24+E19+E15+E12+E11+E9+E102</f>
        <v>-7000</v>
      </c>
      <c r="F828" s="71">
        <f t="shared" si="259"/>
        <v>0</v>
      </c>
      <c r="G828" s="71">
        <f t="shared" si="259"/>
        <v>0</v>
      </c>
      <c r="H828" s="71">
        <f t="shared" si="259"/>
        <v>0</v>
      </c>
      <c r="I828" s="71">
        <f t="shared" si="259"/>
        <v>0</v>
      </c>
      <c r="J828" s="71">
        <f t="shared" si="259"/>
        <v>0</v>
      </c>
      <c r="K828" s="71">
        <f t="shared" ref="K828:L828" si="260">K103+K99+K95+K90+K88+K84+K80+K78+K75+K74+K71+K68+K67+K63+K60+K56+K53+K50+K46+K44+K39+K38+K37+K33+K32+K28+K24+K19+K15+K12+K11+K9+K102</f>
        <v>0</v>
      </c>
      <c r="L828" s="71">
        <f t="shared" si="260"/>
        <v>0</v>
      </c>
      <c r="M828" s="71">
        <f t="shared" si="252"/>
        <v>27090000</v>
      </c>
      <c r="N828" s="72">
        <f t="shared" si="259"/>
        <v>12296832</v>
      </c>
      <c r="O828" s="13"/>
    </row>
    <row r="829" spans="1:16" ht="15" customHeight="1" x14ac:dyDescent="0.3">
      <c r="A829" s="218"/>
      <c r="B829" s="219"/>
      <c r="C829" s="71" t="s">
        <v>14</v>
      </c>
      <c r="D829" s="71">
        <f t="shared" ref="D829:N829" si="261">D91+D81+D47+D40+D25+D20+D13+D16+D62+D96+D98</f>
        <v>1613250</v>
      </c>
      <c r="E829" s="71">
        <f t="shared" si="261"/>
        <v>-313</v>
      </c>
      <c r="F829" s="71">
        <f t="shared" si="261"/>
        <v>0</v>
      </c>
      <c r="G829" s="71">
        <f t="shared" si="261"/>
        <v>0</v>
      </c>
      <c r="H829" s="71">
        <f t="shared" si="261"/>
        <v>0</v>
      </c>
      <c r="I829" s="71">
        <f t="shared" si="261"/>
        <v>0</v>
      </c>
      <c r="J829" s="71">
        <f t="shared" si="261"/>
        <v>0</v>
      </c>
      <c r="K829" s="71">
        <f t="shared" ref="K829:L829" si="262">K91+K81+K47+K40+K25+K20+K13+K16+K62+K96+K98</f>
        <v>0</v>
      </c>
      <c r="L829" s="71">
        <f t="shared" si="262"/>
        <v>0</v>
      </c>
      <c r="M829" s="71">
        <f t="shared" si="252"/>
        <v>1612937</v>
      </c>
      <c r="N829" s="72">
        <f t="shared" si="261"/>
        <v>706564</v>
      </c>
      <c r="O829" s="13"/>
    </row>
    <row r="830" spans="1:16" ht="15" customHeight="1" x14ac:dyDescent="0.3">
      <c r="A830" s="218"/>
      <c r="B830" s="219"/>
      <c r="C830" s="71" t="s">
        <v>17</v>
      </c>
      <c r="D830" s="71">
        <f t="shared" ref="D830:N830" si="263">D17</f>
        <v>0</v>
      </c>
      <c r="E830" s="71">
        <f t="shared" si="263"/>
        <v>0</v>
      </c>
      <c r="F830" s="71">
        <f t="shared" si="263"/>
        <v>0</v>
      </c>
      <c r="G830" s="71">
        <f t="shared" si="263"/>
        <v>0</v>
      </c>
      <c r="H830" s="71">
        <f t="shared" si="263"/>
        <v>0</v>
      </c>
      <c r="I830" s="71">
        <f t="shared" si="263"/>
        <v>0</v>
      </c>
      <c r="J830" s="71">
        <f t="shared" si="263"/>
        <v>0</v>
      </c>
      <c r="K830" s="71">
        <f t="shared" ref="K830:L830" si="264">K17</f>
        <v>0</v>
      </c>
      <c r="L830" s="71">
        <f t="shared" si="264"/>
        <v>0</v>
      </c>
      <c r="M830" s="71">
        <f t="shared" si="252"/>
        <v>0</v>
      </c>
      <c r="N830" s="72">
        <f t="shared" si="263"/>
        <v>0</v>
      </c>
      <c r="O830" s="13"/>
    </row>
    <row r="831" spans="1:16" ht="15" customHeight="1" x14ac:dyDescent="0.3">
      <c r="A831" s="218"/>
      <c r="B831" s="219"/>
      <c r="C831" s="71" t="s">
        <v>20</v>
      </c>
      <c r="D831" s="71">
        <f t="shared" ref="D831:N831" si="265">D21</f>
        <v>2000</v>
      </c>
      <c r="E831" s="71">
        <f t="shared" si="265"/>
        <v>832</v>
      </c>
      <c r="F831" s="71">
        <f t="shared" si="265"/>
        <v>0</v>
      </c>
      <c r="G831" s="71">
        <f t="shared" si="265"/>
        <v>0</v>
      </c>
      <c r="H831" s="71">
        <f t="shared" si="265"/>
        <v>0</v>
      </c>
      <c r="I831" s="71">
        <f t="shared" si="265"/>
        <v>0</v>
      </c>
      <c r="J831" s="71">
        <f t="shared" si="265"/>
        <v>0</v>
      </c>
      <c r="K831" s="71">
        <f t="shared" ref="K831:L831" si="266">K21</f>
        <v>0</v>
      </c>
      <c r="L831" s="71">
        <f t="shared" si="266"/>
        <v>0</v>
      </c>
      <c r="M831" s="71">
        <f t="shared" si="252"/>
        <v>2832</v>
      </c>
      <c r="N831" s="72">
        <f t="shared" si="265"/>
        <v>619</v>
      </c>
      <c r="O831" s="13"/>
    </row>
    <row r="832" spans="1:16" ht="15" customHeight="1" x14ac:dyDescent="0.3">
      <c r="A832" s="218"/>
      <c r="B832" s="219"/>
      <c r="C832" s="71" t="s">
        <v>15</v>
      </c>
      <c r="D832" s="71">
        <f>D22+D14</f>
        <v>4000</v>
      </c>
      <c r="E832" s="71">
        <f t="shared" ref="E832:N832" si="267">E22+E14</f>
        <v>6481</v>
      </c>
      <c r="F832" s="71">
        <f t="shared" si="267"/>
        <v>0</v>
      </c>
      <c r="G832" s="71">
        <f t="shared" si="267"/>
        <v>0</v>
      </c>
      <c r="H832" s="71">
        <f t="shared" si="267"/>
        <v>0</v>
      </c>
      <c r="I832" s="71">
        <f t="shared" si="267"/>
        <v>0</v>
      </c>
      <c r="J832" s="71">
        <f t="shared" si="267"/>
        <v>0</v>
      </c>
      <c r="K832" s="71">
        <f t="shared" ref="K832:L832" si="268">K22+K14</f>
        <v>0</v>
      </c>
      <c r="L832" s="71">
        <f t="shared" si="268"/>
        <v>0</v>
      </c>
      <c r="M832" s="71">
        <f t="shared" si="252"/>
        <v>10481</v>
      </c>
      <c r="N832" s="72">
        <f t="shared" si="267"/>
        <v>5481</v>
      </c>
      <c r="O832" s="13"/>
    </row>
    <row r="833" spans="1:15" ht="15" customHeight="1" x14ac:dyDescent="0.3">
      <c r="A833" s="218"/>
      <c r="B833" s="219"/>
      <c r="C833" s="73" t="s">
        <v>138</v>
      </c>
      <c r="D833" s="73">
        <f t="shared" ref="D833:J833" si="269">D97+D98+D102+D96+D94+D62+D61+D33+D103+D99+D95+D91+D90+D89+D88+D84+D81+D80+D79+D78+D75+D74+D71+D68+D67+D63+D60+D56+D53+D50+D47+D46+D45+D44+D40+D39+D38+D37+D32+D28+D25+D24+D23+D22+D21+D20+D19+D18+D17+D16+D15+D14+D13+D12+D11+D10+D9</f>
        <v>28791250</v>
      </c>
      <c r="E833" s="73">
        <f t="shared" si="269"/>
        <v>0</v>
      </c>
      <c r="F833" s="73">
        <f t="shared" si="269"/>
        <v>0</v>
      </c>
      <c r="G833" s="73">
        <f t="shared" si="269"/>
        <v>0</v>
      </c>
      <c r="H833" s="73">
        <f t="shared" si="269"/>
        <v>0</v>
      </c>
      <c r="I833" s="73">
        <f t="shared" si="269"/>
        <v>0</v>
      </c>
      <c r="J833" s="73">
        <f t="shared" si="269"/>
        <v>0</v>
      </c>
      <c r="K833" s="73">
        <f t="shared" ref="K833:L833" si="270">K97+K98+K102+K96+K94+K62+K61+K33+K103+K99+K95+K91+K90+K89+K88+K84+K81+K80+K79+K78+K75+K74+K71+K68+K67+K63+K60+K56+K53+K50+K47+K46+K45+K44+K40+K39+K38+K37+K32+K28+K25+K24+K23+K22+K21+K20+K19+K18+K17+K16+K15+K14+K13+K12+K11+K10+K9</f>
        <v>0</v>
      </c>
      <c r="L833" s="73">
        <f t="shared" si="270"/>
        <v>0</v>
      </c>
      <c r="M833" s="73">
        <f t="shared" si="252"/>
        <v>28791250</v>
      </c>
      <c r="N833" s="73">
        <f>N97+N98+N102+N96+N94+N62+N61+N33+N103+N99+N95+N91+N90+N89+N88+N84+N81+N80+N79+N78+N75+N74+N71+N68+N67+N63+N60+N56+N53+N50+N47+N46+N45+N44+N40+N39+N38+N37+N32+N28+N25+N24+N23+N22+N21+N20+N19+N18+N17+N16+N15+N14+N13+N12+N11+N10+N9</f>
        <v>13028801</v>
      </c>
      <c r="O833" s="13"/>
    </row>
    <row r="834" spans="1:15" ht="15" customHeight="1" x14ac:dyDescent="0.3">
      <c r="A834" s="218"/>
      <c r="B834" s="219"/>
      <c r="C834" s="71" t="s">
        <v>8</v>
      </c>
      <c r="D834" s="71">
        <f t="shared" ref="D834:N834" si="271">D101+D93+D87+D83+D77+D73+D70+D66+D59+D55+D52+D49+D43+D36+D31+D27+D7</f>
        <v>27719855</v>
      </c>
      <c r="E834" s="71">
        <f t="shared" si="271"/>
        <v>0</v>
      </c>
      <c r="F834" s="71">
        <f t="shared" si="271"/>
        <v>0</v>
      </c>
      <c r="G834" s="71">
        <f t="shared" si="271"/>
        <v>0</v>
      </c>
      <c r="H834" s="71">
        <f t="shared" si="271"/>
        <v>0</v>
      </c>
      <c r="I834" s="71">
        <f t="shared" si="271"/>
        <v>0</v>
      </c>
      <c r="J834" s="71">
        <f t="shared" si="271"/>
        <v>0</v>
      </c>
      <c r="K834" s="71">
        <f t="shared" ref="K834:L834" si="272">K101+K93+K87+K83+K77+K73+K70+K66+K59+K55+K52+K49+K43+K36+K31+K27+K7</f>
        <v>0</v>
      </c>
      <c r="L834" s="71">
        <f t="shared" si="272"/>
        <v>0</v>
      </c>
      <c r="M834" s="71">
        <f t="shared" si="252"/>
        <v>27719855</v>
      </c>
      <c r="N834" s="72">
        <f t="shared" si="271"/>
        <v>27719855</v>
      </c>
      <c r="O834" s="13"/>
    </row>
    <row r="835" spans="1:15" ht="15" customHeight="1" x14ac:dyDescent="0.3">
      <c r="A835" s="218"/>
      <c r="B835" s="219"/>
      <c r="C835" s="71" t="s">
        <v>9</v>
      </c>
      <c r="D835" s="71">
        <f t="shared" ref="D835:N835" si="273">D8</f>
        <v>166222805</v>
      </c>
      <c r="E835" s="71">
        <f t="shared" si="273"/>
        <v>0</v>
      </c>
      <c r="F835" s="71">
        <f t="shared" si="273"/>
        <v>9936713</v>
      </c>
      <c r="G835" s="71">
        <f t="shared" si="273"/>
        <v>627580</v>
      </c>
      <c r="H835" s="71">
        <f t="shared" si="273"/>
        <v>0</v>
      </c>
      <c r="I835" s="71">
        <f t="shared" si="273"/>
        <v>0</v>
      </c>
      <c r="J835" s="71">
        <f t="shared" si="273"/>
        <v>0</v>
      </c>
      <c r="K835" s="71">
        <f t="shared" ref="K835:L835" si="274">K8</f>
        <v>0</v>
      </c>
      <c r="L835" s="71">
        <f t="shared" si="274"/>
        <v>0</v>
      </c>
      <c r="M835" s="71">
        <f t="shared" si="252"/>
        <v>176787098</v>
      </c>
      <c r="N835" s="72">
        <f t="shared" si="273"/>
        <v>70269663</v>
      </c>
      <c r="O835" s="13"/>
    </row>
    <row r="836" spans="1:15" ht="15" customHeight="1" x14ac:dyDescent="0.3">
      <c r="A836" s="218"/>
      <c r="B836" s="219"/>
      <c r="C836" s="73" t="s">
        <v>139</v>
      </c>
      <c r="D836" s="73">
        <f t="shared" ref="D836:N836" si="275">D101+D93+D87+D83+D77+D73+D70+D66+D59+D55+D52+D43+D49+D36+D31+D27+D8+D7</f>
        <v>193942660</v>
      </c>
      <c r="E836" s="73">
        <f t="shared" si="275"/>
        <v>0</v>
      </c>
      <c r="F836" s="73">
        <f t="shared" si="275"/>
        <v>9936713</v>
      </c>
      <c r="G836" s="73">
        <f t="shared" si="275"/>
        <v>627580</v>
      </c>
      <c r="H836" s="73">
        <f t="shared" si="275"/>
        <v>0</v>
      </c>
      <c r="I836" s="73">
        <f t="shared" si="275"/>
        <v>0</v>
      </c>
      <c r="J836" s="73">
        <f t="shared" si="275"/>
        <v>0</v>
      </c>
      <c r="K836" s="73">
        <f t="shared" ref="K836:L836" si="276">K101+K93+K87+K83+K77+K73+K70+K66+K59+K55+K52+K43+K49+K36+K31+K27+K8+K7</f>
        <v>0</v>
      </c>
      <c r="L836" s="73">
        <f t="shared" si="276"/>
        <v>0</v>
      </c>
      <c r="M836" s="73">
        <f t="shared" si="252"/>
        <v>204506953</v>
      </c>
      <c r="N836" s="74">
        <f t="shared" si="275"/>
        <v>97989518</v>
      </c>
      <c r="O836" s="13"/>
    </row>
    <row r="837" spans="1:15" ht="15" customHeight="1" x14ac:dyDescent="0.3">
      <c r="A837" s="218"/>
      <c r="B837" s="219"/>
      <c r="C837" s="73" t="s">
        <v>140</v>
      </c>
      <c r="D837" s="73">
        <f t="shared" ref="D837:J837" si="277">D97+D98+D96+D102+D94+D62+D61+D103+D101+D100+D99+D95+D93+D92+D91+D90+D89+D88+D87+D86+D84+D85+D83+D82+D81+D80+D79+D78+D77+D76+D75+D74+D73+D72+D71+D70+D69+D68+D67+D66+D65+D64+D63+D60+D59+D58+D57+D56+D55+D54+D53+D52+D51+D50+D49+D48+D47+D46+D45+D44+D43+D42+D41+D40+D39+D38+D37+D36+D35+D34+D33+D32+D31+D30+D29+D28+D27+D26+D25+D24+D23+D22+D21+D20+D19+D18+D17+D16+D15+D14+D13+D12+D11+D10+D8+D9+D7+D6+D5</f>
        <v>283817565</v>
      </c>
      <c r="E837" s="73">
        <f t="shared" si="277"/>
        <v>0</v>
      </c>
      <c r="F837" s="73">
        <f t="shared" si="277"/>
        <v>9936713</v>
      </c>
      <c r="G837" s="73">
        <f t="shared" si="277"/>
        <v>627580</v>
      </c>
      <c r="H837" s="73">
        <f t="shared" si="277"/>
        <v>0</v>
      </c>
      <c r="I837" s="73">
        <f t="shared" si="277"/>
        <v>0</v>
      </c>
      <c r="J837" s="73">
        <f t="shared" si="277"/>
        <v>0</v>
      </c>
      <c r="K837" s="73">
        <f t="shared" ref="K837:L837" si="278">K97+K98+K96+K102+K94+K62+K61+K103+K101+K100+K99+K95+K93+K92+K91+K90+K89+K88+K87+K86+K84+K85+K83+K82+K81+K80+K79+K78+K77+K76+K75+K74+K73+K72+K71+K70+K69+K68+K67+K66+K65+K64+K63+K60+K59+K58+K57+K56+K55+K54+K53+K52+K51+K50+K49+K48+K47+K46+K45+K44+K43+K42+K41+K40+K39+K38+K37+K36+K35+K34+K33+K32+K31+K30+K29+K28+K27+K26+K25+K24+K23+K22+K21+K20+K19+K18+K17+K16+K15+K14+K13+K12+K11+K10+K8+K9+K7+K6+K5</f>
        <v>0</v>
      </c>
      <c r="L837" s="73">
        <f t="shared" si="278"/>
        <v>0</v>
      </c>
      <c r="M837" s="73">
        <f t="shared" si="252"/>
        <v>294381858</v>
      </c>
      <c r="N837" s="73">
        <f>N97+N98+N96+N102+N94+N62+N61+N103+N101+N100+N99+N95+N93+N92+N91+N90+N89+N88+N87+N86+N84+N85+N83+N82+N81+N80+N79+N78+N77+N76+N75+N74+N73+N72+N71+N70+N69+N68+N67+N66+N65+N64+N63+N60+N59+N58+N57+N56+N55+N54+N53+N52+N51+N50+N49+N48+N47+N46+N45+N44+N43+N42+N41+N40+N39+N38+N37+N36+N35+N34+N33+N32+N31+N30+N29+N28+N27+N26+N25+N24+N23+N22+N21+N20+N19+N18+N17+N16+N15+N14+N13+N12+N11+N10+N8+N9+N7+N6+N5</f>
        <v>123603837</v>
      </c>
      <c r="O837" s="13"/>
    </row>
    <row r="838" spans="1:15" ht="15" customHeight="1" x14ac:dyDescent="0.3">
      <c r="A838" s="218"/>
      <c r="B838" s="219"/>
      <c r="C838" s="71" t="s">
        <v>40</v>
      </c>
      <c r="D838" s="71">
        <f t="shared" ref="D838:J838" si="279">D694+D814+D794+D790+D757+D752+D749+D720+D711+D707+D683+D680+D656+D647+D643+D618+D613+D609+D588+D579+D573+D546+D542+D536+D508+D504+D486+D480+D462+D454+D450+D430+D421+D417+D395+D380+D386+D378+D353+D330+D322+D319+D295+D288+D284+D265+D256+D242+D240+D236+D238+D234+D193+D178+D135+D157+D114+D105</f>
        <v>187310152</v>
      </c>
      <c r="E838" s="72">
        <f t="shared" si="279"/>
        <v>-692508</v>
      </c>
      <c r="F838" s="72">
        <f t="shared" si="279"/>
        <v>8610794</v>
      </c>
      <c r="G838" s="72">
        <f t="shared" si="279"/>
        <v>0</v>
      </c>
      <c r="H838" s="72">
        <f t="shared" si="279"/>
        <v>0</v>
      </c>
      <c r="I838" s="72">
        <f t="shared" si="279"/>
        <v>0</v>
      </c>
      <c r="J838" s="72">
        <f t="shared" si="279"/>
        <v>0</v>
      </c>
      <c r="K838" s="72">
        <f t="shared" ref="K838:L838" si="280">K694+K814+K794+K790+K757+K752+K749+K720+K711+K707+K683+K680+K656+K647+K643+K618+K613+K609+K588+K579+K573+K546+K542+K536+K508+K504+K486+K480+K462+K454+K450+K430+K421+K417+K395+K380+K386+K378+K353+K330+K322+K319+K295+K288+K284+K265+K256+K242+K240+K236+K238+K234+K193+K178+K135+K157+K114+K105</f>
        <v>0</v>
      </c>
      <c r="L838" s="72">
        <f t="shared" si="280"/>
        <v>0</v>
      </c>
      <c r="M838" s="72">
        <f>M694+M814+M794+M790+M757+M752+M749+M720+M711+M707+M683+M680+M656+M647+M643+M618+M613+M609+M588+M579+M573+M546+M542+M536+M508+M504+M486+M480+M462+M454+M450+M430+M421+M417+M395+M380+M386+M378+M353+M330+M322+M319+M295+M288+M284+M265+M256+M242+M240+M236+M238+M234+M193+M178+M135+M157+M114+M105</f>
        <v>195228438</v>
      </c>
      <c r="N838" s="75">
        <f>N694+N814+N794+N790+N757+N752+N749+N720+N711+N707+N683+N680+N656+N647+N643+N618+N613+N609+N588+N579+N573+N546+N542+N536+N508+N504+N486+N480+N462+N454+N450+N430+N421+N417+N395+N380+N386+N378+N353+N330+N322+N319+N295+N288+N284+N265+N256+N242+N240+N236+N238+N234+N193+N178+N135+N157+N114+N105</f>
        <v>73743318</v>
      </c>
      <c r="O838" s="13"/>
    </row>
    <row r="839" spans="1:15" ht="15" customHeight="1" x14ac:dyDescent="0.3">
      <c r="A839" s="218"/>
      <c r="B839" s="219"/>
      <c r="C839" s="71" t="s">
        <v>65</v>
      </c>
      <c r="D839" s="71">
        <f>D777+D221</f>
        <v>3180000</v>
      </c>
      <c r="E839" s="71">
        <f t="shared" ref="E839:N839" si="281">E777+E221</f>
        <v>0</v>
      </c>
      <c r="F839" s="71">
        <f t="shared" si="281"/>
        <v>0</v>
      </c>
      <c r="G839" s="71">
        <f t="shared" si="281"/>
        <v>0</v>
      </c>
      <c r="H839" s="71">
        <f t="shared" si="281"/>
        <v>0</v>
      </c>
      <c r="I839" s="71">
        <f t="shared" si="281"/>
        <v>0</v>
      </c>
      <c r="J839" s="71">
        <f t="shared" si="281"/>
        <v>0</v>
      </c>
      <c r="K839" s="71">
        <f t="shared" ref="K839:M839" si="282">K777+K221</f>
        <v>0</v>
      </c>
      <c r="L839" s="71">
        <f t="shared" si="282"/>
        <v>0</v>
      </c>
      <c r="M839" s="72">
        <f t="shared" si="282"/>
        <v>3180000</v>
      </c>
      <c r="N839" s="72">
        <f t="shared" si="281"/>
        <v>1219582</v>
      </c>
      <c r="O839" s="13"/>
    </row>
    <row r="840" spans="1:15" ht="15" customHeight="1" x14ac:dyDescent="0.3">
      <c r="A840" s="218"/>
      <c r="B840" s="219"/>
      <c r="C840" s="71" t="s">
        <v>63</v>
      </c>
      <c r="D840" s="71">
        <f>D758+D589+D331+D194+D463</f>
        <v>1365000</v>
      </c>
      <c r="E840" s="71">
        <f t="shared" ref="E840:J840" si="283">E758+E589+E331+E194</f>
        <v>0</v>
      </c>
      <c r="F840" s="71">
        <f t="shared" si="283"/>
        <v>0</v>
      </c>
      <c r="G840" s="71">
        <f t="shared" si="283"/>
        <v>0</v>
      </c>
      <c r="H840" s="71">
        <f t="shared" si="283"/>
        <v>0</v>
      </c>
      <c r="I840" s="71">
        <f t="shared" si="283"/>
        <v>0</v>
      </c>
      <c r="J840" s="71">
        <f t="shared" si="283"/>
        <v>0</v>
      </c>
      <c r="K840" s="71">
        <f t="shared" ref="K840:L840" si="284">K758+K589+K331+K194</f>
        <v>0</v>
      </c>
      <c r="L840" s="71">
        <f t="shared" si="284"/>
        <v>0</v>
      </c>
      <c r="M840" s="72">
        <f>M758+M589+M331+M194+M463</f>
        <v>1365000</v>
      </c>
      <c r="N840" s="72">
        <f>N758+N589+N331+N194+N463</f>
        <v>1365000</v>
      </c>
      <c r="O840" s="13"/>
    </row>
    <row r="841" spans="1:15" ht="15" customHeight="1" x14ac:dyDescent="0.3">
      <c r="A841" s="218"/>
      <c r="B841" s="219"/>
      <c r="C841" s="71" t="s">
        <v>47</v>
      </c>
      <c r="D841" s="71">
        <f t="shared" ref="D841:J842" si="285">D795+D759+D721+D684+D657+D619+D590+D547+D509+D487+D464+D431+D396+D354+D332+D296+D266+D195+D179+D158+D136+D115</f>
        <v>6250000</v>
      </c>
      <c r="E841" s="71">
        <f t="shared" si="285"/>
        <v>0</v>
      </c>
      <c r="F841" s="71">
        <f t="shared" si="285"/>
        <v>0</v>
      </c>
      <c r="G841" s="71">
        <f t="shared" si="285"/>
        <v>0</v>
      </c>
      <c r="H841" s="71">
        <f t="shared" si="285"/>
        <v>0</v>
      </c>
      <c r="I841" s="71">
        <f t="shared" si="285"/>
        <v>0</v>
      </c>
      <c r="J841" s="71">
        <f t="shared" si="285"/>
        <v>0</v>
      </c>
      <c r="K841" s="71">
        <f t="shared" ref="K841:L841" si="286">K795+K759+K721+K684+K657+K619+K590+K547+K509+K487+K464+K431+K396+K354+K332+K296+K266+K195+K179+K158+K136+K115</f>
        <v>0</v>
      </c>
      <c r="L841" s="71">
        <f t="shared" si="286"/>
        <v>0</v>
      </c>
      <c r="M841" s="72">
        <f>M795+M759+M721+M684+M657+M619+M590+M547+M509+M487+M464+M431+M396+M354+M332+M296+M266+M195+M179+M158+M136+M115</f>
        <v>6250000</v>
      </c>
      <c r="N841" s="72">
        <f>N795+N759+N721+N684+N657+N619+N590+N547+N509+N487+N464+N431+N396+N354+N332+N296+N266+N195+N179+N158+N136+N115</f>
        <v>0</v>
      </c>
      <c r="O841" s="13"/>
    </row>
    <row r="842" spans="1:15" ht="15" customHeight="1" x14ac:dyDescent="0.3">
      <c r="A842" s="218"/>
      <c r="B842" s="219"/>
      <c r="C842" s="71" t="s">
        <v>48</v>
      </c>
      <c r="D842" s="71">
        <f t="shared" si="285"/>
        <v>320000</v>
      </c>
      <c r="E842" s="71">
        <f t="shared" si="285"/>
        <v>0</v>
      </c>
      <c r="F842" s="71">
        <f t="shared" si="285"/>
        <v>0</v>
      </c>
      <c r="G842" s="71">
        <f t="shared" si="285"/>
        <v>0</v>
      </c>
      <c r="H842" s="71">
        <f t="shared" si="285"/>
        <v>0</v>
      </c>
      <c r="I842" s="71">
        <f t="shared" si="285"/>
        <v>0</v>
      </c>
      <c r="J842" s="71">
        <f t="shared" si="285"/>
        <v>0</v>
      </c>
      <c r="K842" s="71">
        <f t="shared" ref="K842:L842" si="287">K796+K760+K722+K685+K658+K620+K591+K548+K510+K488+K465+K432+K397+K355+K333+K297+K267+K196+K180+K159+K137+K116</f>
        <v>0</v>
      </c>
      <c r="L842" s="71">
        <f t="shared" si="287"/>
        <v>0</v>
      </c>
      <c r="M842" s="72">
        <f>M796+M760+M722+M685+M658+M620+M591+M548+M510+M488+M465+M432+M397+M355+M333+M297+M267+M196+M180+M159+M137+M116</f>
        <v>320000</v>
      </c>
      <c r="N842" s="72">
        <f>N796+N760+N722+N685+N658+N620+N591+N548+N510+N488+N465+N432+N397+N355+N333+N297+N267+N196+N180+N159+N137+N116</f>
        <v>0</v>
      </c>
      <c r="O842" s="13"/>
    </row>
    <row r="843" spans="1:15" ht="15" customHeight="1" x14ac:dyDescent="0.3">
      <c r="A843" s="218"/>
      <c r="B843" s="219"/>
      <c r="C843" s="71" t="s">
        <v>49</v>
      </c>
      <c r="D843" s="76">
        <f>D621+D592+D433+D197+D160+D138+D117+D420+D578+D646+D659+D334</f>
        <v>911000</v>
      </c>
      <c r="E843" s="76">
        <f>E621+E592+E433+E197+E160+E138+E117+E420+E578+E646+E659+E334</f>
        <v>0</v>
      </c>
      <c r="F843" s="76">
        <f t="shared" ref="F843:K843" si="288">F621+F592+F433+F197+F160+F138+F117+F420+F578+F646+F659+F334</f>
        <v>0</v>
      </c>
      <c r="G843" s="76">
        <f t="shared" si="288"/>
        <v>0</v>
      </c>
      <c r="H843" s="76">
        <f t="shared" si="288"/>
        <v>0</v>
      </c>
      <c r="I843" s="76">
        <f t="shared" si="288"/>
        <v>0</v>
      </c>
      <c r="J843" s="76">
        <f t="shared" si="288"/>
        <v>0</v>
      </c>
      <c r="K843" s="76">
        <f t="shared" si="288"/>
        <v>0</v>
      </c>
      <c r="L843" s="75">
        <f t="shared" ref="L843" si="289">L621+L592+L433+L197+L160+L138+L117+L420+L578+L646+L659+L334</f>
        <v>0</v>
      </c>
      <c r="M843" s="75">
        <f>M621+M592+M433+M197+M160+M138+M117+M420+M578+M646+M659+M334</f>
        <v>911000</v>
      </c>
      <c r="N843" s="75">
        <f>N621+N592+N433+N197+N160+N138+N117+N420+N578+N646+N659+N334</f>
        <v>138556</v>
      </c>
      <c r="O843" s="13"/>
    </row>
    <row r="844" spans="1:15" ht="15" customHeight="1" x14ac:dyDescent="0.3">
      <c r="A844" s="218"/>
      <c r="B844" s="219"/>
      <c r="C844" s="71" t="s">
        <v>50</v>
      </c>
      <c r="D844" s="71">
        <f t="shared" ref="D844:N844" si="290">D797+D761+D723+D686+D660+D622+D549+D593+D511+D489+D466+D434+D398+D356+D335+D298+D268+D198+D181+D161+D139+D118</f>
        <v>760000</v>
      </c>
      <c r="E844" s="71">
        <f t="shared" si="290"/>
        <v>0</v>
      </c>
      <c r="F844" s="71">
        <f t="shared" si="290"/>
        <v>0</v>
      </c>
      <c r="G844" s="71">
        <f t="shared" si="290"/>
        <v>0</v>
      </c>
      <c r="H844" s="71">
        <f t="shared" si="290"/>
        <v>0</v>
      </c>
      <c r="I844" s="71">
        <f t="shared" si="290"/>
        <v>0</v>
      </c>
      <c r="J844" s="71">
        <f t="shared" si="290"/>
        <v>0</v>
      </c>
      <c r="K844" s="71">
        <f t="shared" ref="K844:M844" si="291">K797+K761+K723+K686+K660+K622+K549+K593+K511+K489+K466+K434+K398+K356+K335+K298+K268+K198+K181+K161+K139+K118</f>
        <v>0</v>
      </c>
      <c r="L844" s="71">
        <f t="shared" si="291"/>
        <v>0</v>
      </c>
      <c r="M844" s="71">
        <f t="shared" si="291"/>
        <v>760000</v>
      </c>
      <c r="N844" s="71">
        <f t="shared" si="290"/>
        <v>0</v>
      </c>
      <c r="O844" s="13"/>
    </row>
    <row r="845" spans="1:15" ht="15" customHeight="1" x14ac:dyDescent="0.3">
      <c r="A845" s="218"/>
      <c r="B845" s="219"/>
      <c r="C845" s="71" t="s">
        <v>51</v>
      </c>
      <c r="D845" s="71">
        <f t="shared" ref="D845:N845" si="292">D140+D798+D762+D724+D712+D687+D661+D648+D623+D594+D580+D575+D550+D543+D538+D512+D490+D482+D467+D455+D435+D422+D399+D387+D382+D357+D336+D323+D299+D289+D269+D257+D252+D250+D248+D246+D244+D199+D182+D162+D119+D106</f>
        <v>1809250</v>
      </c>
      <c r="E845" s="71">
        <f t="shared" si="292"/>
        <v>692508</v>
      </c>
      <c r="F845" s="71">
        <f t="shared" si="292"/>
        <v>0</v>
      </c>
      <c r="G845" s="71">
        <f t="shared" si="292"/>
        <v>0</v>
      </c>
      <c r="H845" s="71">
        <f t="shared" si="292"/>
        <v>0</v>
      </c>
      <c r="I845" s="71">
        <f t="shared" si="292"/>
        <v>0</v>
      </c>
      <c r="J845" s="71">
        <f t="shared" si="292"/>
        <v>0</v>
      </c>
      <c r="K845" s="71">
        <f t="shared" ref="K845:M845" si="293">K140+K798+K762+K724+K712+K687+K661+K648+K623+K594+K580+K575+K550+K543+K538+K512+K490+K482+K467+K455+K435+K422+K399+K387+K382+K357+K336+K323+K299+K289+K269+K257+K252+K250+K248+K246+K244+K199+K182+K162+K119+K106</f>
        <v>0</v>
      </c>
      <c r="L845" s="71">
        <f t="shared" si="293"/>
        <v>0</v>
      </c>
      <c r="M845" s="72">
        <f t="shared" si="293"/>
        <v>2501758</v>
      </c>
      <c r="N845" s="72">
        <f t="shared" si="292"/>
        <v>1166958</v>
      </c>
      <c r="O845" s="13"/>
    </row>
    <row r="846" spans="1:15" ht="15" customHeight="1" x14ac:dyDescent="0.3">
      <c r="A846" s="218"/>
      <c r="B846" s="219"/>
      <c r="C846" s="71" t="s">
        <v>52</v>
      </c>
      <c r="D846" s="71">
        <f>D778+D624+D337+D270+D222+D200+D120+D725</f>
        <v>1115000</v>
      </c>
      <c r="E846" s="71">
        <f>E778+E624+E337+E270+E222+E200+E120+E725</f>
        <v>0</v>
      </c>
      <c r="F846" s="71">
        <f t="shared" ref="F846:J846" si="294">F778+F624+F337+F270+F222+F200+F120+F725</f>
        <v>0</v>
      </c>
      <c r="G846" s="71">
        <f t="shared" si="294"/>
        <v>0</v>
      </c>
      <c r="H846" s="71">
        <f t="shared" si="294"/>
        <v>0</v>
      </c>
      <c r="I846" s="71">
        <f t="shared" si="294"/>
        <v>0</v>
      </c>
      <c r="J846" s="71">
        <f t="shared" si="294"/>
        <v>0</v>
      </c>
      <c r="K846" s="71">
        <f t="shared" ref="K846:L846" si="295">K778+K624+K337+K270+K222+K200+K120+K725</f>
        <v>0</v>
      </c>
      <c r="L846" s="71">
        <f t="shared" si="295"/>
        <v>0</v>
      </c>
      <c r="M846" s="75">
        <f>M778+M624+M337+M270+M222+M200+M120+M725</f>
        <v>1115000</v>
      </c>
      <c r="N846" s="75">
        <f>N778+N624+N337+N270+N222+N200+N120+N725</f>
        <v>425000</v>
      </c>
      <c r="O846" s="13"/>
    </row>
    <row r="847" spans="1:15" ht="15" customHeight="1" x14ac:dyDescent="0.3">
      <c r="A847" s="218"/>
      <c r="B847" s="219"/>
      <c r="C847" s="73" t="s">
        <v>41</v>
      </c>
      <c r="D847" s="74">
        <f>D252+D250+D248+D246+D244+D382+D482+D538+D575+D814+D799+D790+D779+D763+D752+D749+D726+D713+D707+D695+D688+D680+D662+D649+D643+D625+D613+D609+D595+D581+D573+D551+D544+D536+D513+D504+D491+D480+D468+D456+D450+D436+D423+D417+D400+D388+D380+D378+D358+D338+D324+D319+D300+D290+D284+D271+D258+D242+D240+D238+D236+D234+D223+D201+D183+D163+D141+D121+D107</f>
        <v>203020402</v>
      </c>
      <c r="E847" s="74">
        <f t="shared" ref="E847:K847" si="296">E252+E250+E248+E246+E244+E382+E482+E538+E575+E814+E799+E790+E779+E763+E752+E749+E726+E713+E707+E695+E688+E680+E662+E649+E643+E625+E613+E609+E595+E581+E573+E551+E544+E536+E513+E504+E491+E480+E468+E456+E450+E436+E423+E417+E400+E388+E380+E378+E358+E338+E324+E319+E300+E290+E284+E271+E258+E242+E240+E238+E236+E234+E223+E201+E183+E163+E141+E121+E107</f>
        <v>0</v>
      </c>
      <c r="F847" s="74">
        <f t="shared" si="296"/>
        <v>8610794</v>
      </c>
      <c r="G847" s="74">
        <f t="shared" si="296"/>
        <v>0</v>
      </c>
      <c r="H847" s="74">
        <f t="shared" si="296"/>
        <v>0</v>
      </c>
      <c r="I847" s="74">
        <f t="shared" si="296"/>
        <v>0</v>
      </c>
      <c r="J847" s="74">
        <f t="shared" si="296"/>
        <v>0</v>
      </c>
      <c r="K847" s="74">
        <f t="shared" si="296"/>
        <v>0</v>
      </c>
      <c r="L847" s="74">
        <f t="shared" ref="L847" si="297">L252+L250+L248+L246+L244+L382+L482+L538+L575+L814+L799+L790+L779+L763+L752+L749+L726+L713+L707+L695+L688+L680+L662+L649+L643+L625+L613+L609+L595+L581+L573+L551+L544+L536+L513+L504+L491+L480+L468+L456+L450+L436+L423+L417+L400+L388+L380+L378+L358+L338+L324+L319+L300+L290+L284+L271+L258+L242+L240+L238+L236+L234+L223+L201+L183+L163+L141+L121+L107</f>
        <v>0</v>
      </c>
      <c r="M847" s="74">
        <f t="shared" ref="M847:M870" si="298">D847+E847+F847+G847+H847+J847+I847+K847+L847</f>
        <v>211631196</v>
      </c>
      <c r="N847" s="74">
        <f t="shared" ref="N847" si="299">N252+N250+N248+N246+N244+N382+N482+N538+N575+N814+N799+N790+N779+N763+N752+N749+N726+N713+N707+N695+N688+N680+N662+N649+N643+N625+N613+N609+N595+N581+N573+N551+N544+N536+N513+N504+N491+N480+N468+N456+N450+N436+N423+N417+N400+N388+N380+N378+N358+N338+N324+N319+N300+N290+N284+N271+N258+N242+N240+N238+N236+N234+N223+N201+N183+N163+N141+N121+N107</f>
        <v>78058414</v>
      </c>
      <c r="O847" s="13"/>
    </row>
    <row r="848" spans="1:15" ht="15" customHeight="1" x14ac:dyDescent="0.3">
      <c r="A848" s="218"/>
      <c r="B848" s="219"/>
      <c r="C848" s="73" t="s">
        <v>42</v>
      </c>
      <c r="D848" s="73">
        <f t="shared" ref="D848:L848" si="300">D696+D815+D800+D791+D780+D764+D753+D750+D727+D714+D708+D689+D681+D663+D650+D644+D626+D614+D610+D596+D582+D576+D574+D552+D545+D539+D537+D514+D505+D492+D483+D481+D469+D457+D451+D437+D424+D418+D401+D389+D383+D381+D379+D359+D339+D325+D320+D301+D291+D285+D272+D259+D253+D251+D249+D247+D245+D243+D241+D239+D237+D235+D224+D202+D184+D164+D142+D122+D108</f>
        <v>35117848</v>
      </c>
      <c r="E848" s="73">
        <f t="shared" si="300"/>
        <v>0</v>
      </c>
      <c r="F848" s="73">
        <f t="shared" si="300"/>
        <v>1325919</v>
      </c>
      <c r="G848" s="73">
        <f t="shared" si="300"/>
        <v>0</v>
      </c>
      <c r="H848" s="73">
        <f t="shared" si="300"/>
        <v>0</v>
      </c>
      <c r="I848" s="73">
        <f t="shared" si="300"/>
        <v>0</v>
      </c>
      <c r="J848" s="73">
        <f t="shared" si="300"/>
        <v>0</v>
      </c>
      <c r="K848" s="73">
        <f t="shared" si="300"/>
        <v>0</v>
      </c>
      <c r="L848" s="73">
        <f t="shared" si="300"/>
        <v>0</v>
      </c>
      <c r="M848" s="73">
        <f t="shared" si="298"/>
        <v>36443767</v>
      </c>
      <c r="N848" s="74">
        <f>N815+N800+N791+N780+N764+N753+N750+N727+N714+N708+N696+N689+N681+N663+N650+N644+N626+N614+N610+N596+N582+N576+N574+N552+N545+N539+N537+N514+N505+N492+N483+N481+N469+N457+N451+N437+N424+N418+N401+N389+N383+N381+N379+N359+N339+N325+N320+N301+N291+N285+N272+N259+N253+N251+N249+N247+N245+N243+N241+N239+N237+N235+N224+N202+N184+N164+N142+N122+N108</f>
        <v>13456562</v>
      </c>
      <c r="O848" s="13"/>
    </row>
    <row r="849" spans="1:15" ht="15" customHeight="1" x14ac:dyDescent="0.3">
      <c r="A849" s="218"/>
      <c r="B849" s="219"/>
      <c r="C849" s="71" t="s">
        <v>43</v>
      </c>
      <c r="D849" s="72">
        <f t="shared" ref="D849:M849" si="301">D690+D801+D781+D765+D754+D728+D715+D697+D664+D651+D627+D615+D597+D583+D553+D515+D493+D470+D458+D438+D425+D402+D390+D360+D340+D326+D302+D273+D292+D260+D225+D203+D165+D143+D123+D109+D185</f>
        <v>1125000</v>
      </c>
      <c r="E849" s="72">
        <f t="shared" si="301"/>
        <v>0</v>
      </c>
      <c r="F849" s="72">
        <f t="shared" si="301"/>
        <v>0</v>
      </c>
      <c r="G849" s="72">
        <f t="shared" si="301"/>
        <v>0</v>
      </c>
      <c r="H849" s="72">
        <f t="shared" si="301"/>
        <v>0</v>
      </c>
      <c r="I849" s="72">
        <f t="shared" si="301"/>
        <v>0</v>
      </c>
      <c r="J849" s="72">
        <f t="shared" si="301"/>
        <v>0</v>
      </c>
      <c r="K849" s="72">
        <f t="shared" si="301"/>
        <v>0</v>
      </c>
      <c r="L849" s="72">
        <f t="shared" si="301"/>
        <v>0</v>
      </c>
      <c r="M849" s="72">
        <f t="shared" si="301"/>
        <v>1125000</v>
      </c>
      <c r="N849" s="72">
        <f>N690+N801+N781+N765+N754+N728+N715+N697+N664+N651+N627+N615+N597+N583+N553+N515+N493+N470+N458+N438+N425+N402+N390+N360+N340+N326+N302+N273+N292+N260+N225+N203+N165+N143+N123+N109+N185</f>
        <v>156427</v>
      </c>
      <c r="O849" s="13"/>
    </row>
    <row r="850" spans="1:15" ht="15" customHeight="1" x14ac:dyDescent="0.3">
      <c r="A850" s="218"/>
      <c r="B850" s="219"/>
      <c r="C850" s="71" t="s">
        <v>53</v>
      </c>
      <c r="D850" s="71">
        <f t="shared" ref="D850:M850" si="302">D716+D691+D652+D584+D426+D391+D261+D110+D802+D782+D766+D729+D698+D665+D628+D598+D554+D516+D494+D471+D439+D403+D361+D341+D303+D274+D204+D186+D166+D144+D124</f>
        <v>1605000</v>
      </c>
      <c r="E850" s="71">
        <f t="shared" si="302"/>
        <v>-53990</v>
      </c>
      <c r="F850" s="71">
        <f t="shared" si="302"/>
        <v>0</v>
      </c>
      <c r="G850" s="71">
        <f t="shared" si="302"/>
        <v>0</v>
      </c>
      <c r="H850" s="71">
        <f t="shared" si="302"/>
        <v>0</v>
      </c>
      <c r="I850" s="71">
        <f t="shared" si="302"/>
        <v>0</v>
      </c>
      <c r="J850" s="71">
        <f t="shared" si="302"/>
        <v>0</v>
      </c>
      <c r="K850" s="71">
        <f t="shared" si="302"/>
        <v>0</v>
      </c>
      <c r="L850" s="71">
        <f t="shared" si="302"/>
        <v>0</v>
      </c>
      <c r="M850" s="76">
        <f t="shared" si="302"/>
        <v>1551010</v>
      </c>
      <c r="N850" s="76">
        <f>N716+N691+N652+N584+N426+N391+N261+N110+N802+N782+N766+N729+N698+N665+N628+N598+N554+N516+N494+N471+N439+N403+N361+N341+N303+N274+N204+N186+N166+N144+N124</f>
        <v>238143</v>
      </c>
      <c r="O850" s="13"/>
    </row>
    <row r="851" spans="1:15" ht="15" customHeight="1" x14ac:dyDescent="0.3">
      <c r="A851" s="218"/>
      <c r="B851" s="219"/>
      <c r="C851" s="71" t="s">
        <v>54</v>
      </c>
      <c r="D851" s="71">
        <f t="shared" ref="D851:J851" si="303">D767+D730+D342+D205+D167+D145+D125</f>
        <v>474072</v>
      </c>
      <c r="E851" s="71">
        <f t="shared" si="303"/>
        <v>820</v>
      </c>
      <c r="F851" s="71">
        <f t="shared" si="303"/>
        <v>0</v>
      </c>
      <c r="G851" s="71">
        <f t="shared" si="303"/>
        <v>0</v>
      </c>
      <c r="H851" s="71">
        <f t="shared" si="303"/>
        <v>0</v>
      </c>
      <c r="I851" s="71">
        <f t="shared" si="303"/>
        <v>0</v>
      </c>
      <c r="J851" s="71">
        <f t="shared" si="303"/>
        <v>0</v>
      </c>
      <c r="K851" s="71">
        <f t="shared" ref="K851:L851" si="304">K767+K730+K342+K205+K167+K145+K125</f>
        <v>0</v>
      </c>
      <c r="L851" s="71">
        <f t="shared" si="304"/>
        <v>0</v>
      </c>
      <c r="M851" s="71">
        <f t="shared" si="298"/>
        <v>474892</v>
      </c>
      <c r="N851" s="72">
        <f>N767+N730+N342+N205+N167+N145+N125</f>
        <v>196102</v>
      </c>
      <c r="O851" s="13"/>
    </row>
    <row r="852" spans="1:15" ht="15" customHeight="1" x14ac:dyDescent="0.3">
      <c r="A852" s="218"/>
      <c r="B852" s="219"/>
      <c r="C852" s="71" t="s">
        <v>55</v>
      </c>
      <c r="D852" s="71">
        <f>D783+D768+D343+D226+D206+D168+D146+D126+D803+D731+D699+D666+D629+D599+D555+D517+D495+D472+D440+D404+D362+D304+D275</f>
        <v>681108</v>
      </c>
      <c r="E852" s="71">
        <f t="shared" ref="E852:N852" si="305">E783+E768+E343+E226+E206+E168+E146+E126+E803+E731+E699+E666+E629+E599+E555+E517+E495+E472+E440+E404+E362+E304+E275</f>
        <v>9180</v>
      </c>
      <c r="F852" s="71">
        <f t="shared" si="305"/>
        <v>0</v>
      </c>
      <c r="G852" s="71">
        <f t="shared" si="305"/>
        <v>0</v>
      </c>
      <c r="H852" s="71">
        <f t="shared" si="305"/>
        <v>0</v>
      </c>
      <c r="I852" s="71">
        <f t="shared" si="305"/>
        <v>0</v>
      </c>
      <c r="J852" s="71">
        <f t="shared" si="305"/>
        <v>0</v>
      </c>
      <c r="K852" s="71">
        <f t="shared" ref="K852:L852" si="306">K783+K768+K343+K226+K206+K168+K146+K126+K803+K731+K699+K666+K629+K599+K555+K517+K495+K472+K440+K404+K362+K304+K275</f>
        <v>0</v>
      </c>
      <c r="L852" s="71">
        <f t="shared" si="306"/>
        <v>0</v>
      </c>
      <c r="M852" s="76">
        <f t="shared" si="298"/>
        <v>690288</v>
      </c>
      <c r="N852" s="75">
        <f t="shared" si="305"/>
        <v>228101</v>
      </c>
      <c r="O852" s="13"/>
    </row>
    <row r="853" spans="1:15" ht="15" customHeight="1" x14ac:dyDescent="0.3">
      <c r="A853" s="218"/>
      <c r="B853" s="219"/>
      <c r="C853" s="71" t="s">
        <v>56</v>
      </c>
      <c r="D853" s="71">
        <f t="shared" ref="D853:J853" si="307">D732+D667+D600+D556+D518+D496+D441+D344+D276+D207+D169+D147+D127+D405</f>
        <v>5369744</v>
      </c>
      <c r="E853" s="71">
        <f t="shared" si="307"/>
        <v>0</v>
      </c>
      <c r="F853" s="71">
        <f t="shared" si="307"/>
        <v>0</v>
      </c>
      <c r="G853" s="71">
        <f t="shared" si="307"/>
        <v>0</v>
      </c>
      <c r="H853" s="71">
        <f t="shared" si="307"/>
        <v>0</v>
      </c>
      <c r="I853" s="71">
        <f t="shared" si="307"/>
        <v>0</v>
      </c>
      <c r="J853" s="71">
        <f t="shared" si="307"/>
        <v>0</v>
      </c>
      <c r="K853" s="71">
        <f t="shared" ref="K853:L853" si="308">K732+K667+K600+K556+K518+K496+K441+K344+K276+K207+K169+K147+K127+K405</f>
        <v>0</v>
      </c>
      <c r="L853" s="71">
        <f t="shared" si="308"/>
        <v>0</v>
      </c>
      <c r="M853" s="76">
        <f t="shared" si="298"/>
        <v>5369744</v>
      </c>
      <c r="N853" s="76">
        <f>N732+N667+N600+N556+N518+N496+N441+N344+N276+N207+N169+N147+N127+N405</f>
        <v>2294247</v>
      </c>
      <c r="O853" s="13"/>
    </row>
    <row r="854" spans="1:15" ht="15" customHeight="1" x14ac:dyDescent="0.3">
      <c r="A854" s="218"/>
      <c r="B854" s="219"/>
      <c r="C854" s="71" t="s">
        <v>61</v>
      </c>
      <c r="D854" s="71">
        <f>D208+D187+D148</f>
        <v>12221671</v>
      </c>
      <c r="E854" s="71">
        <f t="shared" ref="E854:N854" si="309">E208+E187+E148</f>
        <v>0</v>
      </c>
      <c r="F854" s="71">
        <f t="shared" si="309"/>
        <v>0</v>
      </c>
      <c r="G854" s="71">
        <f t="shared" si="309"/>
        <v>0</v>
      </c>
      <c r="H854" s="71">
        <f t="shared" si="309"/>
        <v>0</v>
      </c>
      <c r="I854" s="71">
        <f t="shared" si="309"/>
        <v>0</v>
      </c>
      <c r="J854" s="71">
        <f t="shared" si="309"/>
        <v>0</v>
      </c>
      <c r="K854" s="71">
        <f t="shared" ref="K854:L854" si="310">K208+K187+K148</f>
        <v>0</v>
      </c>
      <c r="L854" s="71">
        <f t="shared" si="310"/>
        <v>0</v>
      </c>
      <c r="M854" s="76">
        <f t="shared" si="298"/>
        <v>12221671</v>
      </c>
      <c r="N854" s="72">
        <f t="shared" si="309"/>
        <v>4765040</v>
      </c>
      <c r="O854" s="13"/>
    </row>
    <row r="855" spans="1:15" ht="15" customHeight="1" x14ac:dyDescent="0.3">
      <c r="A855" s="218"/>
      <c r="B855" s="219"/>
      <c r="C855" s="71" t="s">
        <v>62</v>
      </c>
      <c r="D855" s="72">
        <f t="shared" ref="D855:J855" si="311">D784+D769+D744+D733+D674+D638+D630+D601+D568+D557+D530+D519+D442+D406+D372+D345+D314+D227+D170+D149+D811</f>
        <v>4416360</v>
      </c>
      <c r="E855" s="72">
        <f t="shared" si="311"/>
        <v>36000</v>
      </c>
      <c r="F855" s="72">
        <f t="shared" si="311"/>
        <v>0</v>
      </c>
      <c r="G855" s="72">
        <f t="shared" si="311"/>
        <v>-19685</v>
      </c>
      <c r="H855" s="72">
        <f t="shared" si="311"/>
        <v>0</v>
      </c>
      <c r="I855" s="72">
        <f t="shared" si="311"/>
        <v>0</v>
      </c>
      <c r="J855" s="72">
        <f t="shared" si="311"/>
        <v>0</v>
      </c>
      <c r="K855" s="72">
        <f t="shared" ref="K855:L855" si="312">K784+K769+K744+K733+K674+K638+K630+K601+K568+K557+K530+K519+K442+K406+K372+K345+K314+K227+K170+K149+K811</f>
        <v>0</v>
      </c>
      <c r="L855" s="72">
        <f t="shared" si="312"/>
        <v>0</v>
      </c>
      <c r="M855" s="75">
        <f t="shared" si="298"/>
        <v>4432675</v>
      </c>
      <c r="N855" s="75">
        <f>N784+N769+N744+N733+N674+N638+N630+N601+N568+N557+N530+N519+N442+N406+N372+N345+N314+N227+N170+N149+N811</f>
        <v>1399350</v>
      </c>
      <c r="O855" s="13"/>
    </row>
    <row r="856" spans="1:15" ht="15" customHeight="1" x14ac:dyDescent="0.3">
      <c r="A856" s="218"/>
      <c r="B856" s="219"/>
      <c r="C856" s="71" t="s">
        <v>57</v>
      </c>
      <c r="D856" s="76">
        <f t="shared" ref="D856:L856" si="313">D804+D558+D785+D770+D745+D734+D700+D675+D668+D639+D631+D602+D569+D531+D497+D473+D443+D407+D373+D363+D346+D315+D305+D277+D228+D209+D171+D150+D128+D812+D520</f>
        <v>1841000</v>
      </c>
      <c r="E856" s="76">
        <f t="shared" si="313"/>
        <v>250359</v>
      </c>
      <c r="F856" s="76">
        <f t="shared" si="313"/>
        <v>0</v>
      </c>
      <c r="G856" s="76">
        <f t="shared" si="313"/>
        <v>435102</v>
      </c>
      <c r="H856" s="76">
        <f t="shared" si="313"/>
        <v>0</v>
      </c>
      <c r="I856" s="76">
        <f t="shared" si="313"/>
        <v>0</v>
      </c>
      <c r="J856" s="76">
        <f t="shared" si="313"/>
        <v>0</v>
      </c>
      <c r="K856" s="76">
        <f t="shared" si="313"/>
        <v>0</v>
      </c>
      <c r="L856" s="76">
        <f t="shared" si="313"/>
        <v>0</v>
      </c>
      <c r="M856" s="76">
        <f t="shared" si="298"/>
        <v>2526461</v>
      </c>
      <c r="N856" s="76">
        <f>N804+N558+N785+N770+N745+N734+N700+N675+N668+N639+N631+N602+N569+N531+N497+N473+N443+N407+N373+N363+N346+N315+N305+N277+N228+N209+N171+N150+N128+N812+N520</f>
        <v>1801893</v>
      </c>
      <c r="O856" s="13"/>
    </row>
    <row r="857" spans="1:15" ht="15" customHeight="1" x14ac:dyDescent="0.3">
      <c r="A857" s="218"/>
      <c r="B857" s="219"/>
      <c r="C857" s="71" t="s">
        <v>64</v>
      </c>
      <c r="D857" s="71">
        <f>D786+D676+D374+D229+D210+D532</f>
        <v>75000</v>
      </c>
      <c r="E857" s="71">
        <f t="shared" ref="E857:N857" si="314">E786+E676+E374+E229+E210+E532</f>
        <v>0</v>
      </c>
      <c r="F857" s="71">
        <f t="shared" si="314"/>
        <v>0</v>
      </c>
      <c r="G857" s="71">
        <f t="shared" si="314"/>
        <v>0</v>
      </c>
      <c r="H857" s="71">
        <f t="shared" si="314"/>
        <v>0</v>
      </c>
      <c r="I857" s="71">
        <f t="shared" si="314"/>
        <v>0</v>
      </c>
      <c r="J857" s="71">
        <f t="shared" si="314"/>
        <v>0</v>
      </c>
      <c r="K857" s="71">
        <f t="shared" ref="K857:L857" si="315">K786+K676+K374+K229+K210+K532</f>
        <v>0</v>
      </c>
      <c r="L857" s="71">
        <f t="shared" si="315"/>
        <v>0</v>
      </c>
      <c r="M857" s="76">
        <f t="shared" si="298"/>
        <v>75000</v>
      </c>
      <c r="N857" s="75">
        <f t="shared" si="314"/>
        <v>42022</v>
      </c>
      <c r="O857" s="13"/>
    </row>
    <row r="858" spans="1:15" ht="15" customHeight="1" x14ac:dyDescent="0.3">
      <c r="A858" s="218"/>
      <c r="B858" s="219"/>
      <c r="C858" s="71" t="s">
        <v>44</v>
      </c>
      <c r="D858" s="71">
        <f t="shared" ref="D858:J858" si="316">D717+D805+D771+D735+D701+D669+D653+D632+D603+D559+D521+D498+D474+D444+D427+D408+D364+D347+D306+D278+D262+D211+D188+D172+D151+D129+D111+D585+D459+D392+D327</f>
        <v>1463000</v>
      </c>
      <c r="E858" s="71">
        <f t="shared" si="316"/>
        <v>0</v>
      </c>
      <c r="F858" s="71">
        <f t="shared" si="316"/>
        <v>0</v>
      </c>
      <c r="G858" s="71">
        <f t="shared" si="316"/>
        <v>0</v>
      </c>
      <c r="H858" s="71">
        <f t="shared" si="316"/>
        <v>0</v>
      </c>
      <c r="I858" s="71">
        <f t="shared" si="316"/>
        <v>0</v>
      </c>
      <c r="J858" s="71">
        <f t="shared" si="316"/>
        <v>0</v>
      </c>
      <c r="K858" s="71">
        <f t="shared" ref="K858:L858" si="317">K717+K805+K771+K735+K701+K669+K653+K632+K603+K559+K521+K498+K474+K444+K427+K408+K364+K347+K306+K278+K262+K211+K188+K172+K151+K129+K111+K585+K459+K392+K327</f>
        <v>0</v>
      </c>
      <c r="L858" s="71">
        <f t="shared" si="317"/>
        <v>0</v>
      </c>
      <c r="M858" s="76">
        <f t="shared" si="298"/>
        <v>1463000</v>
      </c>
      <c r="N858" s="76">
        <f>N717+N805+N771+N735+N701+N669+N653+N632+N603+N559+N521+N498+N474+N444+N427+N408+N364+N347+N306+N278+N262+N211+N188+N172+N151+N129+N111+N585+N459+N392+N327</f>
        <v>441050</v>
      </c>
      <c r="O858" s="13"/>
    </row>
    <row r="859" spans="1:15" ht="15" customHeight="1" x14ac:dyDescent="0.3">
      <c r="A859" s="218"/>
      <c r="B859" s="219"/>
      <c r="C859" s="71" t="s">
        <v>58</v>
      </c>
      <c r="D859" s="71">
        <f t="shared" ref="D859:N859" si="318">D806+D787+D772+D746+D736+D702+D677+D670+D640+D633+D604+D560+D533+D522+D499+D475+D445+D409+D375+D365+D348+D316+D307+D279+D230+D212+D189+D173+D152+D130+D570</f>
        <v>6689095</v>
      </c>
      <c r="E859" s="71">
        <f t="shared" si="318"/>
        <v>-246244</v>
      </c>
      <c r="F859" s="71">
        <f t="shared" si="318"/>
        <v>0</v>
      </c>
      <c r="G859" s="71">
        <f t="shared" si="318"/>
        <v>78740</v>
      </c>
      <c r="H859" s="71">
        <f t="shared" si="318"/>
        <v>0</v>
      </c>
      <c r="I859" s="71">
        <f t="shared" si="318"/>
        <v>0</v>
      </c>
      <c r="J859" s="71">
        <f t="shared" si="318"/>
        <v>0</v>
      </c>
      <c r="K859" s="71">
        <f t="shared" ref="K859:L859" si="319">K806+K787+K772+K746+K736+K702+K677+K670+K640+K633+K604+K560+K533+K522+K499+K475+K445+K409+K375+K365+K348+K316+K307+K279+K230+K212+K189+K173+K152+K130+K570</f>
        <v>0</v>
      </c>
      <c r="L859" s="71">
        <f t="shared" si="319"/>
        <v>0</v>
      </c>
      <c r="M859" s="76">
        <f t="shared" si="298"/>
        <v>6521591</v>
      </c>
      <c r="N859" s="76">
        <f t="shared" si="318"/>
        <v>1935952</v>
      </c>
      <c r="O859" s="13"/>
    </row>
    <row r="860" spans="1:15" ht="15" customHeight="1" x14ac:dyDescent="0.3">
      <c r="A860" s="218"/>
      <c r="B860" s="219"/>
      <c r="C860" s="71" t="s">
        <v>59</v>
      </c>
      <c r="D860" s="71">
        <f>D807+D773+D737+D703+D634+D605+D561+D523+D500+D476+D446+D410+D366+D349+D280+D213+D174+D153+D131</f>
        <v>428000</v>
      </c>
      <c r="E860" s="71">
        <f t="shared" ref="E860:N860" si="320">E807+E773+E737+E703+E634+E605+E561+E523+E500+E476+E446+E410+E366+E349+E280+E213+E174+E153+E131</f>
        <v>3875</v>
      </c>
      <c r="F860" s="71">
        <f t="shared" si="320"/>
        <v>0</v>
      </c>
      <c r="G860" s="71">
        <f t="shared" si="320"/>
        <v>0</v>
      </c>
      <c r="H860" s="71">
        <f t="shared" si="320"/>
        <v>0</v>
      </c>
      <c r="I860" s="71">
        <f t="shared" si="320"/>
        <v>0</v>
      </c>
      <c r="J860" s="71">
        <f t="shared" si="320"/>
        <v>0</v>
      </c>
      <c r="K860" s="71">
        <f t="shared" ref="K860:L860" si="321">K807+K773+K737+K703+K634+K605+K561+K523+K500+K476+K446+K410+K366+K349+K280+K213+K174+K153+K131</f>
        <v>0</v>
      </c>
      <c r="L860" s="71">
        <f t="shared" si="321"/>
        <v>0</v>
      </c>
      <c r="M860" s="76">
        <f t="shared" si="298"/>
        <v>431875</v>
      </c>
      <c r="N860" s="75">
        <f t="shared" si="320"/>
        <v>121422</v>
      </c>
      <c r="O860" s="13"/>
    </row>
    <row r="861" spans="1:15" ht="15" customHeight="1" x14ac:dyDescent="0.3">
      <c r="A861" s="218"/>
      <c r="B861" s="219"/>
      <c r="C861" s="71" t="s">
        <v>45</v>
      </c>
      <c r="D861" s="75">
        <f t="shared" ref="D861:J861" si="322">D813+D692+D654+D808+D788+D774+D755+D747+D738+D718+D704+D678+D671+D641+D635+D616+D606+D586+D571+D562+D534+D524+D501+D477+D460+D447+D428+D411+D393+D376+D367+D350+D328+D317+D308+D293+D281+D263+D231+D214+D190+D175+D154+D132+D112</f>
        <v>8296152</v>
      </c>
      <c r="E861" s="75">
        <f t="shared" si="322"/>
        <v>0</v>
      </c>
      <c r="F861" s="75">
        <f t="shared" si="322"/>
        <v>0</v>
      </c>
      <c r="G861" s="75">
        <f t="shared" si="322"/>
        <v>133423</v>
      </c>
      <c r="H861" s="75">
        <f t="shared" si="322"/>
        <v>0</v>
      </c>
      <c r="I861" s="75">
        <f t="shared" si="322"/>
        <v>0</v>
      </c>
      <c r="J861" s="75">
        <f t="shared" si="322"/>
        <v>0</v>
      </c>
      <c r="K861" s="75">
        <f t="shared" ref="K861:L861" si="323">K813+K692+K654+K808+K788+K774+K755+K747+K738+K718+K704+K678+K671+K641+K635+K616+K606+K586+K571+K562+K534+K524+K501+K477+K460+K447+K428+K411+K393+K376+K367+K350+K328+K317+K308+K293+K281+K263+K231+K214+K190+K175+K154+K132+K112</f>
        <v>0</v>
      </c>
      <c r="L861" s="75">
        <f t="shared" si="323"/>
        <v>0</v>
      </c>
      <c r="M861" s="75">
        <f t="shared" si="298"/>
        <v>8429575</v>
      </c>
      <c r="N861" s="75">
        <f>N813+N692+N654+N808+N788+N774+N755+N747+N738+N718+N704+N678+N671+N641+N635+N616+N606+N586+N571+N562+N534+N524+N501+N477+N460+N447+N428+N411+N393+N376+N367+N350+N328+N317+N308+N293+N281+N263+N231+N214+N190+N175+N154+N132+N112</f>
        <v>2818982</v>
      </c>
      <c r="O861" s="13"/>
    </row>
    <row r="862" spans="1:15" ht="15" customHeight="1" x14ac:dyDescent="0.3">
      <c r="A862" s="218"/>
      <c r="B862" s="219"/>
      <c r="C862" s="71" t="s">
        <v>146</v>
      </c>
      <c r="D862" s="71">
        <f t="shared" ref="D862:N862" si="324">D191</f>
        <v>0</v>
      </c>
      <c r="E862" s="71">
        <f t="shared" si="324"/>
        <v>0</v>
      </c>
      <c r="F862" s="71">
        <f t="shared" si="324"/>
        <v>0</v>
      </c>
      <c r="G862" s="71">
        <f t="shared" si="324"/>
        <v>0</v>
      </c>
      <c r="H862" s="71">
        <f t="shared" si="324"/>
        <v>0</v>
      </c>
      <c r="I862" s="71">
        <f t="shared" si="324"/>
        <v>0</v>
      </c>
      <c r="J862" s="71">
        <f t="shared" si="324"/>
        <v>0</v>
      </c>
      <c r="K862" s="71">
        <f t="shared" ref="K862:L862" si="325">K191</f>
        <v>0</v>
      </c>
      <c r="L862" s="71">
        <f t="shared" si="325"/>
        <v>0</v>
      </c>
      <c r="M862" s="76">
        <f t="shared" si="298"/>
        <v>0</v>
      </c>
      <c r="N862" s="76">
        <f t="shared" si="324"/>
        <v>0</v>
      </c>
      <c r="O862" s="13"/>
    </row>
    <row r="863" spans="1:15" ht="15" customHeight="1" x14ac:dyDescent="0.3">
      <c r="A863" s="218"/>
      <c r="B863" s="219"/>
      <c r="C863" s="71" t="s">
        <v>60</v>
      </c>
      <c r="D863" s="71">
        <f>D809+D775+D739+D705+D672+D636+D607+D563+D525+D502+D478+D448+D412+D351+D309+D282+D232+D215+D176+D155+D133</f>
        <v>867113</v>
      </c>
      <c r="E863" s="71">
        <f t="shared" ref="E863:N863" si="326">E809+E775+E739+E705+E672+E636+E607+E563+E525+E502+E478+E448+E412+E351+E309+E282+E232+E215+E176+E155+E133</f>
        <v>0</v>
      </c>
      <c r="F863" s="71">
        <f t="shared" si="326"/>
        <v>0</v>
      </c>
      <c r="G863" s="71">
        <f t="shared" si="326"/>
        <v>0</v>
      </c>
      <c r="H863" s="71">
        <f t="shared" si="326"/>
        <v>0</v>
      </c>
      <c r="I863" s="71">
        <f t="shared" si="326"/>
        <v>0</v>
      </c>
      <c r="J863" s="71">
        <f t="shared" si="326"/>
        <v>0</v>
      </c>
      <c r="K863" s="71">
        <f t="shared" ref="K863:L863" si="327">K809+K775+K739+K705+K672+K636+K607+K563+K525+K502+K478+K448+K412+K351+K309+K282+K232+K215+K176+K155+K133</f>
        <v>0</v>
      </c>
      <c r="L863" s="71">
        <f t="shared" si="327"/>
        <v>0</v>
      </c>
      <c r="M863" s="76">
        <f t="shared" si="298"/>
        <v>867113</v>
      </c>
      <c r="N863" s="72">
        <f t="shared" si="326"/>
        <v>5043</v>
      </c>
      <c r="O863" s="13"/>
    </row>
    <row r="864" spans="1:15" ht="15" customHeight="1" x14ac:dyDescent="0.3">
      <c r="A864" s="218"/>
      <c r="B864" s="219"/>
      <c r="C864" s="73" t="s">
        <v>46</v>
      </c>
      <c r="D864" s="73">
        <f>D812+D811+D813+D693+D810+D789+D776+D756+D748+D740+D719+D706+D679+D673+D655+D642+D637+D617+D608+D587+D564+D535+D526+D572+D503+D479+D461+D449+D429+D413+D394+D377+D368+D352+D329+D318+D310+D294+D283+D264+D233+D216+D192+D177+D156+D134+D113</f>
        <v>45552315</v>
      </c>
      <c r="E864" s="73">
        <f t="shared" ref="E864:L864" si="328">E812+E811+E813+E693+E810+E789+E776+E756+E748+E740+E719+E706+E679+E673+E655+E642+E637+E617+E608+E587+E564+E535+E526+E572+E503+E479+E461+E449+E429+E413+E394+E377+E368+E352+E329+E318+E310+E294+E283+E264+E233+E216+E192+E177+E156+E134+E113</f>
        <v>0</v>
      </c>
      <c r="F864" s="73">
        <f t="shared" si="328"/>
        <v>0</v>
      </c>
      <c r="G864" s="73">
        <f t="shared" si="328"/>
        <v>627580</v>
      </c>
      <c r="H864" s="73">
        <f t="shared" si="328"/>
        <v>0</v>
      </c>
      <c r="I864" s="73">
        <f t="shared" si="328"/>
        <v>0</v>
      </c>
      <c r="J864" s="73">
        <f t="shared" si="328"/>
        <v>0</v>
      </c>
      <c r="K864" s="73">
        <f t="shared" si="328"/>
        <v>0</v>
      </c>
      <c r="L864" s="73">
        <f t="shared" si="328"/>
        <v>0</v>
      </c>
      <c r="M864" s="73">
        <f t="shared" si="298"/>
        <v>46179895</v>
      </c>
      <c r="N864" s="73">
        <f>N812+N811+N813+N693+N810+N789+N776+N756+N748+N740+N719+N706+N679+N673+N655+N642+N637+N617+N608+N587+N564+N535+N526+N572+N503+N479+N461+N449+N429+N413+N394+N377+N368+N352+N329+N318+N310+N294+N283+N264+N233+N216+N192+N177+N156+N134+N113</f>
        <v>16443774</v>
      </c>
      <c r="O864" s="13"/>
    </row>
    <row r="865" spans="1:16" ht="15" customHeight="1" x14ac:dyDescent="0.3">
      <c r="A865" s="218"/>
      <c r="B865" s="219"/>
      <c r="C865" s="71" t="s">
        <v>67</v>
      </c>
      <c r="D865" s="71">
        <f>D793+D710+D612+D541+D507+D485+D453+D385+D287+D255</f>
        <v>0</v>
      </c>
      <c r="E865" s="71">
        <f>E793+E710+E612+E541+E507+E485+E453+E385+E287+E255</f>
        <v>0</v>
      </c>
      <c r="F865" s="71">
        <f t="shared" ref="F865:N865" si="329">F793+F710+F612+F541+F507+F485+F453+F385+F287+F255</f>
        <v>0</v>
      </c>
      <c r="G865" s="71">
        <f t="shared" si="329"/>
        <v>0</v>
      </c>
      <c r="H865" s="71">
        <f t="shared" si="329"/>
        <v>0</v>
      </c>
      <c r="I865" s="71">
        <f t="shared" si="329"/>
        <v>0</v>
      </c>
      <c r="J865" s="71">
        <f t="shared" si="329"/>
        <v>0</v>
      </c>
      <c r="K865" s="71">
        <f t="shared" ref="K865:L865" si="330">K793+K710+K612+K541+K507+K485+K453+K385+K287+K255</f>
        <v>0</v>
      </c>
      <c r="L865" s="71">
        <f t="shared" si="330"/>
        <v>0</v>
      </c>
      <c r="M865" s="71">
        <f t="shared" si="298"/>
        <v>0</v>
      </c>
      <c r="N865" s="72">
        <f t="shared" si="329"/>
        <v>0</v>
      </c>
      <c r="O865" s="13"/>
    </row>
    <row r="866" spans="1:16" ht="15" customHeight="1" x14ac:dyDescent="0.3">
      <c r="A866" s="218"/>
      <c r="B866" s="219"/>
      <c r="C866" s="71" t="s">
        <v>144</v>
      </c>
      <c r="D866" s="71">
        <f t="shared" ref="D866:N866" si="331">SUM(D217)</f>
        <v>0</v>
      </c>
      <c r="E866" s="71">
        <f t="shared" si="331"/>
        <v>0</v>
      </c>
      <c r="F866" s="71">
        <f t="shared" si="331"/>
        <v>0</v>
      </c>
      <c r="G866" s="71">
        <f t="shared" si="331"/>
        <v>0</v>
      </c>
      <c r="H866" s="71">
        <f t="shared" si="331"/>
        <v>0</v>
      </c>
      <c r="I866" s="71">
        <f t="shared" ref="I866" si="332">SUM(I217)</f>
        <v>0</v>
      </c>
      <c r="J866" s="71">
        <f t="shared" si="331"/>
        <v>0</v>
      </c>
      <c r="K866" s="71">
        <f t="shared" ref="K866:L866" si="333">SUM(K217)</f>
        <v>0</v>
      </c>
      <c r="L866" s="71">
        <f t="shared" si="333"/>
        <v>0</v>
      </c>
      <c r="M866" s="71">
        <f t="shared" si="298"/>
        <v>0</v>
      </c>
      <c r="N866" s="71">
        <f t="shared" si="331"/>
        <v>0</v>
      </c>
      <c r="O866" s="13"/>
    </row>
    <row r="867" spans="1:16" ht="15" customHeight="1" x14ac:dyDescent="0.3">
      <c r="A867" s="218"/>
      <c r="B867" s="219"/>
      <c r="C867" s="71" t="s">
        <v>112</v>
      </c>
      <c r="D867" s="71">
        <f t="shared" ref="D867:N867" si="334">D741+D565+D527+D414+D369+D311+D218</f>
        <v>100000</v>
      </c>
      <c r="E867" s="71">
        <f t="shared" si="334"/>
        <v>0</v>
      </c>
      <c r="F867" s="71">
        <f t="shared" si="334"/>
        <v>0</v>
      </c>
      <c r="G867" s="71">
        <f t="shared" si="334"/>
        <v>0</v>
      </c>
      <c r="H867" s="71">
        <f t="shared" si="334"/>
        <v>0</v>
      </c>
      <c r="I867" s="71">
        <f t="shared" si="334"/>
        <v>0</v>
      </c>
      <c r="J867" s="71">
        <f t="shared" si="334"/>
        <v>0</v>
      </c>
      <c r="K867" s="71">
        <f t="shared" ref="K867:L867" si="335">K741+K565+K527+K414+K369+K311+K218</f>
        <v>0</v>
      </c>
      <c r="L867" s="71">
        <f t="shared" si="335"/>
        <v>0</v>
      </c>
      <c r="M867" s="71">
        <f t="shared" si="298"/>
        <v>100000</v>
      </c>
      <c r="N867" s="71">
        <f t="shared" si="334"/>
        <v>0</v>
      </c>
      <c r="O867" s="13"/>
    </row>
    <row r="868" spans="1:16" ht="15" customHeight="1" x14ac:dyDescent="0.3">
      <c r="A868" s="218"/>
      <c r="B868" s="219"/>
      <c r="C868" s="71" t="s">
        <v>113</v>
      </c>
      <c r="D868" s="71">
        <f t="shared" ref="D868:N868" si="336">D742+D566+D528+D415+D370+D312+D219</f>
        <v>27000</v>
      </c>
      <c r="E868" s="71">
        <f t="shared" si="336"/>
        <v>0</v>
      </c>
      <c r="F868" s="71">
        <f t="shared" si="336"/>
        <v>0</v>
      </c>
      <c r="G868" s="71">
        <f t="shared" si="336"/>
        <v>0</v>
      </c>
      <c r="H868" s="71">
        <f t="shared" si="336"/>
        <v>0</v>
      </c>
      <c r="I868" s="71">
        <f t="shared" si="336"/>
        <v>0</v>
      </c>
      <c r="J868" s="71">
        <f t="shared" si="336"/>
        <v>0</v>
      </c>
      <c r="K868" s="71">
        <f t="shared" ref="K868:L868" si="337">K742+K566+K528+K415+K370+K312+K219</f>
        <v>0</v>
      </c>
      <c r="L868" s="71">
        <f t="shared" si="337"/>
        <v>0</v>
      </c>
      <c r="M868" s="71">
        <f t="shared" si="298"/>
        <v>27000</v>
      </c>
      <c r="N868" s="71">
        <f t="shared" si="336"/>
        <v>0</v>
      </c>
      <c r="O868" s="13"/>
    </row>
    <row r="869" spans="1:16" ht="15" customHeight="1" x14ac:dyDescent="0.3">
      <c r="A869" s="218"/>
      <c r="B869" s="219"/>
      <c r="C869" s="73" t="s">
        <v>114</v>
      </c>
      <c r="D869" s="73">
        <f t="shared" ref="D869" si="338">D742+D741+D566+D565+D528+D527+D415+D414+D370+D369+D312+D311+D219+D218+D217</f>
        <v>127000</v>
      </c>
      <c r="E869" s="73">
        <f>E742+E741+E566+E565+E528+E527+E415+E414+E370+E369+E312+E311+E219+E218+E217</f>
        <v>0</v>
      </c>
      <c r="F869" s="73">
        <f t="shared" ref="F869:N869" si="339">F742+F741+F566+F565+F528+F527+F415+F414+F370+F369+F312+F311+F219+F218+F217</f>
        <v>0</v>
      </c>
      <c r="G869" s="73">
        <f t="shared" si="339"/>
        <v>0</v>
      </c>
      <c r="H869" s="73">
        <f t="shared" si="339"/>
        <v>0</v>
      </c>
      <c r="I869" s="73">
        <f t="shared" si="339"/>
        <v>0</v>
      </c>
      <c r="J869" s="73">
        <f t="shared" si="339"/>
        <v>0</v>
      </c>
      <c r="K869" s="73">
        <f t="shared" ref="K869:L869" si="340">K742+K741+K566+K565+K528+K527+K415+K414+K370+K369+K312+K311+K219+K218+K217</f>
        <v>0</v>
      </c>
      <c r="L869" s="73">
        <f t="shared" si="340"/>
        <v>0</v>
      </c>
      <c r="M869" s="73">
        <f t="shared" si="298"/>
        <v>127000</v>
      </c>
      <c r="N869" s="74">
        <f t="shared" si="339"/>
        <v>0</v>
      </c>
      <c r="O869" s="13"/>
    </row>
    <row r="870" spans="1:16" ht="15" customHeight="1" x14ac:dyDescent="0.3">
      <c r="A870" s="218"/>
      <c r="B870" s="219"/>
      <c r="C870" s="77" t="s">
        <v>141</v>
      </c>
      <c r="D870" s="77">
        <f t="shared" ref="D870:J870" si="341">D816+D792+D751+D709+D682+D645+D611+D577+D540+D506+D484+D452+D419+D384+D321+D286+D254</f>
        <v>283817565</v>
      </c>
      <c r="E870" s="77">
        <f t="shared" si="341"/>
        <v>0</v>
      </c>
      <c r="F870" s="77">
        <f t="shared" si="341"/>
        <v>9936713</v>
      </c>
      <c r="G870" s="77">
        <f t="shared" si="341"/>
        <v>627580</v>
      </c>
      <c r="H870" s="77">
        <f t="shared" si="341"/>
        <v>0</v>
      </c>
      <c r="I870" s="77">
        <f t="shared" si="341"/>
        <v>0</v>
      </c>
      <c r="J870" s="77">
        <f t="shared" si="341"/>
        <v>0</v>
      </c>
      <c r="K870" s="77">
        <f t="shared" ref="K870:L870" si="342">K816+K792+K751+K709+K682+K645+K611+K577+K540+K506+K484+K452+K419+K384+K321+K286+K254</f>
        <v>0</v>
      </c>
      <c r="L870" s="77">
        <f t="shared" si="342"/>
        <v>0</v>
      </c>
      <c r="M870" s="77">
        <f t="shared" si="298"/>
        <v>294381858</v>
      </c>
      <c r="N870" s="78">
        <f>N816+N792+N751+N709+N682+N645+N611+N577+N540+N506+N484+N452+N419+N384+N321+N286+N254</f>
        <v>107958750</v>
      </c>
      <c r="O870" s="13"/>
    </row>
    <row r="871" spans="1:16" x14ac:dyDescent="0.3">
      <c r="B871" s="1"/>
      <c r="C871" s="13"/>
      <c r="O871" s="13"/>
    </row>
    <row r="872" spans="1:16" x14ac:dyDescent="0.3">
      <c r="B872" s="1"/>
      <c r="C872" s="13"/>
      <c r="O872" s="13"/>
    </row>
    <row r="873" spans="1:16" x14ac:dyDescent="0.3">
      <c r="A873" s="143" t="s">
        <v>157</v>
      </c>
      <c r="B873" s="143"/>
      <c r="C873" s="143"/>
      <c r="D873" s="143"/>
      <c r="E873" s="143"/>
      <c r="F873" s="143"/>
      <c r="G873"/>
      <c r="H873"/>
      <c r="I873"/>
      <c r="J873"/>
      <c r="K873"/>
      <c r="L873"/>
      <c r="M873" s="52"/>
      <c r="N873"/>
      <c r="O873"/>
      <c r="P873"/>
    </row>
    <row r="874" spans="1:16" x14ac:dyDescent="0.3">
      <c r="A874" s="144"/>
      <c r="B874" s="144"/>
      <c r="C874" s="144"/>
      <c r="D874" s="145"/>
      <c r="E874" s="145"/>
      <c r="F874" s="146"/>
      <c r="G874"/>
      <c r="H874"/>
      <c r="I874"/>
      <c r="J874"/>
      <c r="K874"/>
      <c r="L874"/>
      <c r="M874" s="52"/>
      <c r="N874"/>
      <c r="O874"/>
      <c r="P874"/>
    </row>
    <row r="875" spans="1:16" x14ac:dyDescent="0.3">
      <c r="A875" s="143" t="s">
        <v>158</v>
      </c>
      <c r="B875" s="143"/>
      <c r="C875" s="143"/>
      <c r="D875" s="143"/>
      <c r="E875" s="147"/>
      <c r="F875" s="146">
        <f>SUM(F8)</f>
        <v>9936713</v>
      </c>
      <c r="G875"/>
      <c r="H875"/>
      <c r="I875"/>
      <c r="J875"/>
      <c r="K875"/>
      <c r="L875"/>
      <c r="M875" s="52"/>
      <c r="N875"/>
      <c r="O875"/>
      <c r="P875"/>
    </row>
    <row r="876" spans="1:16" x14ac:dyDescent="0.3">
      <c r="A876" s="143" t="s">
        <v>179</v>
      </c>
      <c r="B876" s="143"/>
      <c r="C876" s="143"/>
      <c r="D876" s="143"/>
      <c r="E876" s="147"/>
      <c r="F876" s="146">
        <f>G8</f>
        <v>627580</v>
      </c>
      <c r="G876"/>
      <c r="H876"/>
      <c r="I876"/>
      <c r="J876"/>
      <c r="K876"/>
      <c r="L876"/>
      <c r="M876" s="52"/>
      <c r="N876"/>
      <c r="O876"/>
      <c r="P876"/>
    </row>
    <row r="877" spans="1:16" x14ac:dyDescent="0.3">
      <c r="A877" s="143" t="s">
        <v>160</v>
      </c>
      <c r="B877" s="143"/>
      <c r="C877" s="143"/>
      <c r="D877" s="143"/>
      <c r="E877" s="147"/>
      <c r="F877" s="146">
        <f>SUM(G26,G51,G76)</f>
        <v>0</v>
      </c>
      <c r="G877"/>
      <c r="H877"/>
      <c r="I877"/>
      <c r="J877"/>
      <c r="K877"/>
      <c r="L877"/>
      <c r="M877" s="52"/>
      <c r="N877"/>
      <c r="O877"/>
      <c r="P877"/>
    </row>
    <row r="878" spans="1:16" x14ac:dyDescent="0.3">
      <c r="A878" s="174" t="s">
        <v>161</v>
      </c>
      <c r="B878" s="174"/>
      <c r="C878" s="174"/>
      <c r="D878" s="174"/>
      <c r="E878" s="147"/>
      <c r="F878" s="146">
        <v>0</v>
      </c>
      <c r="G878"/>
      <c r="H878"/>
      <c r="I878"/>
      <c r="J878"/>
      <c r="K878"/>
      <c r="L878"/>
      <c r="M878" s="52"/>
      <c r="N878"/>
      <c r="O878"/>
      <c r="P878"/>
    </row>
    <row r="879" spans="1:16" x14ac:dyDescent="0.3">
      <c r="A879" s="174" t="s">
        <v>162</v>
      </c>
      <c r="B879" s="174"/>
      <c r="C879" s="174"/>
      <c r="D879" s="174"/>
      <c r="E879" s="147"/>
      <c r="F879" s="146">
        <v>0</v>
      </c>
      <c r="G879"/>
      <c r="H879"/>
      <c r="I879"/>
      <c r="J879"/>
      <c r="K879"/>
      <c r="L879"/>
      <c r="M879" s="52"/>
      <c r="N879"/>
      <c r="O879"/>
      <c r="P879"/>
    </row>
    <row r="880" spans="1:16" x14ac:dyDescent="0.3">
      <c r="A880" s="143" t="s">
        <v>163</v>
      </c>
      <c r="B880" s="143"/>
      <c r="C880" s="143"/>
      <c r="D880" s="143"/>
      <c r="E880" s="147"/>
      <c r="F880" s="146">
        <v>0</v>
      </c>
      <c r="G880"/>
      <c r="H880"/>
      <c r="I880"/>
      <c r="J880"/>
      <c r="K880"/>
      <c r="L880"/>
      <c r="M880" s="52"/>
      <c r="N880"/>
      <c r="O880"/>
      <c r="P880"/>
    </row>
    <row r="881" spans="1:16" x14ac:dyDescent="0.3">
      <c r="A881" s="147" t="s">
        <v>164</v>
      </c>
      <c r="B881" s="147"/>
      <c r="C881" s="147"/>
      <c r="D881" s="147"/>
      <c r="E881" s="147"/>
      <c r="F881" s="146">
        <v>0</v>
      </c>
      <c r="G881"/>
      <c r="H881"/>
      <c r="I881"/>
      <c r="J881"/>
      <c r="K881"/>
      <c r="L881"/>
      <c r="M881" s="52"/>
      <c r="N881"/>
      <c r="O881"/>
      <c r="P881"/>
    </row>
    <row r="882" spans="1:16" x14ac:dyDescent="0.3">
      <c r="A882" s="174" t="s">
        <v>165</v>
      </c>
      <c r="B882" s="174"/>
      <c r="C882" s="174"/>
      <c r="D882" s="174"/>
      <c r="E882" s="147"/>
      <c r="F882" s="146">
        <v>0</v>
      </c>
      <c r="G882"/>
      <c r="H882"/>
      <c r="I882"/>
      <c r="J882"/>
      <c r="K882"/>
      <c r="L882"/>
      <c r="M882" s="52"/>
      <c r="N882"/>
      <c r="O882"/>
      <c r="P882"/>
    </row>
    <row r="883" spans="1:16" x14ac:dyDescent="0.3">
      <c r="A883" s="148" t="s">
        <v>166</v>
      </c>
      <c r="B883" s="148"/>
      <c r="C883" s="148"/>
      <c r="D883" s="148"/>
      <c r="E883" s="148"/>
      <c r="F883" s="149">
        <v>0</v>
      </c>
      <c r="G883"/>
      <c r="H883"/>
      <c r="I883"/>
      <c r="J883"/>
      <c r="K883"/>
      <c r="L883"/>
      <c r="M883" s="52"/>
      <c r="N883"/>
      <c r="O883"/>
      <c r="P883"/>
    </row>
    <row r="884" spans="1:16" x14ac:dyDescent="0.3">
      <c r="A884" s="174" t="s">
        <v>167</v>
      </c>
      <c r="B884" s="174"/>
      <c r="C884" s="174"/>
      <c r="D884" s="174"/>
      <c r="E884" s="147"/>
      <c r="F884" s="146">
        <f>SUM(F875:F883)</f>
        <v>10564293</v>
      </c>
      <c r="G884"/>
      <c r="H884"/>
      <c r="I884"/>
      <c r="J884"/>
      <c r="K884"/>
      <c r="L884"/>
      <c r="M884" s="52"/>
      <c r="N884"/>
      <c r="O884"/>
      <c r="P884"/>
    </row>
    <row r="885" spans="1:16" x14ac:dyDescent="0.3">
      <c r="A885" s="173"/>
      <c r="B885" s="173"/>
      <c r="C885" s="173"/>
      <c r="D885" s="173"/>
      <c r="E885" s="173"/>
      <c r="F885" s="173"/>
      <c r="G885"/>
      <c r="H885"/>
      <c r="I885"/>
      <c r="J885"/>
      <c r="K885"/>
      <c r="L885"/>
      <c r="M885" s="52"/>
      <c r="N885"/>
      <c r="O885"/>
      <c r="P885"/>
    </row>
    <row r="886" spans="1:16" x14ac:dyDescent="0.3">
      <c r="A886" s="173"/>
      <c r="B886" s="173"/>
      <c r="C886" s="173"/>
      <c r="D886" s="173"/>
      <c r="E886" s="173"/>
      <c r="F886" s="173"/>
      <c r="G886"/>
      <c r="H886"/>
      <c r="I886"/>
      <c r="J886"/>
      <c r="K886"/>
      <c r="L886"/>
      <c r="M886" s="52"/>
      <c r="N886"/>
      <c r="O886"/>
      <c r="P886"/>
    </row>
    <row r="887" spans="1:16" x14ac:dyDescent="0.3">
      <c r="A887" s="173"/>
      <c r="B887" s="173"/>
      <c r="C887" s="173"/>
      <c r="D887" s="173"/>
      <c r="E887" s="173"/>
      <c r="F887" s="173"/>
      <c r="G887"/>
      <c r="H887"/>
      <c r="I887"/>
      <c r="J887"/>
      <c r="K887"/>
      <c r="L887"/>
      <c r="M887" s="52"/>
      <c r="N887"/>
      <c r="O887"/>
      <c r="P887"/>
    </row>
    <row r="888" spans="1:16" x14ac:dyDescent="0.3">
      <c r="A888" s="174" t="s">
        <v>168</v>
      </c>
      <c r="B888" s="174"/>
      <c r="C888" s="174"/>
      <c r="D888" s="174"/>
      <c r="E888" s="174"/>
      <c r="F888" s="174"/>
      <c r="G888"/>
      <c r="H888"/>
      <c r="I888"/>
      <c r="J888"/>
      <c r="K888"/>
      <c r="L888"/>
      <c r="M888" s="52"/>
      <c r="N888"/>
      <c r="O888"/>
      <c r="P888"/>
    </row>
    <row r="889" spans="1:16" x14ac:dyDescent="0.3">
      <c r="A889" s="173"/>
      <c r="B889" s="173"/>
      <c r="C889" s="173"/>
      <c r="D889" s="173"/>
      <c r="E889" s="173"/>
      <c r="F889" s="173"/>
      <c r="G889"/>
      <c r="H889"/>
      <c r="I889"/>
      <c r="J889"/>
      <c r="K889"/>
      <c r="L889"/>
      <c r="M889" s="52"/>
      <c r="N889"/>
      <c r="O889"/>
      <c r="P889"/>
    </row>
    <row r="890" spans="1:16" x14ac:dyDescent="0.3">
      <c r="A890" s="174" t="s">
        <v>169</v>
      </c>
      <c r="B890" s="174"/>
      <c r="C890" s="174"/>
      <c r="D890" s="174"/>
      <c r="E890" s="147"/>
      <c r="F890" s="146">
        <v>0</v>
      </c>
      <c r="G890"/>
      <c r="H890"/>
      <c r="I890"/>
      <c r="J890"/>
      <c r="K890"/>
      <c r="L890"/>
      <c r="M890" s="52"/>
      <c r="N890"/>
      <c r="O890"/>
      <c r="P890"/>
    </row>
    <row r="891" spans="1:16" x14ac:dyDescent="0.3">
      <c r="A891" s="147" t="s">
        <v>170</v>
      </c>
      <c r="B891" s="147"/>
      <c r="C891" s="147"/>
      <c r="D891" s="147"/>
      <c r="E891" s="147"/>
      <c r="F891" s="146">
        <v>0</v>
      </c>
      <c r="G891"/>
      <c r="H891"/>
      <c r="I891"/>
      <c r="J891"/>
      <c r="K891"/>
      <c r="L891"/>
      <c r="M891" s="52"/>
      <c r="N891"/>
      <c r="O891"/>
      <c r="P891"/>
    </row>
    <row r="892" spans="1:16" x14ac:dyDescent="0.3">
      <c r="A892" s="174" t="s">
        <v>171</v>
      </c>
      <c r="B892" s="174"/>
      <c r="C892" s="174"/>
      <c r="D892" s="174"/>
      <c r="E892" s="147"/>
      <c r="F892" s="146">
        <f>SUM(F234,F236,F238,F240,F242,F284,F319,F378,F380,F417,F450,F480,F504,F536,F573,F609,F643,F680,F749,F790,F814)</f>
        <v>8610794</v>
      </c>
      <c r="G892"/>
      <c r="H892"/>
      <c r="I892"/>
      <c r="J892"/>
      <c r="K892"/>
      <c r="L892"/>
      <c r="M892" s="52"/>
      <c r="N892"/>
      <c r="O892"/>
      <c r="P892"/>
    </row>
    <row r="893" spans="1:16" x14ac:dyDescent="0.3">
      <c r="A893" s="174" t="s">
        <v>172</v>
      </c>
      <c r="B893" s="174"/>
      <c r="C893" s="174"/>
      <c r="D893" s="174"/>
      <c r="E893" s="147"/>
      <c r="F893" s="146">
        <f>SUM(F235,F237,F239,F241,F243,F285,F320,F379,F381,F418,F451,F481,F505,F537,F574,F610,F644,F681,F750,F791,F815)</f>
        <v>1325919</v>
      </c>
      <c r="G893"/>
      <c r="H893"/>
      <c r="I893"/>
      <c r="J893"/>
      <c r="K893"/>
      <c r="L893"/>
      <c r="M893" s="52"/>
      <c r="N893"/>
      <c r="O893"/>
      <c r="P893"/>
    </row>
    <row r="894" spans="1:16" x14ac:dyDescent="0.3">
      <c r="A894" s="174" t="s">
        <v>173</v>
      </c>
      <c r="B894" s="174"/>
      <c r="C894" s="174"/>
      <c r="D894" s="174"/>
      <c r="E894" s="147"/>
      <c r="F894" s="169">
        <f>SUM(G177,G413,G673,G479,G283)</f>
        <v>627580</v>
      </c>
      <c r="G894"/>
      <c r="H894"/>
      <c r="I894"/>
      <c r="J894"/>
      <c r="K894"/>
      <c r="L894"/>
      <c r="M894" s="52"/>
      <c r="N894"/>
      <c r="O894"/>
      <c r="P894"/>
    </row>
    <row r="895" spans="1:16" x14ac:dyDescent="0.3">
      <c r="A895" s="147" t="s">
        <v>174</v>
      </c>
      <c r="B895" s="147"/>
      <c r="C895" s="147"/>
      <c r="D895" s="147"/>
      <c r="E895" s="147"/>
      <c r="F895" s="146">
        <v>0</v>
      </c>
      <c r="G895"/>
      <c r="H895"/>
      <c r="I895"/>
      <c r="J895"/>
      <c r="K895"/>
      <c r="L895"/>
      <c r="M895" s="52"/>
      <c r="N895"/>
      <c r="O895"/>
      <c r="P895"/>
    </row>
    <row r="896" spans="1:16" x14ac:dyDescent="0.3">
      <c r="A896" s="147" t="s">
        <v>175</v>
      </c>
      <c r="B896" s="147"/>
      <c r="C896" s="147"/>
      <c r="D896" s="147"/>
      <c r="E896" s="147"/>
      <c r="F896" s="146">
        <v>0</v>
      </c>
      <c r="G896"/>
      <c r="H896"/>
      <c r="I896"/>
      <c r="J896"/>
      <c r="K896"/>
      <c r="L896"/>
      <c r="M896" s="52"/>
      <c r="N896"/>
      <c r="O896"/>
      <c r="P896"/>
    </row>
    <row r="897" spans="1:16" x14ac:dyDescent="0.3">
      <c r="A897" s="150" t="s">
        <v>176</v>
      </c>
      <c r="B897" s="150"/>
      <c r="C897" s="150"/>
      <c r="D897" s="151"/>
      <c r="E897" s="151"/>
      <c r="F897" s="152">
        <v>0</v>
      </c>
      <c r="G897"/>
      <c r="H897"/>
      <c r="I897"/>
      <c r="J897"/>
      <c r="K897"/>
      <c r="L897"/>
      <c r="M897" s="52"/>
      <c r="N897"/>
      <c r="O897"/>
      <c r="P897"/>
    </row>
    <row r="898" spans="1:16" x14ac:dyDescent="0.3">
      <c r="A898" s="175" t="s">
        <v>167</v>
      </c>
      <c r="B898" s="175"/>
      <c r="C898" s="175"/>
      <c r="D898" s="175"/>
      <c r="E898" s="147"/>
      <c r="F898" s="146">
        <f>SUM(F890:F897)</f>
        <v>10564293</v>
      </c>
      <c r="G898"/>
      <c r="H898"/>
      <c r="I898"/>
      <c r="J898"/>
      <c r="K898"/>
      <c r="L898"/>
      <c r="M898" s="52"/>
      <c r="N898"/>
      <c r="O898"/>
      <c r="P898"/>
    </row>
    <row r="899" spans="1:16" x14ac:dyDescent="0.3">
      <c r="A899" s="147"/>
      <c r="B899" s="143"/>
      <c r="C899" s="153"/>
      <c r="D899" s="145"/>
      <c r="E899" s="145"/>
      <c r="F899" s="146"/>
      <c r="G899"/>
      <c r="H899"/>
      <c r="I899"/>
      <c r="J899"/>
      <c r="K899"/>
      <c r="L899"/>
      <c r="M899" s="52"/>
      <c r="N899"/>
      <c r="O899"/>
      <c r="P899"/>
    </row>
    <row r="900" spans="1:16" x14ac:dyDescent="0.3">
      <c r="A900" s="174" t="s">
        <v>177</v>
      </c>
      <c r="B900" s="174"/>
      <c r="C900" s="174"/>
      <c r="D900" s="174"/>
      <c r="E900" s="174"/>
      <c r="F900" s="174"/>
      <c r="G900"/>
      <c r="H900"/>
      <c r="I900"/>
      <c r="J900"/>
      <c r="K900"/>
      <c r="L900"/>
      <c r="M900" s="52"/>
      <c r="N900"/>
      <c r="O900"/>
      <c r="P900"/>
    </row>
    <row r="901" spans="1:16" x14ac:dyDescent="0.3">
      <c r="A901" s="144"/>
      <c r="B901" s="144"/>
      <c r="C901" s="144"/>
      <c r="D901" s="145"/>
      <c r="E901" s="145"/>
      <c r="F901" s="146"/>
      <c r="G901"/>
      <c r="H901"/>
      <c r="I901"/>
      <c r="J901"/>
      <c r="K901"/>
      <c r="L901"/>
      <c r="M901" s="52"/>
      <c r="N901"/>
      <c r="O901"/>
      <c r="P901"/>
    </row>
    <row r="902" spans="1:16" x14ac:dyDescent="0.3">
      <c r="A902" s="143" t="s">
        <v>178</v>
      </c>
      <c r="B902" s="143"/>
      <c r="C902" s="143"/>
      <c r="D902" s="143"/>
      <c r="E902" s="147"/>
      <c r="F902" s="146">
        <v>0</v>
      </c>
      <c r="G902"/>
      <c r="H902"/>
      <c r="I902"/>
      <c r="J902"/>
      <c r="K902"/>
      <c r="L902"/>
      <c r="M902" s="52"/>
      <c r="N902"/>
      <c r="O902"/>
      <c r="P902"/>
    </row>
    <row r="903" spans="1:16" x14ac:dyDescent="0.3">
      <c r="A903" s="174" t="s">
        <v>179</v>
      </c>
      <c r="B903" s="174"/>
      <c r="C903" s="174"/>
      <c r="D903" s="174"/>
      <c r="E903" s="147"/>
      <c r="F903" s="146">
        <v>0</v>
      </c>
      <c r="G903"/>
      <c r="H903"/>
      <c r="I903"/>
      <c r="J903"/>
      <c r="K903"/>
      <c r="L903"/>
      <c r="M903" s="52"/>
      <c r="N903"/>
      <c r="O903"/>
      <c r="P903"/>
    </row>
    <row r="904" spans="1:16" x14ac:dyDescent="0.3">
      <c r="A904" s="143" t="s">
        <v>160</v>
      </c>
      <c r="B904" s="147"/>
      <c r="C904" s="147"/>
      <c r="D904" s="147"/>
      <c r="E904" s="147"/>
      <c r="F904" s="146">
        <v>0</v>
      </c>
      <c r="G904"/>
      <c r="H904"/>
      <c r="I904"/>
      <c r="J904"/>
      <c r="K904"/>
      <c r="L904"/>
      <c r="M904" s="52"/>
      <c r="N904"/>
      <c r="O904"/>
      <c r="P904"/>
    </row>
    <row r="905" spans="1:16" x14ac:dyDescent="0.3">
      <c r="A905" s="174" t="s">
        <v>180</v>
      </c>
      <c r="B905" s="174"/>
      <c r="C905" s="174"/>
      <c r="D905" s="174"/>
      <c r="E905" s="147"/>
      <c r="F905" s="146">
        <v>0</v>
      </c>
      <c r="G905"/>
      <c r="H905"/>
      <c r="I905"/>
      <c r="J905"/>
      <c r="K905"/>
      <c r="L905"/>
      <c r="M905" s="52"/>
      <c r="N905"/>
      <c r="O905"/>
      <c r="P905"/>
    </row>
    <row r="906" spans="1:16" x14ac:dyDescent="0.3">
      <c r="A906" s="174" t="s">
        <v>181</v>
      </c>
      <c r="B906" s="174"/>
      <c r="C906" s="174"/>
      <c r="D906" s="174"/>
      <c r="E906" s="147"/>
      <c r="F906" s="146">
        <v>0</v>
      </c>
      <c r="G906"/>
      <c r="H906"/>
      <c r="I906"/>
      <c r="J906"/>
      <c r="K906"/>
      <c r="L906"/>
      <c r="M906" s="52"/>
      <c r="N906"/>
      <c r="O906"/>
      <c r="P906"/>
    </row>
    <row r="907" spans="1:16" x14ac:dyDescent="0.3">
      <c r="A907" s="143" t="s">
        <v>182</v>
      </c>
      <c r="B907" s="143"/>
      <c r="C907" s="143"/>
      <c r="D907" s="143"/>
      <c r="E907" s="147"/>
      <c r="F907" s="146">
        <v>0</v>
      </c>
      <c r="G907"/>
      <c r="H907"/>
      <c r="I907"/>
      <c r="J907"/>
      <c r="K907"/>
      <c r="L907"/>
      <c r="M907" s="52"/>
      <c r="N907"/>
      <c r="O907"/>
      <c r="P907"/>
    </row>
    <row r="908" spans="1:16" x14ac:dyDescent="0.3">
      <c r="A908" s="147" t="s">
        <v>164</v>
      </c>
      <c r="B908" s="147"/>
      <c r="C908" s="147"/>
      <c r="D908" s="147"/>
      <c r="E908" s="147"/>
      <c r="F908" s="146">
        <v>0</v>
      </c>
      <c r="G908"/>
      <c r="H908"/>
      <c r="I908"/>
      <c r="J908"/>
      <c r="K908"/>
      <c r="L908"/>
      <c r="M908" s="52"/>
      <c r="N908"/>
      <c r="O908"/>
      <c r="P908"/>
    </row>
    <row r="909" spans="1:16" x14ac:dyDescent="0.3">
      <c r="A909" s="176" t="s">
        <v>165</v>
      </c>
      <c r="B909" s="176"/>
      <c r="C909" s="176"/>
      <c r="D909" s="176"/>
      <c r="E909" s="148"/>
      <c r="F909" s="149">
        <v>0</v>
      </c>
      <c r="G909"/>
      <c r="H909"/>
      <c r="I909"/>
      <c r="J909"/>
      <c r="K909"/>
      <c r="L909"/>
      <c r="M909" s="52"/>
      <c r="N909"/>
      <c r="O909"/>
      <c r="P909"/>
    </row>
    <row r="910" spans="1:16" x14ac:dyDescent="0.3">
      <c r="A910" s="175" t="s">
        <v>167</v>
      </c>
      <c r="B910" s="175"/>
      <c r="C910" s="175"/>
      <c r="D910" s="175"/>
      <c r="E910" s="147"/>
      <c r="F910" s="146">
        <f>SUM(F902:F909)</f>
        <v>0</v>
      </c>
      <c r="G910"/>
      <c r="H910"/>
      <c r="I910"/>
      <c r="J910"/>
      <c r="K910"/>
      <c r="L910"/>
      <c r="M910" s="52"/>
      <c r="N910"/>
      <c r="O910"/>
      <c r="P910"/>
    </row>
    <row r="911" spans="1:16" x14ac:dyDescent="0.3">
      <c r="A911" s="173"/>
      <c r="B911" s="173"/>
      <c r="C911" s="173"/>
      <c r="D911" s="173"/>
      <c r="E911" s="173"/>
      <c r="F911" s="173"/>
      <c r="G911"/>
      <c r="H911"/>
      <c r="I911"/>
      <c r="J911"/>
      <c r="K911"/>
      <c r="L911"/>
      <c r="M911" s="52"/>
      <c r="N911"/>
      <c r="O911"/>
      <c r="P911"/>
    </row>
    <row r="912" spans="1:16" x14ac:dyDescent="0.3">
      <c r="A912" s="173"/>
      <c r="B912" s="173"/>
      <c r="C912" s="173"/>
      <c r="D912" s="173"/>
      <c r="E912" s="173"/>
      <c r="F912" s="173"/>
      <c r="G912"/>
      <c r="H912"/>
      <c r="I912"/>
      <c r="J912"/>
      <c r="K912"/>
      <c r="L912"/>
      <c r="M912" s="52"/>
      <c r="N912"/>
      <c r="O912"/>
      <c r="P912"/>
    </row>
    <row r="913" spans="1:16" x14ac:dyDescent="0.3">
      <c r="A913" s="173"/>
      <c r="B913" s="173"/>
      <c r="C913" s="173"/>
      <c r="D913" s="173"/>
      <c r="E913" s="173"/>
      <c r="F913" s="173"/>
      <c r="G913"/>
      <c r="H913"/>
      <c r="I913"/>
      <c r="J913"/>
      <c r="K913"/>
      <c r="L913"/>
      <c r="M913" s="52"/>
      <c r="N913"/>
      <c r="O913"/>
      <c r="P913"/>
    </row>
    <row r="914" spans="1:16" x14ac:dyDescent="0.3">
      <c r="A914" s="174" t="s">
        <v>183</v>
      </c>
      <c r="B914" s="174"/>
      <c r="C914" s="174"/>
      <c r="D914" s="174"/>
      <c r="E914" s="174"/>
      <c r="F914" s="174"/>
      <c r="G914"/>
      <c r="H914"/>
      <c r="I914"/>
      <c r="J914"/>
      <c r="K914"/>
      <c r="L914"/>
      <c r="M914" s="52"/>
      <c r="N914"/>
      <c r="O914"/>
      <c r="P914"/>
    </row>
    <row r="915" spans="1:16" x14ac:dyDescent="0.3">
      <c r="A915" s="173"/>
      <c r="B915" s="173"/>
      <c r="C915" s="173"/>
      <c r="D915" s="173"/>
      <c r="E915" s="173"/>
      <c r="F915" s="173"/>
      <c r="G915"/>
      <c r="H915"/>
      <c r="I915"/>
      <c r="J915"/>
      <c r="K915"/>
      <c r="L915"/>
      <c r="M915" s="52"/>
      <c r="N915"/>
      <c r="O915"/>
      <c r="P915"/>
    </row>
    <row r="916" spans="1:16" x14ac:dyDescent="0.3">
      <c r="A916" s="174" t="s">
        <v>169</v>
      </c>
      <c r="B916" s="174"/>
      <c r="C916" s="174"/>
      <c r="D916" s="174"/>
      <c r="E916" s="147"/>
      <c r="F916" s="146">
        <v>0</v>
      </c>
      <c r="G916"/>
      <c r="H916"/>
      <c r="I916"/>
      <c r="J916"/>
      <c r="K916"/>
      <c r="L916"/>
      <c r="M916" s="52"/>
      <c r="N916"/>
      <c r="O916"/>
      <c r="P916"/>
    </row>
    <row r="917" spans="1:16" x14ac:dyDescent="0.3">
      <c r="A917" s="147" t="s">
        <v>170</v>
      </c>
      <c r="B917" s="147"/>
      <c r="C917" s="147"/>
      <c r="D917" s="147"/>
      <c r="E917" s="147"/>
      <c r="F917" s="146">
        <v>0</v>
      </c>
      <c r="G917"/>
      <c r="H917"/>
      <c r="I917"/>
      <c r="J917"/>
      <c r="K917"/>
      <c r="L917"/>
      <c r="M917" s="52"/>
      <c r="N917"/>
      <c r="O917"/>
      <c r="P917"/>
    </row>
    <row r="918" spans="1:16" x14ac:dyDescent="0.3">
      <c r="A918" s="174" t="s">
        <v>171</v>
      </c>
      <c r="B918" s="174"/>
      <c r="C918" s="174"/>
      <c r="D918" s="174"/>
      <c r="E918" s="147"/>
      <c r="F918" s="146">
        <v>0</v>
      </c>
      <c r="G918"/>
      <c r="H918"/>
      <c r="I918"/>
      <c r="J918"/>
      <c r="K918"/>
      <c r="L918"/>
      <c r="M918" s="52"/>
      <c r="N918"/>
      <c r="O918"/>
      <c r="P918"/>
    </row>
    <row r="919" spans="1:16" x14ac:dyDescent="0.3">
      <c r="A919" s="174" t="s">
        <v>172</v>
      </c>
      <c r="B919" s="174"/>
      <c r="C919" s="174"/>
      <c r="D919" s="174"/>
      <c r="E919" s="147"/>
      <c r="F919" s="146">
        <v>0</v>
      </c>
      <c r="G919"/>
      <c r="H919"/>
      <c r="I919"/>
      <c r="J919"/>
      <c r="K919"/>
      <c r="L919"/>
      <c r="M919" s="52"/>
      <c r="N919"/>
      <c r="O919"/>
      <c r="P919"/>
    </row>
    <row r="920" spans="1:16" x14ac:dyDescent="0.3">
      <c r="A920" s="174" t="s">
        <v>173</v>
      </c>
      <c r="B920" s="174"/>
      <c r="C920" s="174"/>
      <c r="D920" s="174"/>
      <c r="E920" s="147"/>
      <c r="F920" s="146">
        <v>0</v>
      </c>
      <c r="G920"/>
      <c r="H920"/>
      <c r="I920"/>
      <c r="J920"/>
      <c r="K920"/>
      <c r="L920"/>
      <c r="M920" s="52"/>
      <c r="N920"/>
      <c r="O920"/>
      <c r="P920"/>
    </row>
    <row r="921" spans="1:16" x14ac:dyDescent="0.3">
      <c r="A921" s="147" t="s">
        <v>184</v>
      </c>
      <c r="B921" s="147"/>
      <c r="C921" s="147"/>
      <c r="D921" s="147"/>
      <c r="E921" s="147"/>
      <c r="F921" s="146">
        <v>0</v>
      </c>
      <c r="G921"/>
      <c r="H921"/>
      <c r="I921"/>
      <c r="J921"/>
      <c r="K921"/>
      <c r="L921"/>
      <c r="M921" s="52"/>
      <c r="N921"/>
      <c r="O921"/>
      <c r="P921"/>
    </row>
    <row r="922" spans="1:16" x14ac:dyDescent="0.3">
      <c r="A922" s="147" t="s">
        <v>185</v>
      </c>
      <c r="B922" s="147"/>
      <c r="C922" s="147"/>
      <c r="D922" s="147"/>
      <c r="E922" s="147"/>
      <c r="F922" s="146">
        <v>0</v>
      </c>
      <c r="G922"/>
      <c r="H922"/>
      <c r="I922"/>
      <c r="J922"/>
      <c r="K922"/>
      <c r="L922"/>
      <c r="M922" s="52"/>
      <c r="N922"/>
      <c r="O922"/>
      <c r="P922"/>
    </row>
    <row r="923" spans="1:16" x14ac:dyDescent="0.3">
      <c r="A923" s="150" t="s">
        <v>176</v>
      </c>
      <c r="B923" s="150"/>
      <c r="C923" s="150"/>
      <c r="D923" s="151"/>
      <c r="E923" s="151"/>
      <c r="F923" s="152">
        <v>0</v>
      </c>
      <c r="G923"/>
      <c r="H923"/>
      <c r="I923"/>
      <c r="J923"/>
      <c r="K923"/>
      <c r="L923"/>
      <c r="M923" s="52"/>
      <c r="N923"/>
      <c r="O923"/>
      <c r="P923"/>
    </row>
    <row r="924" spans="1:16" x14ac:dyDescent="0.3">
      <c r="A924" s="175" t="s">
        <v>167</v>
      </c>
      <c r="B924" s="175"/>
      <c r="C924" s="175"/>
      <c r="D924" s="175"/>
      <c r="E924" s="147"/>
      <c r="F924" s="146">
        <f>SUM(F916:F923)</f>
        <v>0</v>
      </c>
      <c r="G924"/>
      <c r="H924"/>
      <c r="I924"/>
      <c r="J924"/>
      <c r="K924"/>
      <c r="L924"/>
      <c r="M924" s="52"/>
      <c r="N924"/>
      <c r="O924"/>
      <c r="P924"/>
    </row>
    <row r="925" spans="1:16" x14ac:dyDescent="0.3">
      <c r="A925" s="154"/>
      <c r="B925" s="155"/>
      <c r="C925" s="156"/>
      <c r="D925" s="157"/>
      <c r="E925" s="157"/>
      <c r="F925" s="158"/>
      <c r="G925"/>
      <c r="H925"/>
      <c r="I925"/>
      <c r="J925"/>
      <c r="K925"/>
      <c r="L925"/>
      <c r="M925" s="52"/>
      <c r="N925"/>
      <c r="O925"/>
      <c r="P925"/>
    </row>
    <row r="926" spans="1:16" x14ac:dyDescent="0.3">
      <c r="A926" s="154"/>
      <c r="B926" s="155"/>
      <c r="C926" s="156"/>
      <c r="D926" s="157"/>
      <c r="E926" s="157"/>
      <c r="F926" s="158"/>
      <c r="G926"/>
      <c r="H926"/>
      <c r="I926"/>
      <c r="J926"/>
      <c r="K926"/>
      <c r="L926"/>
      <c r="M926" s="52"/>
      <c r="N926"/>
      <c r="O926"/>
      <c r="P926"/>
    </row>
    <row r="927" spans="1:16" x14ac:dyDescent="0.3">
      <c r="A927" s="170" t="s">
        <v>186</v>
      </c>
      <c r="B927" s="170"/>
      <c r="C927" s="170"/>
      <c r="D927" s="170"/>
      <c r="E927" s="170"/>
      <c r="F927" s="170"/>
      <c r="G927"/>
      <c r="H927"/>
      <c r="I927"/>
      <c r="J927"/>
      <c r="K927"/>
      <c r="L927"/>
      <c r="M927" s="52"/>
      <c r="N927"/>
      <c r="O927"/>
      <c r="P927"/>
    </row>
    <row r="928" spans="1:16" x14ac:dyDescent="0.3">
      <c r="A928" s="172"/>
      <c r="B928" s="172"/>
      <c r="C928" s="172"/>
      <c r="D928" s="172"/>
      <c r="E928" s="172"/>
      <c r="F928" s="172"/>
      <c r="G928"/>
      <c r="H928"/>
      <c r="I928"/>
      <c r="J928"/>
      <c r="K928"/>
      <c r="L928"/>
      <c r="M928" s="52"/>
      <c r="N928"/>
      <c r="O928"/>
      <c r="P928"/>
    </row>
    <row r="929" spans="1:16" x14ac:dyDescent="0.3">
      <c r="A929" s="159"/>
      <c r="B929" s="159"/>
      <c r="C929" s="159"/>
      <c r="D929" s="160"/>
      <c r="E929" s="160"/>
      <c r="F929" s="161"/>
      <c r="G929"/>
      <c r="H929"/>
      <c r="I929"/>
      <c r="J929"/>
      <c r="K929"/>
      <c r="L929"/>
      <c r="M929" s="52"/>
      <c r="N929"/>
      <c r="O929"/>
      <c r="P929"/>
    </row>
    <row r="930" spans="1:16" x14ac:dyDescent="0.3">
      <c r="A930" s="162" t="s">
        <v>187</v>
      </c>
      <c r="B930" s="163"/>
      <c r="C930" s="163"/>
      <c r="D930" s="163"/>
      <c r="E930" s="163"/>
      <c r="F930" s="161">
        <f>SUM(F875,F902)</f>
        <v>9936713</v>
      </c>
      <c r="G930"/>
      <c r="H930"/>
      <c r="I930"/>
      <c r="J930"/>
      <c r="K930"/>
      <c r="L930"/>
      <c r="M930" s="52"/>
      <c r="N930"/>
      <c r="O930"/>
      <c r="P930"/>
    </row>
    <row r="931" spans="1:16" x14ac:dyDescent="0.3">
      <c r="A931" s="162" t="s">
        <v>159</v>
      </c>
      <c r="B931" s="163"/>
      <c r="C931" s="163"/>
      <c r="D931" s="163"/>
      <c r="E931" s="162"/>
      <c r="F931" s="161">
        <f>SUM(F876,F903)</f>
        <v>627580</v>
      </c>
      <c r="G931"/>
      <c r="H931"/>
      <c r="I931"/>
      <c r="J931"/>
      <c r="K931"/>
      <c r="L931"/>
      <c r="M931" s="52"/>
      <c r="N931"/>
      <c r="O931"/>
      <c r="P931"/>
    </row>
    <row r="932" spans="1:16" x14ac:dyDescent="0.3">
      <c r="A932" s="170" t="s">
        <v>188</v>
      </c>
      <c r="B932" s="170"/>
      <c r="C932" s="170"/>
      <c r="D932" s="170"/>
      <c r="E932" s="162"/>
      <c r="F932" s="161">
        <f>SUM(F877,F904)</f>
        <v>0</v>
      </c>
      <c r="G932"/>
      <c r="H932"/>
      <c r="I932"/>
      <c r="J932"/>
      <c r="K932"/>
      <c r="L932"/>
      <c r="M932" s="52"/>
      <c r="N932"/>
      <c r="O932"/>
      <c r="P932"/>
    </row>
    <row r="933" spans="1:16" x14ac:dyDescent="0.3">
      <c r="A933" s="170" t="s">
        <v>189</v>
      </c>
      <c r="B933" s="170"/>
      <c r="C933" s="170"/>
      <c r="D933" s="170"/>
      <c r="E933" s="162"/>
      <c r="F933" s="161">
        <f>F878+F905</f>
        <v>0</v>
      </c>
      <c r="G933"/>
      <c r="H933"/>
      <c r="I933"/>
      <c r="J933"/>
      <c r="K933"/>
      <c r="L933"/>
      <c r="M933" s="52"/>
      <c r="N933"/>
      <c r="O933"/>
      <c r="P933"/>
    </row>
    <row r="934" spans="1:16" x14ac:dyDescent="0.3">
      <c r="A934" s="170" t="s">
        <v>190</v>
      </c>
      <c r="B934" s="170"/>
      <c r="C934" s="170"/>
      <c r="D934" s="170"/>
      <c r="E934" s="162"/>
      <c r="F934" s="161">
        <f>F879+F906</f>
        <v>0</v>
      </c>
      <c r="G934"/>
      <c r="H934"/>
      <c r="I934"/>
      <c r="J934"/>
      <c r="K934"/>
      <c r="L934"/>
      <c r="M934" s="52"/>
      <c r="N934"/>
      <c r="O934"/>
      <c r="P934"/>
    </row>
    <row r="935" spans="1:16" x14ac:dyDescent="0.3">
      <c r="A935" s="163" t="s">
        <v>182</v>
      </c>
      <c r="B935" s="163"/>
      <c r="C935" s="163"/>
      <c r="D935" s="163"/>
      <c r="E935" s="162"/>
      <c r="F935" s="161">
        <f>SUM(F907,F880)</f>
        <v>0</v>
      </c>
      <c r="G935"/>
      <c r="H935"/>
      <c r="I935"/>
      <c r="J935"/>
      <c r="K935"/>
      <c r="L935"/>
      <c r="M935" s="52"/>
      <c r="N935"/>
      <c r="O935"/>
      <c r="P935"/>
    </row>
    <row r="936" spans="1:16" x14ac:dyDescent="0.3">
      <c r="A936" s="162" t="s">
        <v>164</v>
      </c>
      <c r="B936" s="162"/>
      <c r="C936" s="162"/>
      <c r="D936" s="162"/>
      <c r="E936" s="162"/>
      <c r="F936" s="161">
        <f>F908+F881</f>
        <v>0</v>
      </c>
      <c r="G936"/>
      <c r="H936"/>
      <c r="I936"/>
      <c r="J936"/>
      <c r="K936"/>
      <c r="L936"/>
      <c r="M936" s="52"/>
      <c r="N936"/>
      <c r="O936"/>
      <c r="P936"/>
    </row>
    <row r="937" spans="1:16" x14ac:dyDescent="0.3">
      <c r="A937" s="170" t="s">
        <v>165</v>
      </c>
      <c r="B937" s="170"/>
      <c r="C937" s="170"/>
      <c r="D937" s="170"/>
      <c r="E937" s="162"/>
      <c r="F937" s="161">
        <f>F909+F882</f>
        <v>0</v>
      </c>
      <c r="G937"/>
      <c r="H937"/>
      <c r="I937"/>
      <c r="J937"/>
      <c r="K937"/>
      <c r="L937"/>
      <c r="M937" s="52"/>
      <c r="N937"/>
      <c r="O937"/>
      <c r="P937"/>
    </row>
    <row r="938" spans="1:16" x14ac:dyDescent="0.3">
      <c r="A938" s="164" t="s">
        <v>166</v>
      </c>
      <c r="B938" s="164"/>
      <c r="C938" s="164"/>
      <c r="D938" s="164"/>
      <c r="E938" s="164"/>
      <c r="F938" s="165">
        <f>F883</f>
        <v>0</v>
      </c>
      <c r="G938"/>
      <c r="H938"/>
      <c r="I938"/>
      <c r="J938"/>
      <c r="K938"/>
      <c r="L938"/>
      <c r="M938" s="52"/>
      <c r="N938"/>
      <c r="O938"/>
      <c r="P938"/>
    </row>
    <row r="939" spans="1:16" x14ac:dyDescent="0.3">
      <c r="A939" s="170" t="s">
        <v>167</v>
      </c>
      <c r="B939" s="170"/>
      <c r="C939" s="170"/>
      <c r="D939" s="170"/>
      <c r="E939" s="162"/>
      <c r="F939" s="161">
        <f>SUM(F930:F938)</f>
        <v>10564293</v>
      </c>
      <c r="G939"/>
      <c r="H939"/>
      <c r="I939"/>
      <c r="J939"/>
      <c r="K939"/>
      <c r="L939"/>
      <c r="M939" s="52"/>
      <c r="N939"/>
      <c r="O939"/>
      <c r="P939"/>
    </row>
    <row r="940" spans="1:16" x14ac:dyDescent="0.3">
      <c r="A940" s="162"/>
      <c r="B940" s="162"/>
      <c r="C940" s="162"/>
      <c r="D940" s="162"/>
      <c r="E940" s="162"/>
      <c r="F940" s="161"/>
      <c r="G940"/>
      <c r="H940"/>
      <c r="I940"/>
      <c r="J940"/>
      <c r="K940"/>
      <c r="L940"/>
      <c r="M940" s="52"/>
      <c r="N940"/>
      <c r="O940"/>
      <c r="P940"/>
    </row>
    <row r="941" spans="1:16" x14ac:dyDescent="0.3">
      <c r="A941" s="162"/>
      <c r="B941" s="162"/>
      <c r="C941" s="162"/>
      <c r="D941" s="162"/>
      <c r="E941" s="162"/>
      <c r="F941" s="161"/>
      <c r="G941"/>
      <c r="H941"/>
      <c r="I941"/>
      <c r="J941"/>
      <c r="K941"/>
      <c r="L941"/>
      <c r="M941" s="52"/>
      <c r="N941"/>
      <c r="O941"/>
      <c r="P941"/>
    </row>
    <row r="942" spans="1:16" x14ac:dyDescent="0.3">
      <c r="A942" s="172"/>
      <c r="B942" s="172"/>
      <c r="C942" s="172"/>
      <c r="D942" s="172"/>
      <c r="E942" s="172"/>
      <c r="F942" s="172"/>
      <c r="G942"/>
      <c r="H942"/>
      <c r="I942"/>
      <c r="J942"/>
      <c r="K942"/>
      <c r="L942"/>
      <c r="M942" s="52"/>
      <c r="N942"/>
      <c r="O942"/>
      <c r="P942"/>
    </row>
    <row r="943" spans="1:16" x14ac:dyDescent="0.3">
      <c r="A943" s="170" t="s">
        <v>191</v>
      </c>
      <c r="B943" s="170"/>
      <c r="C943" s="170"/>
      <c r="D943" s="170"/>
      <c r="E943" s="170"/>
      <c r="F943" s="170"/>
      <c r="G943"/>
      <c r="H943"/>
      <c r="I943"/>
      <c r="J943"/>
      <c r="K943"/>
      <c r="L943"/>
      <c r="M943" s="52"/>
      <c r="N943"/>
      <c r="O943"/>
      <c r="P943"/>
    </row>
    <row r="944" spans="1:16" x14ac:dyDescent="0.3">
      <c r="A944" s="172"/>
      <c r="B944" s="172"/>
      <c r="C944" s="172"/>
      <c r="D944" s="172"/>
      <c r="E944" s="172"/>
      <c r="F944" s="172"/>
      <c r="G944"/>
      <c r="H944"/>
      <c r="I944"/>
      <c r="J944"/>
      <c r="K944"/>
      <c r="L944"/>
      <c r="M944" s="52"/>
      <c r="N944"/>
      <c r="O944"/>
      <c r="P944"/>
    </row>
    <row r="945" spans="1:16" x14ac:dyDescent="0.3">
      <c r="A945" s="170" t="s">
        <v>169</v>
      </c>
      <c r="B945" s="170"/>
      <c r="C945" s="170"/>
      <c r="D945" s="170"/>
      <c r="E945" s="162"/>
      <c r="F945" s="161">
        <v>0</v>
      </c>
      <c r="G945"/>
      <c r="H945"/>
      <c r="I945"/>
      <c r="J945"/>
      <c r="K945"/>
      <c r="L945"/>
      <c r="M945" s="52"/>
      <c r="N945"/>
      <c r="O945"/>
      <c r="P945"/>
    </row>
    <row r="946" spans="1:16" x14ac:dyDescent="0.3">
      <c r="A946" s="162" t="s">
        <v>170</v>
      </c>
      <c r="B946" s="162"/>
      <c r="C946" s="162"/>
      <c r="D946" s="162"/>
      <c r="E946" s="162"/>
      <c r="F946" s="161">
        <f>F917+F891</f>
        <v>0</v>
      </c>
      <c r="G946"/>
      <c r="H946"/>
      <c r="I946"/>
      <c r="J946"/>
      <c r="K946"/>
      <c r="L946"/>
      <c r="M946" s="52"/>
      <c r="N946"/>
      <c r="O946"/>
      <c r="P946"/>
    </row>
    <row r="947" spans="1:16" x14ac:dyDescent="0.3">
      <c r="A947" s="170" t="s">
        <v>171</v>
      </c>
      <c r="B947" s="170"/>
      <c r="C947" s="170"/>
      <c r="D947" s="170"/>
      <c r="E947" s="162"/>
      <c r="F947" s="161">
        <f>F918+F892</f>
        <v>8610794</v>
      </c>
      <c r="G947"/>
      <c r="H947"/>
      <c r="I947"/>
      <c r="J947"/>
      <c r="K947"/>
      <c r="L947"/>
      <c r="M947" s="52"/>
      <c r="N947"/>
      <c r="O947"/>
      <c r="P947"/>
    </row>
    <row r="948" spans="1:16" x14ac:dyDescent="0.3">
      <c r="A948" s="170" t="s">
        <v>172</v>
      </c>
      <c r="B948" s="170"/>
      <c r="C948" s="170"/>
      <c r="D948" s="170"/>
      <c r="E948" s="162"/>
      <c r="F948" s="161">
        <f>F919+F893</f>
        <v>1325919</v>
      </c>
      <c r="G948"/>
      <c r="H948"/>
      <c r="I948"/>
      <c r="J948"/>
      <c r="K948"/>
      <c r="L948"/>
      <c r="M948" s="52"/>
      <c r="N948"/>
      <c r="O948"/>
      <c r="P948"/>
    </row>
    <row r="949" spans="1:16" x14ac:dyDescent="0.3">
      <c r="A949" s="170" t="s">
        <v>173</v>
      </c>
      <c r="B949" s="170"/>
      <c r="C949" s="170"/>
      <c r="D949" s="170"/>
      <c r="E949" s="162"/>
      <c r="F949" s="161">
        <f>F920+F894</f>
        <v>627580</v>
      </c>
      <c r="G949"/>
      <c r="H949"/>
      <c r="I949"/>
      <c r="J949"/>
      <c r="K949"/>
      <c r="L949"/>
      <c r="M949" s="52"/>
      <c r="N949"/>
      <c r="O949"/>
      <c r="P949"/>
    </row>
    <row r="950" spans="1:16" x14ac:dyDescent="0.3">
      <c r="A950" s="162" t="s">
        <v>184</v>
      </c>
      <c r="B950" s="162"/>
      <c r="C950" s="162"/>
      <c r="D950" s="162"/>
      <c r="E950" s="162"/>
      <c r="F950" s="161">
        <f>SUM(F921,F895)</f>
        <v>0</v>
      </c>
      <c r="G950"/>
      <c r="H950"/>
      <c r="I950"/>
      <c r="J950"/>
      <c r="K950"/>
      <c r="L950"/>
      <c r="M950" s="52"/>
      <c r="N950"/>
      <c r="O950"/>
      <c r="P950"/>
    </row>
    <row r="951" spans="1:16" x14ac:dyDescent="0.3">
      <c r="A951" s="162" t="s">
        <v>185</v>
      </c>
      <c r="B951" s="162"/>
      <c r="C951" s="162"/>
      <c r="D951" s="162"/>
      <c r="E951" s="162"/>
      <c r="F951" s="161">
        <f>SUM(F922)</f>
        <v>0</v>
      </c>
      <c r="G951"/>
      <c r="H951"/>
      <c r="I951"/>
      <c r="J951"/>
      <c r="K951"/>
      <c r="L951"/>
      <c r="M951" s="52"/>
      <c r="N951"/>
      <c r="O951"/>
      <c r="P951"/>
    </row>
    <row r="952" spans="1:16" x14ac:dyDescent="0.3">
      <c r="A952" s="166" t="s">
        <v>176</v>
      </c>
      <c r="B952" s="166"/>
      <c r="C952" s="166"/>
      <c r="D952" s="167"/>
      <c r="E952" s="167"/>
      <c r="F952" s="168">
        <f>F923+F897</f>
        <v>0</v>
      </c>
      <c r="G952"/>
      <c r="H952"/>
      <c r="I952"/>
      <c r="J952"/>
      <c r="K952"/>
      <c r="L952"/>
      <c r="M952" s="52"/>
      <c r="N952"/>
      <c r="O952"/>
      <c r="P952"/>
    </row>
    <row r="953" spans="1:16" x14ac:dyDescent="0.3">
      <c r="A953" s="171" t="s">
        <v>167</v>
      </c>
      <c r="B953" s="171"/>
      <c r="C953" s="171"/>
      <c r="D953" s="171"/>
      <c r="E953" s="162"/>
      <c r="F953" s="161">
        <f>SUM(F945:F952)</f>
        <v>10564293</v>
      </c>
      <c r="G953"/>
      <c r="H953"/>
      <c r="I953"/>
      <c r="J953"/>
      <c r="K953"/>
      <c r="L953"/>
      <c r="M953" s="52"/>
      <c r="N953"/>
      <c r="O953"/>
      <c r="P953"/>
    </row>
  </sheetData>
  <mergeCells count="241">
    <mergeCell ref="A814:A815"/>
    <mergeCell ref="B814:B815"/>
    <mergeCell ref="A816:C816"/>
    <mergeCell ref="A817:C817"/>
    <mergeCell ref="A823:B870"/>
    <mergeCell ref="A790:A791"/>
    <mergeCell ref="B790:B791"/>
    <mergeCell ref="A792:C792"/>
    <mergeCell ref="A793:A813"/>
    <mergeCell ref="B794:B810"/>
    <mergeCell ref="B811:B813"/>
    <mergeCell ref="A749:A750"/>
    <mergeCell ref="B749:B750"/>
    <mergeCell ref="A751:C751"/>
    <mergeCell ref="A752:A789"/>
    <mergeCell ref="B752:B756"/>
    <mergeCell ref="B757:B776"/>
    <mergeCell ref="B777:B789"/>
    <mergeCell ref="A707:A708"/>
    <mergeCell ref="B707:B708"/>
    <mergeCell ref="A709:C709"/>
    <mergeCell ref="A710:A748"/>
    <mergeCell ref="B711:B719"/>
    <mergeCell ref="B720:B743"/>
    <mergeCell ref="B744:B748"/>
    <mergeCell ref="A680:A681"/>
    <mergeCell ref="B680:B681"/>
    <mergeCell ref="A682:C682"/>
    <mergeCell ref="A683:A706"/>
    <mergeCell ref="B683:B693"/>
    <mergeCell ref="B694:B706"/>
    <mergeCell ref="A643:A644"/>
    <mergeCell ref="B643:B644"/>
    <mergeCell ref="A645:C645"/>
    <mergeCell ref="A646:A679"/>
    <mergeCell ref="B646:B655"/>
    <mergeCell ref="B656:B673"/>
    <mergeCell ref="B674:B679"/>
    <mergeCell ref="A609:A610"/>
    <mergeCell ref="B609:B610"/>
    <mergeCell ref="A611:C611"/>
    <mergeCell ref="A612:A642"/>
    <mergeCell ref="B613:B617"/>
    <mergeCell ref="B618:B637"/>
    <mergeCell ref="B638:B642"/>
    <mergeCell ref="A573:A574"/>
    <mergeCell ref="B573:B574"/>
    <mergeCell ref="A575:A576"/>
    <mergeCell ref="B575:B576"/>
    <mergeCell ref="A577:C577"/>
    <mergeCell ref="A578:A608"/>
    <mergeCell ref="B578:B587"/>
    <mergeCell ref="B588:B608"/>
    <mergeCell ref="A538:A539"/>
    <mergeCell ref="B538:B539"/>
    <mergeCell ref="A540:C540"/>
    <mergeCell ref="A541:A572"/>
    <mergeCell ref="B542:B545"/>
    <mergeCell ref="B546:B567"/>
    <mergeCell ref="B568:B572"/>
    <mergeCell ref="A506:C506"/>
    <mergeCell ref="A507:A535"/>
    <mergeCell ref="B508:B529"/>
    <mergeCell ref="B530:B535"/>
    <mergeCell ref="A536:A537"/>
    <mergeCell ref="B536:B537"/>
    <mergeCell ref="A482:A483"/>
    <mergeCell ref="B482:B483"/>
    <mergeCell ref="A484:C484"/>
    <mergeCell ref="A485:A503"/>
    <mergeCell ref="B486:B503"/>
    <mergeCell ref="A504:A505"/>
    <mergeCell ref="B504:B505"/>
    <mergeCell ref="A452:C452"/>
    <mergeCell ref="A453:A479"/>
    <mergeCell ref="B454:B461"/>
    <mergeCell ref="B462:B479"/>
    <mergeCell ref="A480:A481"/>
    <mergeCell ref="B480:B481"/>
    <mergeCell ref="A419:C419"/>
    <mergeCell ref="A420:A449"/>
    <mergeCell ref="B420:B429"/>
    <mergeCell ref="B430:B449"/>
    <mergeCell ref="A450:A451"/>
    <mergeCell ref="B450:B451"/>
    <mergeCell ref="A384:C384"/>
    <mergeCell ref="A385:A416"/>
    <mergeCell ref="B386:B394"/>
    <mergeCell ref="B395:B416"/>
    <mergeCell ref="A417:A418"/>
    <mergeCell ref="B417:B418"/>
    <mergeCell ref="A378:A379"/>
    <mergeCell ref="B378:B379"/>
    <mergeCell ref="A380:A381"/>
    <mergeCell ref="B380:B381"/>
    <mergeCell ref="A382:A383"/>
    <mergeCell ref="B382:B383"/>
    <mergeCell ref="A319:A320"/>
    <mergeCell ref="B319:B320"/>
    <mergeCell ref="A321:C321"/>
    <mergeCell ref="A322:A377"/>
    <mergeCell ref="B322:B329"/>
    <mergeCell ref="B330:B352"/>
    <mergeCell ref="B353:B371"/>
    <mergeCell ref="B372:B377"/>
    <mergeCell ref="A284:A285"/>
    <mergeCell ref="B284:B285"/>
    <mergeCell ref="A286:C286"/>
    <mergeCell ref="A287:A318"/>
    <mergeCell ref="B288:B294"/>
    <mergeCell ref="B295:B313"/>
    <mergeCell ref="B314:B318"/>
    <mergeCell ref="A252:A253"/>
    <mergeCell ref="B252:B253"/>
    <mergeCell ref="A254:C254"/>
    <mergeCell ref="A255:A283"/>
    <mergeCell ref="B256:B264"/>
    <mergeCell ref="B265:B283"/>
    <mergeCell ref="A246:A247"/>
    <mergeCell ref="B246:B247"/>
    <mergeCell ref="A248:A249"/>
    <mergeCell ref="B248:B249"/>
    <mergeCell ref="A250:A251"/>
    <mergeCell ref="B250:B251"/>
    <mergeCell ref="A240:A241"/>
    <mergeCell ref="B240:B241"/>
    <mergeCell ref="A242:A243"/>
    <mergeCell ref="B242:B243"/>
    <mergeCell ref="A244:A245"/>
    <mergeCell ref="B244:B245"/>
    <mergeCell ref="B221:B233"/>
    <mergeCell ref="A234:A235"/>
    <mergeCell ref="B234:B235"/>
    <mergeCell ref="A236:A237"/>
    <mergeCell ref="B236:B237"/>
    <mergeCell ref="A238:A239"/>
    <mergeCell ref="B238:B239"/>
    <mergeCell ref="A100:A103"/>
    <mergeCell ref="B100:B101"/>
    <mergeCell ref="A104:C104"/>
    <mergeCell ref="A105:A233"/>
    <mergeCell ref="B105:B113"/>
    <mergeCell ref="B114:B134"/>
    <mergeCell ref="B135:B156"/>
    <mergeCell ref="B157:B177"/>
    <mergeCell ref="B178:B192"/>
    <mergeCell ref="B193:B220"/>
    <mergeCell ref="A82:A84"/>
    <mergeCell ref="B82:B83"/>
    <mergeCell ref="A85:A91"/>
    <mergeCell ref="B85:B87"/>
    <mergeCell ref="B89:B91"/>
    <mergeCell ref="A92:A99"/>
    <mergeCell ref="B92:B93"/>
    <mergeCell ref="B94:B96"/>
    <mergeCell ref="B97:B99"/>
    <mergeCell ref="A69:A71"/>
    <mergeCell ref="B69:B70"/>
    <mergeCell ref="A72:A75"/>
    <mergeCell ref="B72:B73"/>
    <mergeCell ref="A76:A81"/>
    <mergeCell ref="B76:B77"/>
    <mergeCell ref="B79:B81"/>
    <mergeCell ref="A54:A56"/>
    <mergeCell ref="B54:B55"/>
    <mergeCell ref="A57:A63"/>
    <mergeCell ref="B57:B59"/>
    <mergeCell ref="B61:B63"/>
    <mergeCell ref="A64:A68"/>
    <mergeCell ref="B64:B66"/>
    <mergeCell ref="A41:A47"/>
    <mergeCell ref="B41:B43"/>
    <mergeCell ref="B45:B47"/>
    <mergeCell ref="A48:A50"/>
    <mergeCell ref="B48:B49"/>
    <mergeCell ref="A51:A53"/>
    <mergeCell ref="B51:B52"/>
    <mergeCell ref="A26:A28"/>
    <mergeCell ref="B26:B27"/>
    <mergeCell ref="A29:A33"/>
    <mergeCell ref="B29:B31"/>
    <mergeCell ref="A34:A40"/>
    <mergeCell ref="B34:B36"/>
    <mergeCell ref="B39:B40"/>
    <mergeCell ref="A5:A25"/>
    <mergeCell ref="B5:B8"/>
    <mergeCell ref="B10:B11"/>
    <mergeCell ref="B12:B14"/>
    <mergeCell ref="B15:B17"/>
    <mergeCell ref="B18:B22"/>
    <mergeCell ref="B23:B25"/>
    <mergeCell ref="A1:O1"/>
    <mergeCell ref="A3:A4"/>
    <mergeCell ref="B3:B4"/>
    <mergeCell ref="C3:C4"/>
    <mergeCell ref="D3:D4"/>
    <mergeCell ref="M3:M4"/>
    <mergeCell ref="N3:N4"/>
    <mergeCell ref="O3:O4"/>
    <mergeCell ref="E3:L3"/>
    <mergeCell ref="A878:D878"/>
    <mergeCell ref="A879:D879"/>
    <mergeCell ref="A882:D882"/>
    <mergeCell ref="A884:D884"/>
    <mergeCell ref="A885:F887"/>
    <mergeCell ref="A888:F888"/>
    <mergeCell ref="A889:F889"/>
    <mergeCell ref="A890:D890"/>
    <mergeCell ref="A892:D892"/>
    <mergeCell ref="A893:D893"/>
    <mergeCell ref="A894:D894"/>
    <mergeCell ref="A898:D898"/>
    <mergeCell ref="A900:F900"/>
    <mergeCell ref="A903:D903"/>
    <mergeCell ref="A905:D905"/>
    <mergeCell ref="A906:D906"/>
    <mergeCell ref="A909:D909"/>
    <mergeCell ref="A910:D910"/>
    <mergeCell ref="A911:F913"/>
    <mergeCell ref="A914:F914"/>
    <mergeCell ref="A915:F915"/>
    <mergeCell ref="A916:D916"/>
    <mergeCell ref="A918:D918"/>
    <mergeCell ref="A919:D919"/>
    <mergeCell ref="A920:D920"/>
    <mergeCell ref="A924:D924"/>
    <mergeCell ref="A927:F927"/>
    <mergeCell ref="A945:D945"/>
    <mergeCell ref="A947:D947"/>
    <mergeCell ref="A948:D948"/>
    <mergeCell ref="A949:D949"/>
    <mergeCell ref="A953:D953"/>
    <mergeCell ref="A928:F928"/>
    <mergeCell ref="A932:D932"/>
    <mergeCell ref="A933:D933"/>
    <mergeCell ref="A934:D934"/>
    <mergeCell ref="A937:D937"/>
    <mergeCell ref="A939:D939"/>
    <mergeCell ref="A942:F942"/>
    <mergeCell ref="A943:F943"/>
    <mergeCell ref="A944:F944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  <rowBreaks count="9" manualBreakCount="9">
    <brk id="104" max="16383" man="1"/>
    <brk id="220" max="16383" man="1"/>
    <brk id="321" max="16383" man="1"/>
    <brk id="419" max="16383" man="1"/>
    <brk id="506" max="16383" man="1"/>
    <brk id="611" max="16383" man="1"/>
    <brk id="709" max="16383" man="1"/>
    <brk id="817" max="16383" man="1"/>
    <brk id="8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2020.05.31.</vt:lpstr>
      <vt:lpstr>'2020.05.31.'!Nyomtatási_cím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2020-06-11T07:07:10Z</dcterms:modified>
</cp:coreProperties>
</file>