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filterPrivacy="1"/>
  <xr:revisionPtr revIDLastSave="0" documentId="13_ncr:1_{CE790656-C359-4C3A-ABD2-6CF11686878E}" xr6:coauthVersionLast="45" xr6:coauthVersionMax="45" xr10:uidLastSave="{00000000-0000-0000-0000-000000000000}"/>
  <bookViews>
    <workbookView xWindow="-120" yWindow="-120" windowWidth="21840" windowHeight="13140" xr2:uid="{00000000-000D-0000-FFFF-FFFF00000000}"/>
  </bookViews>
  <sheets>
    <sheet name="2020.05.31." sheetId="14" r:id="rId1"/>
  </sheets>
  <definedNames>
    <definedName name="_xlnm._FilterDatabase" localSheetId="0" hidden="1">'2020.05.31.'!$A$5:$Q$823</definedName>
    <definedName name="_xlnm.Print_Titles" localSheetId="0">'2020.05.31.'!$3:$5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780" i="14" l="1"/>
  <c r="N771" i="14"/>
  <c r="N612" i="14"/>
  <c r="N610" i="14"/>
  <c r="N601" i="14"/>
  <c r="N371" i="14"/>
  <c r="N194" i="14"/>
  <c r="N107" i="14"/>
  <c r="N839" i="14"/>
  <c r="N830" i="14"/>
  <c r="N868" i="14"/>
  <c r="N865" i="14"/>
  <c r="N877" i="14"/>
  <c r="N6" i="14"/>
  <c r="N35" i="14"/>
  <c r="N70" i="14"/>
  <c r="N95" i="14"/>
  <c r="N189" i="14"/>
  <c r="N369" i="14"/>
  <c r="N776" i="14"/>
  <c r="F901" i="14" l="1"/>
  <c r="F884" i="14"/>
  <c r="G830" i="14"/>
  <c r="G831" i="14"/>
  <c r="G832" i="14"/>
  <c r="G833" i="14"/>
  <c r="G834" i="14"/>
  <c r="G835" i="14"/>
  <c r="G836" i="14"/>
  <c r="G837" i="14"/>
  <c r="G838" i="14"/>
  <c r="G839" i="14"/>
  <c r="G840" i="14"/>
  <c r="G841" i="14"/>
  <c r="G842" i="14"/>
  <c r="G843" i="14"/>
  <c r="G844" i="14"/>
  <c r="G845" i="14"/>
  <c r="G846" i="14"/>
  <c r="G847" i="14"/>
  <c r="G848" i="14"/>
  <c r="G849" i="14"/>
  <c r="G850" i="14"/>
  <c r="G851" i="14"/>
  <c r="G852" i="14"/>
  <c r="G853" i="14"/>
  <c r="G854" i="14"/>
  <c r="G855" i="14"/>
  <c r="G856" i="14"/>
  <c r="G857" i="14"/>
  <c r="G858" i="14"/>
  <c r="G859" i="14"/>
  <c r="G860" i="14"/>
  <c r="G861" i="14"/>
  <c r="G862" i="14"/>
  <c r="G863" i="14"/>
  <c r="G864" i="14"/>
  <c r="G865" i="14"/>
  <c r="G866" i="14"/>
  <c r="G867" i="14"/>
  <c r="G868" i="14"/>
  <c r="G869" i="14"/>
  <c r="G870" i="14"/>
  <c r="G871" i="14"/>
  <c r="G872" i="14"/>
  <c r="G873" i="14"/>
  <c r="G874" i="14"/>
  <c r="G875" i="14"/>
  <c r="G876" i="14"/>
  <c r="G877" i="14"/>
  <c r="I107" i="14"/>
  <c r="G581" i="14"/>
  <c r="G568" i="14"/>
  <c r="G196" i="14"/>
  <c r="G258" i="14"/>
  <c r="G314" i="14"/>
  <c r="G325" i="14" s="1"/>
  <c r="G287" i="14"/>
  <c r="G290" i="14" s="1"/>
  <c r="G782" i="14"/>
  <c r="G798" i="14"/>
  <c r="G757" i="14"/>
  <c r="G745" i="14"/>
  <c r="G687" i="14"/>
  <c r="G678" i="14"/>
  <c r="G641" i="14"/>
  <c r="G650" i="14" s="1"/>
  <c r="G615" i="14"/>
  <c r="G612" i="14"/>
  <c r="G388" i="14"/>
  <c r="G372" i="14"/>
  <c r="G107" i="14"/>
  <c r="G823" i="14" l="1"/>
  <c r="E216" i="14"/>
  <c r="F889" i="14" l="1"/>
  <c r="F883" i="14"/>
  <c r="E683" i="14"/>
  <c r="E676" i="14"/>
  <c r="E635" i="14"/>
  <c r="E307" i="14"/>
  <c r="E306" i="14"/>
  <c r="E284" i="14"/>
  <c r="E283" i="14"/>
  <c r="E218" i="14"/>
  <c r="E213" i="14"/>
  <c r="E194" i="14"/>
  <c r="E190" i="14"/>
  <c r="E174" i="14"/>
  <c r="E169" i="14"/>
  <c r="E211" i="14"/>
  <c r="E209" i="14"/>
  <c r="E208" i="14"/>
  <c r="E203" i="14"/>
  <c r="E197" i="14"/>
  <c r="E106" i="14"/>
  <c r="E105" i="14"/>
  <c r="E779" i="14"/>
  <c r="E480" i="14"/>
  <c r="E450" i="14"/>
  <c r="D647" i="14" l="1"/>
  <c r="D453" i="14"/>
  <c r="D107" i="14" l="1"/>
  <c r="N78" i="14"/>
  <c r="N77" i="14"/>
  <c r="F676" i="14"/>
  <c r="E670" i="14"/>
  <c r="E669" i="14"/>
  <c r="E632" i="14"/>
  <c r="E631" i="14"/>
  <c r="E601" i="14"/>
  <c r="E602" i="14"/>
  <c r="E839" i="14" l="1"/>
  <c r="F839" i="14"/>
  <c r="H839" i="14"/>
  <c r="I839" i="14"/>
  <c r="J839" i="14"/>
  <c r="K839" i="14"/>
  <c r="L839" i="14"/>
  <c r="M839" i="14"/>
  <c r="O839" i="14"/>
  <c r="D839" i="14"/>
  <c r="E843" i="14"/>
  <c r="F843" i="14"/>
  <c r="H843" i="14"/>
  <c r="I843" i="14"/>
  <c r="J843" i="14"/>
  <c r="K843" i="14"/>
  <c r="L843" i="14"/>
  <c r="M843" i="14"/>
  <c r="O843" i="14"/>
  <c r="D843" i="14"/>
  <c r="E835" i="14"/>
  <c r="F835" i="14"/>
  <c r="H835" i="14"/>
  <c r="I835" i="14"/>
  <c r="J835" i="14"/>
  <c r="K835" i="14"/>
  <c r="L835" i="14"/>
  <c r="M835" i="14"/>
  <c r="O835" i="14"/>
  <c r="D835" i="14"/>
  <c r="E833" i="14"/>
  <c r="F833" i="14"/>
  <c r="H833" i="14"/>
  <c r="I833" i="14"/>
  <c r="J833" i="14"/>
  <c r="K833" i="14"/>
  <c r="L833" i="14"/>
  <c r="M833" i="14"/>
  <c r="O833" i="14"/>
  <c r="D833" i="14"/>
  <c r="N76" i="14"/>
  <c r="P76" i="14" s="1"/>
  <c r="P77" i="14"/>
  <c r="F863" i="14"/>
  <c r="H863" i="14"/>
  <c r="I863" i="14"/>
  <c r="J863" i="14"/>
  <c r="K863" i="14"/>
  <c r="L863" i="14"/>
  <c r="M863" i="14"/>
  <c r="O863" i="14"/>
  <c r="E863" i="14"/>
  <c r="D863" i="14"/>
  <c r="N751" i="14"/>
  <c r="P751" i="14" s="1"/>
  <c r="N644" i="14"/>
  <c r="P644" i="14" s="1"/>
  <c r="E867" i="14"/>
  <c r="F867" i="14"/>
  <c r="H867" i="14"/>
  <c r="I867" i="14"/>
  <c r="J867" i="14"/>
  <c r="K867" i="14"/>
  <c r="L867" i="14"/>
  <c r="M867" i="14"/>
  <c r="O867" i="14"/>
  <c r="D867" i="14"/>
  <c r="D181" i="14"/>
  <c r="N178" i="14"/>
  <c r="P178" i="14" s="1"/>
  <c r="N867" i="14" l="1"/>
  <c r="E862" i="14"/>
  <c r="F939" i="14" l="1"/>
  <c r="F900" i="14"/>
  <c r="F955" i="14" s="1"/>
  <c r="F899" i="14"/>
  <c r="F959" i="14"/>
  <c r="F958" i="14"/>
  <c r="F957" i="14"/>
  <c r="F953" i="14"/>
  <c r="F945" i="14"/>
  <c r="F943" i="14"/>
  <c r="F942" i="14"/>
  <c r="F941" i="14"/>
  <c r="F944" i="14"/>
  <c r="F940" i="14"/>
  <c r="F938" i="14"/>
  <c r="F891" i="14" l="1"/>
  <c r="F937" i="14"/>
  <c r="F946" i="14" s="1"/>
  <c r="F917" i="14"/>
  <c r="F931" i="14"/>
  <c r="F954" i="14"/>
  <c r="H841" i="14" l="1"/>
  <c r="D855" i="14" l="1"/>
  <c r="E855" i="14"/>
  <c r="F855" i="14"/>
  <c r="H855" i="14"/>
  <c r="I855" i="14"/>
  <c r="J855" i="14"/>
  <c r="K855" i="14"/>
  <c r="L855" i="14"/>
  <c r="M855" i="14"/>
  <c r="O855" i="14"/>
  <c r="D196" i="14"/>
  <c r="E196" i="14"/>
  <c r="F196" i="14"/>
  <c r="H196" i="14"/>
  <c r="I196" i="14"/>
  <c r="J196" i="14"/>
  <c r="K196" i="14"/>
  <c r="L196" i="14"/>
  <c r="M196" i="14"/>
  <c r="O196" i="14"/>
  <c r="P189" i="14" l="1"/>
  <c r="E856" i="14" l="1"/>
  <c r="F856" i="14"/>
  <c r="H856" i="14"/>
  <c r="I856" i="14"/>
  <c r="J856" i="14"/>
  <c r="K856" i="14"/>
  <c r="L856" i="14"/>
  <c r="M856" i="14"/>
  <c r="O846" i="14" l="1"/>
  <c r="O856" i="14"/>
  <c r="O857" i="14"/>
  <c r="N467" i="14"/>
  <c r="P467" i="14" s="1"/>
  <c r="F849" i="14"/>
  <c r="H849" i="14"/>
  <c r="I849" i="14"/>
  <c r="J849" i="14"/>
  <c r="K849" i="14"/>
  <c r="L849" i="14"/>
  <c r="D849" i="14"/>
  <c r="D144" i="14"/>
  <c r="D227" i="14"/>
  <c r="D205" i="14"/>
  <c r="D187" i="14"/>
  <c r="D166" i="14"/>
  <c r="D124" i="14"/>
  <c r="D110" i="14"/>
  <c r="D237" i="14"/>
  <c r="D224" i="14"/>
  <c r="D220" i="14"/>
  <c r="D159" i="14"/>
  <c r="D137" i="14"/>
  <c r="D116" i="14"/>
  <c r="D629" i="14"/>
  <c r="D641" i="14"/>
  <c r="D731" i="14"/>
  <c r="D724" i="14"/>
  <c r="D718" i="14"/>
  <c r="D748" i="14"/>
  <c r="D745" i="14"/>
  <c r="D754" i="14"/>
  <c r="D375" i="14"/>
  <c r="D362" i="14"/>
  <c r="D342" i="14"/>
  <c r="D333" i="14"/>
  <c r="D328" i="14"/>
  <c r="D372" i="14"/>
  <c r="D356" i="14"/>
  <c r="D769" i="14"/>
  <c r="D785" i="14"/>
  <c r="D782" i="14"/>
  <c r="D795" i="14"/>
  <c r="D304" i="14"/>
  <c r="D317" i="14"/>
  <c r="D314" i="14"/>
  <c r="D322" i="14"/>
  <c r="D517" i="14"/>
  <c r="D533" i="14"/>
  <c r="D530" i="14"/>
  <c r="D539" i="14"/>
  <c r="D805" i="14"/>
  <c r="D816" i="14"/>
  <c r="D548" i="14"/>
  <c r="D555" i="14"/>
  <c r="D571" i="14"/>
  <c r="D568" i="14"/>
  <c r="D576" i="14"/>
  <c r="D420" i="14"/>
  <c r="D417" i="14"/>
  <c r="D404" i="14"/>
  <c r="D398" i="14"/>
  <c r="D392" i="14"/>
  <c r="D684" i="14"/>
  <c r="D678" i="14"/>
  <c r="D667" i="14"/>
  <c r="D660" i="14"/>
  <c r="D654" i="14"/>
  <c r="D507" i="14"/>
  <c r="D495" i="14"/>
  <c r="D440" i="14"/>
  <c r="D433" i="14"/>
  <c r="D427" i="14"/>
  <c r="D287" i="14"/>
  <c r="D262" i="14"/>
  <c r="D268" i="14"/>
  <c r="D275" i="14"/>
  <c r="D846" i="14"/>
  <c r="D711" i="14"/>
  <c r="D700" i="14"/>
  <c r="D698" i="14"/>
  <c r="D693" i="14"/>
  <c r="D483" i="14"/>
  <c r="D472" i="14"/>
  <c r="D460" i="14"/>
  <c r="D465" i="14"/>
  <c r="D612" i="14"/>
  <c r="D599" i="14"/>
  <c r="D585" i="14"/>
  <c r="D591" i="14"/>
  <c r="K107" i="14"/>
  <c r="L107" i="14"/>
  <c r="K110" i="14"/>
  <c r="L110" i="14"/>
  <c r="K116" i="14"/>
  <c r="L116" i="14"/>
  <c r="K124" i="14"/>
  <c r="L124" i="14"/>
  <c r="K137" i="14"/>
  <c r="L137" i="14"/>
  <c r="K144" i="14"/>
  <c r="L144" i="14"/>
  <c r="K159" i="14"/>
  <c r="L159" i="14"/>
  <c r="K166" i="14"/>
  <c r="L166" i="14"/>
  <c r="K181" i="14"/>
  <c r="L181" i="14"/>
  <c r="K187" i="14"/>
  <c r="L187" i="14"/>
  <c r="K205" i="14"/>
  <c r="L205" i="14"/>
  <c r="K220" i="14"/>
  <c r="L220" i="14"/>
  <c r="K224" i="14"/>
  <c r="L224" i="14"/>
  <c r="K227" i="14"/>
  <c r="L227" i="14"/>
  <c r="K237" i="14"/>
  <c r="L237" i="14"/>
  <c r="K262" i="14"/>
  <c r="L262" i="14"/>
  <c r="K268" i="14"/>
  <c r="L268" i="14"/>
  <c r="K275" i="14"/>
  <c r="L275" i="14"/>
  <c r="K287" i="14"/>
  <c r="L287" i="14"/>
  <c r="K294" i="14"/>
  <c r="L294" i="14"/>
  <c r="K298" i="14"/>
  <c r="L298" i="14"/>
  <c r="K304" i="14"/>
  <c r="L304" i="14"/>
  <c r="K314" i="14"/>
  <c r="L314" i="14"/>
  <c r="K317" i="14"/>
  <c r="L317" i="14"/>
  <c r="K322" i="14"/>
  <c r="L322" i="14"/>
  <c r="K328" i="14"/>
  <c r="L328" i="14"/>
  <c r="K333" i="14"/>
  <c r="L333" i="14"/>
  <c r="K342" i="14"/>
  <c r="L342" i="14"/>
  <c r="K356" i="14"/>
  <c r="L356" i="14"/>
  <c r="K362" i="14"/>
  <c r="L362" i="14"/>
  <c r="K372" i="14"/>
  <c r="L372" i="14"/>
  <c r="K375" i="14"/>
  <c r="L375" i="14"/>
  <c r="K381" i="14"/>
  <c r="L381" i="14"/>
  <c r="K392" i="14"/>
  <c r="L392" i="14"/>
  <c r="K398" i="14"/>
  <c r="L398" i="14"/>
  <c r="K404" i="14"/>
  <c r="L404" i="14"/>
  <c r="K417" i="14"/>
  <c r="L417" i="14"/>
  <c r="K420" i="14"/>
  <c r="L420" i="14"/>
  <c r="K427" i="14"/>
  <c r="L427" i="14"/>
  <c r="K433" i="14"/>
  <c r="L433" i="14"/>
  <c r="K440" i="14"/>
  <c r="L440" i="14"/>
  <c r="K453" i="14"/>
  <c r="L453" i="14"/>
  <c r="K460" i="14"/>
  <c r="L460" i="14"/>
  <c r="K465" i="14"/>
  <c r="L465" i="14"/>
  <c r="K472" i="14"/>
  <c r="L472" i="14"/>
  <c r="K483" i="14"/>
  <c r="L483" i="14"/>
  <c r="K495" i="14"/>
  <c r="L495" i="14"/>
  <c r="K507" i="14"/>
  <c r="L507" i="14"/>
  <c r="K517" i="14"/>
  <c r="L517" i="14"/>
  <c r="K530" i="14"/>
  <c r="L530" i="14"/>
  <c r="K533" i="14"/>
  <c r="L533" i="14"/>
  <c r="K539" i="14"/>
  <c r="L539" i="14"/>
  <c r="K548" i="14"/>
  <c r="L548" i="14"/>
  <c r="K555" i="14"/>
  <c r="L555" i="14"/>
  <c r="K568" i="14"/>
  <c r="L568" i="14"/>
  <c r="K571" i="14"/>
  <c r="L571" i="14"/>
  <c r="K576" i="14"/>
  <c r="L576" i="14"/>
  <c r="K585" i="14"/>
  <c r="L585" i="14"/>
  <c r="K591" i="14"/>
  <c r="L591" i="14"/>
  <c r="K599" i="14"/>
  <c r="L599" i="14"/>
  <c r="K612" i="14"/>
  <c r="L612" i="14"/>
  <c r="K617" i="14"/>
  <c r="L617" i="14"/>
  <c r="L844" i="14" s="1"/>
  <c r="K621" i="14"/>
  <c r="L621" i="14"/>
  <c r="K629" i="14"/>
  <c r="L629" i="14"/>
  <c r="K641" i="14"/>
  <c r="L641" i="14"/>
  <c r="K647" i="14"/>
  <c r="L647" i="14"/>
  <c r="K654" i="14"/>
  <c r="L654" i="14"/>
  <c r="K660" i="14"/>
  <c r="L660" i="14"/>
  <c r="K667" i="14"/>
  <c r="L667" i="14"/>
  <c r="K678" i="14"/>
  <c r="L678" i="14"/>
  <c r="K684" i="14"/>
  <c r="L684" i="14"/>
  <c r="K693" i="14"/>
  <c r="L693" i="14"/>
  <c r="K698" i="14"/>
  <c r="L698" i="14"/>
  <c r="K700" i="14"/>
  <c r="L700" i="14"/>
  <c r="K711" i="14"/>
  <c r="L711" i="14"/>
  <c r="K718" i="14"/>
  <c r="L718" i="14"/>
  <c r="K724" i="14"/>
  <c r="L724" i="14"/>
  <c r="K731" i="14"/>
  <c r="L731" i="14"/>
  <c r="K745" i="14"/>
  <c r="L745" i="14"/>
  <c r="K748" i="14"/>
  <c r="L748" i="14"/>
  <c r="K754" i="14"/>
  <c r="L754" i="14"/>
  <c r="K762" i="14"/>
  <c r="L762" i="14"/>
  <c r="K769" i="14"/>
  <c r="L769" i="14"/>
  <c r="K782" i="14"/>
  <c r="L782" i="14"/>
  <c r="K785" i="14"/>
  <c r="L785" i="14"/>
  <c r="K795" i="14"/>
  <c r="L795" i="14"/>
  <c r="K805" i="14"/>
  <c r="L805" i="14"/>
  <c r="K816" i="14"/>
  <c r="L816" i="14"/>
  <c r="K830" i="14"/>
  <c r="L830" i="14"/>
  <c r="K831" i="14"/>
  <c r="L831" i="14"/>
  <c r="K832" i="14"/>
  <c r="L832" i="14"/>
  <c r="K834" i="14"/>
  <c r="L834" i="14"/>
  <c r="K836" i="14"/>
  <c r="L836" i="14"/>
  <c r="K837" i="14"/>
  <c r="L837" i="14"/>
  <c r="K838" i="14"/>
  <c r="L838" i="14"/>
  <c r="K840" i="14"/>
  <c r="L840" i="14"/>
  <c r="K841" i="14"/>
  <c r="L841" i="14"/>
  <c r="K842" i="14"/>
  <c r="L842" i="14"/>
  <c r="K845" i="14"/>
  <c r="L845" i="14"/>
  <c r="K846" i="14"/>
  <c r="L846" i="14"/>
  <c r="K847" i="14"/>
  <c r="L847" i="14"/>
  <c r="K848" i="14"/>
  <c r="L848" i="14"/>
  <c r="K850" i="14"/>
  <c r="L850" i="14"/>
  <c r="K851" i="14"/>
  <c r="L851" i="14"/>
  <c r="K852" i="14"/>
  <c r="L852" i="14"/>
  <c r="K854" i="14"/>
  <c r="L854" i="14"/>
  <c r="K857" i="14"/>
  <c r="L857" i="14"/>
  <c r="K858" i="14"/>
  <c r="L858" i="14"/>
  <c r="K859" i="14"/>
  <c r="L859" i="14"/>
  <c r="K860" i="14"/>
  <c r="L860" i="14"/>
  <c r="K861" i="14"/>
  <c r="L861" i="14"/>
  <c r="K862" i="14"/>
  <c r="L862" i="14"/>
  <c r="K864" i="14"/>
  <c r="L864" i="14"/>
  <c r="K865" i="14"/>
  <c r="L865" i="14"/>
  <c r="K866" i="14"/>
  <c r="L866" i="14"/>
  <c r="K868" i="14"/>
  <c r="L868" i="14"/>
  <c r="K869" i="14"/>
  <c r="L869" i="14"/>
  <c r="K870" i="14"/>
  <c r="L870" i="14"/>
  <c r="K872" i="14"/>
  <c r="L872" i="14"/>
  <c r="K873" i="14"/>
  <c r="L873" i="14"/>
  <c r="K874" i="14"/>
  <c r="L874" i="14"/>
  <c r="K875" i="14"/>
  <c r="L875" i="14"/>
  <c r="K876" i="14"/>
  <c r="L876" i="14"/>
  <c r="D830" i="14"/>
  <c r="D831" i="14"/>
  <c r="D832" i="14"/>
  <c r="D834" i="14"/>
  <c r="D836" i="14"/>
  <c r="D837" i="14"/>
  <c r="D838" i="14"/>
  <c r="D840" i="14"/>
  <c r="D841" i="14"/>
  <c r="D842" i="14"/>
  <c r="D844" i="14"/>
  <c r="D845" i="14"/>
  <c r="D847" i="14"/>
  <c r="D848" i="14"/>
  <c r="D850" i="14"/>
  <c r="D851" i="14"/>
  <c r="D852" i="14"/>
  <c r="D854" i="14"/>
  <c r="D856" i="14"/>
  <c r="D857" i="14"/>
  <c r="D858" i="14"/>
  <c r="D859" i="14"/>
  <c r="D860" i="14"/>
  <c r="D861" i="14"/>
  <c r="D862" i="14"/>
  <c r="D864" i="14"/>
  <c r="D865" i="14"/>
  <c r="D866" i="14"/>
  <c r="D868" i="14"/>
  <c r="D869" i="14"/>
  <c r="D870" i="14"/>
  <c r="D872" i="14"/>
  <c r="D873" i="14"/>
  <c r="D874" i="14"/>
  <c r="D875" i="14"/>
  <c r="D876" i="14"/>
  <c r="D757" i="14" l="1"/>
  <c r="D871" i="14"/>
  <c r="D456" i="14"/>
  <c r="L871" i="14"/>
  <c r="K871" i="14"/>
  <c r="K258" i="14"/>
  <c r="L544" i="14"/>
  <c r="L258" i="14"/>
  <c r="L615" i="14"/>
  <c r="K510" i="14"/>
  <c r="L714" i="14"/>
  <c r="L853" i="14"/>
  <c r="L687" i="14"/>
  <c r="L650" i="14"/>
  <c r="K853" i="14"/>
  <c r="L510" i="14"/>
  <c r="D853" i="14"/>
  <c r="K615" i="14"/>
  <c r="K687" i="14"/>
  <c r="K650" i="14"/>
  <c r="K844" i="14"/>
  <c r="K714" i="14"/>
  <c r="K544" i="14"/>
  <c r="K757" i="14"/>
  <c r="K325" i="14"/>
  <c r="L757" i="14"/>
  <c r="L325" i="14"/>
  <c r="K798" i="14"/>
  <c r="K456" i="14"/>
  <c r="L798" i="14"/>
  <c r="L456" i="14"/>
  <c r="L822" i="14"/>
  <c r="L581" i="14"/>
  <c r="L488" i="14"/>
  <c r="L388" i="14"/>
  <c r="K423" i="14"/>
  <c r="K290" i="14"/>
  <c r="L423" i="14"/>
  <c r="L290" i="14"/>
  <c r="K822" i="14"/>
  <c r="K581" i="14"/>
  <c r="K488" i="14"/>
  <c r="K388" i="14"/>
  <c r="D258" i="14"/>
  <c r="D388" i="14"/>
  <c r="D798" i="14"/>
  <c r="D325" i="14"/>
  <c r="D544" i="14"/>
  <c r="D822" i="14"/>
  <c r="D581" i="14"/>
  <c r="D423" i="14"/>
  <c r="D687" i="14"/>
  <c r="D510" i="14"/>
  <c r="D290" i="14"/>
  <c r="D714" i="14"/>
  <c r="D488" i="14"/>
  <c r="D615" i="14"/>
  <c r="K823" i="14" l="1"/>
  <c r="L823" i="14"/>
  <c r="L877" i="14"/>
  <c r="K877" i="14"/>
  <c r="E596" i="14" l="1"/>
  <c r="E849" i="14" s="1"/>
  <c r="O854" i="14" l="1"/>
  <c r="N498" i="14" l="1"/>
  <c r="M449" i="14" l="1"/>
  <c r="O816" i="14" l="1"/>
  <c r="N138" i="14" l="1"/>
  <c r="N810" i="14" l="1"/>
  <c r="P810" i="14" s="1"/>
  <c r="N562" i="14"/>
  <c r="P562" i="14" s="1"/>
  <c r="M849" i="14" l="1"/>
  <c r="O849" i="14"/>
  <c r="M854" i="14"/>
  <c r="M830" i="14"/>
  <c r="M831" i="14"/>
  <c r="M832" i="14"/>
  <c r="M836" i="14"/>
  <c r="M837" i="14"/>
  <c r="M838" i="14"/>
  <c r="M840" i="14"/>
  <c r="M841" i="14"/>
  <c r="M842" i="14"/>
  <c r="M845" i="14"/>
  <c r="M846" i="14"/>
  <c r="M847" i="14"/>
  <c r="M848" i="14"/>
  <c r="M850" i="14"/>
  <c r="M851" i="14"/>
  <c r="M852" i="14"/>
  <c r="M872" i="14"/>
  <c r="M873" i="14"/>
  <c r="M874" i="14"/>
  <c r="M875" i="14"/>
  <c r="M876" i="14"/>
  <c r="M864" i="14"/>
  <c r="M865" i="14"/>
  <c r="M866" i="14"/>
  <c r="M868" i="14"/>
  <c r="M869" i="14"/>
  <c r="M870" i="14"/>
  <c r="M857" i="14"/>
  <c r="M858" i="14"/>
  <c r="M859" i="14"/>
  <c r="M860" i="14"/>
  <c r="M861" i="14"/>
  <c r="M862" i="14"/>
  <c r="J862" i="14"/>
  <c r="I862" i="14"/>
  <c r="H862" i="14"/>
  <c r="F862" i="14"/>
  <c r="O862" i="14"/>
  <c r="O850" i="14"/>
  <c r="E850" i="14"/>
  <c r="F850" i="14"/>
  <c r="H850" i="14"/>
  <c r="I850" i="14"/>
  <c r="J850" i="14"/>
  <c r="N604" i="14"/>
  <c r="N572" i="14"/>
  <c r="N525" i="14"/>
  <c r="N505" i="14"/>
  <c r="N503" i="14"/>
  <c r="N499" i="14"/>
  <c r="N238" i="14"/>
  <c r="M816" i="14"/>
  <c r="M805" i="14"/>
  <c r="M795" i="14"/>
  <c r="M785" i="14"/>
  <c r="M782" i="14"/>
  <c r="M769" i="14"/>
  <c r="M762" i="14"/>
  <c r="M754" i="14"/>
  <c r="M748" i="14"/>
  <c r="M745" i="14"/>
  <c r="M731" i="14"/>
  <c r="M724" i="14"/>
  <c r="M718" i="14"/>
  <c r="M711" i="14"/>
  <c r="M700" i="14"/>
  <c r="M698" i="14"/>
  <c r="M693" i="14"/>
  <c r="M684" i="14"/>
  <c r="M678" i="14"/>
  <c r="M667" i="14"/>
  <c r="M660" i="14"/>
  <c r="M654" i="14"/>
  <c r="M647" i="14"/>
  <c r="M641" i="14"/>
  <c r="M629" i="14"/>
  <c r="M621" i="14"/>
  <c r="M617" i="14"/>
  <c r="M612" i="14"/>
  <c r="M599" i="14"/>
  <c r="M591" i="14"/>
  <c r="M585" i="14"/>
  <c r="M576" i="14"/>
  <c r="M571" i="14"/>
  <c r="M568" i="14"/>
  <c r="M555" i="14"/>
  <c r="M548" i="14"/>
  <c r="M539" i="14"/>
  <c r="M533" i="14"/>
  <c r="M530" i="14"/>
  <c r="M517" i="14"/>
  <c r="M507" i="14"/>
  <c r="M495" i="14"/>
  <c r="M483" i="14"/>
  <c r="M472" i="14"/>
  <c r="M465" i="14"/>
  <c r="M460" i="14"/>
  <c r="M453" i="14"/>
  <c r="M440" i="14"/>
  <c r="M433" i="14"/>
  <c r="M427" i="14"/>
  <c r="M420" i="14"/>
  <c r="M417" i="14"/>
  <c r="M404" i="14"/>
  <c r="M398" i="14"/>
  <c r="M392" i="14"/>
  <c r="M381" i="14"/>
  <c r="M375" i="14"/>
  <c r="M372" i="14"/>
  <c r="M362" i="14"/>
  <c r="M356" i="14"/>
  <c r="M342" i="14"/>
  <c r="M333" i="14"/>
  <c r="M328" i="14"/>
  <c r="M322" i="14"/>
  <c r="M317" i="14"/>
  <c r="M314" i="14"/>
  <c r="M304" i="14"/>
  <c r="M298" i="14"/>
  <c r="M294" i="14"/>
  <c r="M287" i="14"/>
  <c r="M275" i="14"/>
  <c r="M268" i="14"/>
  <c r="M262" i="14"/>
  <c r="M237" i="14"/>
  <c r="M227" i="14"/>
  <c r="M224" i="14"/>
  <c r="M220" i="14"/>
  <c r="M205" i="14"/>
  <c r="M187" i="14"/>
  <c r="M181" i="14"/>
  <c r="M166" i="14"/>
  <c r="M159" i="14"/>
  <c r="M144" i="14"/>
  <c r="M137" i="14"/>
  <c r="M124" i="14"/>
  <c r="M116" i="14"/>
  <c r="M110" i="14"/>
  <c r="N614" i="14"/>
  <c r="N239" i="14"/>
  <c r="N241" i="14"/>
  <c r="N243" i="14"/>
  <c r="N245" i="14"/>
  <c r="N246" i="14"/>
  <c r="N247" i="14"/>
  <c r="N249" i="14"/>
  <c r="N257" i="14"/>
  <c r="N288" i="14"/>
  <c r="N289" i="14"/>
  <c r="N323" i="14"/>
  <c r="N324" i="14"/>
  <c r="N383" i="14"/>
  <c r="N384" i="14"/>
  <c r="N385" i="14"/>
  <c r="N387" i="14"/>
  <c r="N421" i="14"/>
  <c r="N422" i="14"/>
  <c r="N454" i="14"/>
  <c r="N455" i="14"/>
  <c r="N484" i="14"/>
  <c r="N485" i="14"/>
  <c r="N487" i="14"/>
  <c r="N508" i="14"/>
  <c r="N540" i="14"/>
  <c r="N541" i="14"/>
  <c r="N580" i="14"/>
  <c r="N613" i="14"/>
  <c r="N649" i="14"/>
  <c r="N686" i="14"/>
  <c r="N797" i="14"/>
  <c r="N792" i="14"/>
  <c r="N779" i="14"/>
  <c r="N673" i="14"/>
  <c r="N638" i="14"/>
  <c r="N602" i="14"/>
  <c r="N475" i="14"/>
  <c r="N309" i="14"/>
  <c r="N106" i="14"/>
  <c r="N105" i="14"/>
  <c r="N102" i="14"/>
  <c r="N101" i="14"/>
  <c r="N100" i="14"/>
  <c r="N99" i="14"/>
  <c r="N98" i="14"/>
  <c r="N83" i="14"/>
  <c r="N72" i="14"/>
  <c r="N57" i="14"/>
  <c r="N34" i="14"/>
  <c r="N310" i="14"/>
  <c r="N311" i="14"/>
  <c r="N312" i="14"/>
  <c r="N313" i="14"/>
  <c r="N306" i="14"/>
  <c r="N307" i="14"/>
  <c r="N308" i="14"/>
  <c r="N75" i="14"/>
  <c r="N7" i="14"/>
  <c r="N8" i="14"/>
  <c r="N9" i="14"/>
  <c r="N10" i="14"/>
  <c r="N11" i="14"/>
  <c r="N12" i="14"/>
  <c r="N13" i="14"/>
  <c r="N14" i="14"/>
  <c r="N15" i="14"/>
  <c r="N16" i="14"/>
  <c r="N17" i="14"/>
  <c r="N18" i="14"/>
  <c r="N19" i="14"/>
  <c r="N20" i="14"/>
  <c r="N21" i="14"/>
  <c r="N22" i="14"/>
  <c r="N23" i="14"/>
  <c r="N24" i="14"/>
  <c r="N25" i="14"/>
  <c r="N26" i="14"/>
  <c r="N27" i="14"/>
  <c r="N28" i="14"/>
  <c r="N29" i="14"/>
  <c r="N30" i="14"/>
  <c r="N31" i="14"/>
  <c r="N32" i="14"/>
  <c r="N33" i="14"/>
  <c r="N36" i="14"/>
  <c r="N37" i="14"/>
  <c r="N38" i="14"/>
  <c r="N39" i="14"/>
  <c r="N40" i="14"/>
  <c r="N41" i="14"/>
  <c r="N42" i="14"/>
  <c r="N43" i="14"/>
  <c r="N44" i="14"/>
  <c r="N45" i="14"/>
  <c r="P45" i="14" s="1"/>
  <c r="N46" i="14"/>
  <c r="N47" i="14"/>
  <c r="N48" i="14"/>
  <c r="N49" i="14"/>
  <c r="N50" i="14"/>
  <c r="N51" i="14"/>
  <c r="N52" i="14"/>
  <c r="N53" i="14"/>
  <c r="N54" i="14"/>
  <c r="N55" i="14"/>
  <c r="N56" i="14"/>
  <c r="N58" i="14"/>
  <c r="N59" i="14"/>
  <c r="N60" i="14"/>
  <c r="N61" i="14"/>
  <c r="N62" i="14"/>
  <c r="N63" i="14"/>
  <c r="N64" i="14"/>
  <c r="N65" i="14"/>
  <c r="N66" i="14"/>
  <c r="N67" i="14"/>
  <c r="N68" i="14"/>
  <c r="N69" i="14"/>
  <c r="N71" i="14"/>
  <c r="N73" i="14"/>
  <c r="N74" i="14"/>
  <c r="N79" i="14"/>
  <c r="N80" i="14"/>
  <c r="N82" i="14"/>
  <c r="N84" i="14"/>
  <c r="N85" i="14"/>
  <c r="N86" i="14"/>
  <c r="N87" i="14"/>
  <c r="N88" i="14"/>
  <c r="N89" i="14"/>
  <c r="N90" i="14"/>
  <c r="N91" i="14"/>
  <c r="N92" i="14"/>
  <c r="N93" i="14"/>
  <c r="N94" i="14"/>
  <c r="N96" i="14"/>
  <c r="N97" i="14"/>
  <c r="N103" i="14"/>
  <c r="N104" i="14"/>
  <c r="N108" i="14"/>
  <c r="N109" i="14"/>
  <c r="N111" i="14"/>
  <c r="N112" i="14"/>
  <c r="N113" i="14"/>
  <c r="N114" i="14"/>
  <c r="N115" i="14"/>
  <c r="N117" i="14"/>
  <c r="N118" i="14"/>
  <c r="N119" i="14"/>
  <c r="N120" i="14"/>
  <c r="N121" i="14"/>
  <c r="N122" i="14"/>
  <c r="N123" i="14"/>
  <c r="N125" i="14"/>
  <c r="N126" i="14"/>
  <c r="N127" i="14"/>
  <c r="N128" i="14"/>
  <c r="N129" i="14"/>
  <c r="N130" i="14"/>
  <c r="N131" i="14"/>
  <c r="N132" i="14"/>
  <c r="N133" i="14"/>
  <c r="N134" i="14"/>
  <c r="N135" i="14"/>
  <c r="N136" i="14"/>
  <c r="N139" i="14"/>
  <c r="N140" i="14"/>
  <c r="N141" i="14"/>
  <c r="N142" i="14"/>
  <c r="N143" i="14"/>
  <c r="N145" i="14"/>
  <c r="N146" i="14"/>
  <c r="N147" i="14"/>
  <c r="N148" i="14"/>
  <c r="N149" i="14"/>
  <c r="N150" i="14"/>
  <c r="N151" i="14"/>
  <c r="N152" i="14"/>
  <c r="N153" i="14"/>
  <c r="N154" i="14"/>
  <c r="N155" i="14"/>
  <c r="N156" i="14"/>
  <c r="N157" i="14"/>
  <c r="N158" i="14"/>
  <c r="N160" i="14"/>
  <c r="N161" i="14"/>
  <c r="N162" i="14"/>
  <c r="N163" i="14"/>
  <c r="N164" i="14"/>
  <c r="N165" i="14"/>
  <c r="N167" i="14"/>
  <c r="N168" i="14"/>
  <c r="N169" i="14"/>
  <c r="N170" i="14"/>
  <c r="N171" i="14"/>
  <c r="N172" i="14"/>
  <c r="N173" i="14"/>
  <c r="N174" i="14"/>
  <c r="N175" i="14"/>
  <c r="N176" i="14"/>
  <c r="N177" i="14"/>
  <c r="N179" i="14"/>
  <c r="N180" i="14"/>
  <c r="N182" i="14"/>
  <c r="N183" i="14"/>
  <c r="N184" i="14"/>
  <c r="N185" i="14"/>
  <c r="N186" i="14"/>
  <c r="N188" i="14"/>
  <c r="N190" i="14"/>
  <c r="N191" i="14"/>
  <c r="N192" i="14"/>
  <c r="N193" i="14"/>
  <c r="N195" i="14"/>
  <c r="N197" i="14"/>
  <c r="N198" i="14"/>
  <c r="N199" i="14"/>
  <c r="N200" i="14"/>
  <c r="N201" i="14"/>
  <c r="N202" i="14"/>
  <c r="N203" i="14"/>
  <c r="N204" i="14"/>
  <c r="N206" i="14"/>
  <c r="N207" i="14"/>
  <c r="N208" i="14"/>
  <c r="N209" i="14"/>
  <c r="N210" i="14"/>
  <c r="N211" i="14"/>
  <c r="N212" i="14"/>
  <c r="N213" i="14"/>
  <c r="N214" i="14"/>
  <c r="N215" i="14"/>
  <c r="N216" i="14"/>
  <c r="N217" i="14"/>
  <c r="N218" i="14"/>
  <c r="N219" i="14"/>
  <c r="N221" i="14"/>
  <c r="N222" i="14"/>
  <c r="N223" i="14"/>
  <c r="N225" i="14"/>
  <c r="N226" i="14"/>
  <c r="N228" i="14"/>
  <c r="N229" i="14"/>
  <c r="N230" i="14"/>
  <c r="N231" i="14"/>
  <c r="N232" i="14"/>
  <c r="N233" i="14"/>
  <c r="N234" i="14"/>
  <c r="N235" i="14"/>
  <c r="N236" i="14"/>
  <c r="N240" i="14"/>
  <c r="N242" i="14"/>
  <c r="N244" i="14"/>
  <c r="N248" i="14"/>
  <c r="N250" i="14"/>
  <c r="N251" i="14"/>
  <c r="N252" i="14"/>
  <c r="N253" i="14"/>
  <c r="N254" i="14"/>
  <c r="N255" i="14"/>
  <c r="N256" i="14"/>
  <c r="N259" i="14"/>
  <c r="N260" i="14"/>
  <c r="N261" i="14"/>
  <c r="N263" i="14"/>
  <c r="N264" i="14"/>
  <c r="N265" i="14"/>
  <c r="N266" i="14"/>
  <c r="N267" i="14"/>
  <c r="N269" i="14"/>
  <c r="N270" i="14"/>
  <c r="N271" i="14"/>
  <c r="N272" i="14"/>
  <c r="N273" i="14"/>
  <c r="N274" i="14"/>
  <c r="N276" i="14"/>
  <c r="N277" i="14"/>
  <c r="N278" i="14"/>
  <c r="N279" i="14"/>
  <c r="N280" i="14"/>
  <c r="N281" i="14"/>
  <c r="N282" i="14"/>
  <c r="N283" i="14"/>
  <c r="N284" i="14"/>
  <c r="N285" i="14"/>
  <c r="N286" i="14"/>
  <c r="N291" i="14"/>
  <c r="N292" i="14"/>
  <c r="N293" i="14"/>
  <c r="N295" i="14"/>
  <c r="N296" i="14"/>
  <c r="N297" i="14"/>
  <c r="N299" i="14"/>
  <c r="N300" i="14"/>
  <c r="N301" i="14"/>
  <c r="N302" i="14"/>
  <c r="N303" i="14"/>
  <c r="N305" i="14"/>
  <c r="N315" i="14"/>
  <c r="N316" i="14"/>
  <c r="N318" i="14"/>
  <c r="N319" i="14"/>
  <c r="N320" i="14"/>
  <c r="N321" i="14"/>
  <c r="N326" i="14"/>
  <c r="N327" i="14"/>
  <c r="N329" i="14"/>
  <c r="N330" i="14"/>
  <c r="N331" i="14"/>
  <c r="N332" i="14"/>
  <c r="N334" i="14"/>
  <c r="N335" i="14"/>
  <c r="N336" i="14"/>
  <c r="N337" i="14"/>
  <c r="N338" i="14"/>
  <c r="N339" i="14"/>
  <c r="N340" i="14"/>
  <c r="N341" i="14"/>
  <c r="N343" i="14"/>
  <c r="N344" i="14"/>
  <c r="N345" i="14"/>
  <c r="N346" i="14"/>
  <c r="N347" i="14"/>
  <c r="N348" i="14"/>
  <c r="N349" i="14"/>
  <c r="N350" i="14"/>
  <c r="N351" i="14"/>
  <c r="N352" i="14"/>
  <c r="N353" i="14"/>
  <c r="N354" i="14"/>
  <c r="N355" i="14"/>
  <c r="N357" i="14"/>
  <c r="N358" i="14"/>
  <c r="N359" i="14"/>
  <c r="N360" i="14"/>
  <c r="N361" i="14"/>
  <c r="N363" i="14"/>
  <c r="N364" i="14"/>
  <c r="N365" i="14"/>
  <c r="N366" i="14"/>
  <c r="N367" i="14"/>
  <c r="N368" i="14"/>
  <c r="N370" i="14"/>
  <c r="N373" i="14"/>
  <c r="N374" i="14"/>
  <c r="N376" i="14"/>
  <c r="N377" i="14"/>
  <c r="N378" i="14"/>
  <c r="N379" i="14"/>
  <c r="N380" i="14"/>
  <c r="N382" i="14"/>
  <c r="N386" i="14"/>
  <c r="N389" i="14"/>
  <c r="N390" i="14"/>
  <c r="N391" i="14"/>
  <c r="N393" i="14"/>
  <c r="N394" i="14"/>
  <c r="N395" i="14"/>
  <c r="N396" i="14"/>
  <c r="N397" i="14"/>
  <c r="N399" i="14"/>
  <c r="N400" i="14"/>
  <c r="N401" i="14"/>
  <c r="N402" i="14"/>
  <c r="N403" i="14"/>
  <c r="N405" i="14"/>
  <c r="N406" i="14"/>
  <c r="N407" i="14"/>
  <c r="N408" i="14"/>
  <c r="N409" i="14"/>
  <c r="N410" i="14"/>
  <c r="N411" i="14"/>
  <c r="N412" i="14"/>
  <c r="N413" i="14"/>
  <c r="N414" i="14"/>
  <c r="N415" i="14"/>
  <c r="N416" i="14"/>
  <c r="N418" i="14"/>
  <c r="N419" i="14"/>
  <c r="N424" i="14"/>
  <c r="N425" i="14"/>
  <c r="N426" i="14"/>
  <c r="N429" i="14"/>
  <c r="N430" i="14"/>
  <c r="N431" i="14"/>
  <c r="N432" i="14"/>
  <c r="N435" i="14"/>
  <c r="N436" i="14"/>
  <c r="N437" i="14"/>
  <c r="N438" i="14"/>
  <c r="N439" i="14"/>
  <c r="N441" i="14"/>
  <c r="N442" i="14"/>
  <c r="N443" i="14"/>
  <c r="N444" i="14"/>
  <c r="N445" i="14"/>
  <c r="N446" i="14"/>
  <c r="N447" i="14"/>
  <c r="N448" i="14"/>
  <c r="N449" i="14"/>
  <c r="N450" i="14"/>
  <c r="N451" i="14"/>
  <c r="N452" i="14"/>
  <c r="N457" i="14"/>
  <c r="N458" i="14"/>
  <c r="N459" i="14"/>
  <c r="N461" i="14"/>
  <c r="N462" i="14"/>
  <c r="N463" i="14"/>
  <c r="N464" i="14"/>
  <c r="N466" i="14"/>
  <c r="N468" i="14"/>
  <c r="N469" i="14"/>
  <c r="N470" i="14"/>
  <c r="N471" i="14"/>
  <c r="N473" i="14"/>
  <c r="N474" i="14"/>
  <c r="N476" i="14"/>
  <c r="N477" i="14"/>
  <c r="N478" i="14"/>
  <c r="N480" i="14"/>
  <c r="N481" i="14"/>
  <c r="N482" i="14"/>
  <c r="N486" i="14"/>
  <c r="N489" i="14"/>
  <c r="N490" i="14"/>
  <c r="N491" i="14"/>
  <c r="N492" i="14"/>
  <c r="N493" i="14"/>
  <c r="N494" i="14"/>
  <c r="N496" i="14"/>
  <c r="N497" i="14"/>
  <c r="N500" i="14"/>
  <c r="N501" i="14"/>
  <c r="N502" i="14"/>
  <c r="N504" i="14"/>
  <c r="N506" i="14"/>
  <c r="N509" i="14"/>
  <c r="N511" i="14"/>
  <c r="N512" i="14"/>
  <c r="N513" i="14"/>
  <c r="N514" i="14"/>
  <c r="N515" i="14"/>
  <c r="N516" i="14"/>
  <c r="N518" i="14"/>
  <c r="N519" i="14"/>
  <c r="N520" i="14"/>
  <c r="N521" i="14"/>
  <c r="N522" i="14"/>
  <c r="N523" i="14"/>
  <c r="N524" i="14"/>
  <c r="N526" i="14"/>
  <c r="N527" i="14"/>
  <c r="N528" i="14"/>
  <c r="N529" i="14"/>
  <c r="N531" i="14"/>
  <c r="N532" i="14"/>
  <c r="N534" i="14"/>
  <c r="N535" i="14"/>
  <c r="N536" i="14"/>
  <c r="N537" i="14"/>
  <c r="N538" i="14"/>
  <c r="N542" i="14"/>
  <c r="N543" i="14"/>
  <c r="N545" i="14"/>
  <c r="N546" i="14"/>
  <c r="N547" i="14"/>
  <c r="N549" i="14"/>
  <c r="N550" i="14"/>
  <c r="N551" i="14"/>
  <c r="N552" i="14"/>
  <c r="N553" i="14"/>
  <c r="N554" i="14"/>
  <c r="N556" i="14"/>
  <c r="N557" i="14"/>
  <c r="N558" i="14"/>
  <c r="N559" i="14"/>
  <c r="N560" i="14"/>
  <c r="N561" i="14"/>
  <c r="N563" i="14"/>
  <c r="N564" i="14"/>
  <c r="N565" i="14"/>
  <c r="N566" i="14"/>
  <c r="N567" i="14"/>
  <c r="N569" i="14"/>
  <c r="N570" i="14"/>
  <c r="N573" i="14"/>
  <c r="N574" i="14"/>
  <c r="N575" i="14"/>
  <c r="N577" i="14"/>
  <c r="N578" i="14"/>
  <c r="N579" i="14"/>
  <c r="N582" i="14"/>
  <c r="N583" i="14"/>
  <c r="N584" i="14"/>
  <c r="N586" i="14"/>
  <c r="N587" i="14"/>
  <c r="N588" i="14"/>
  <c r="N589" i="14"/>
  <c r="N590" i="14"/>
  <c r="N592" i="14"/>
  <c r="N593" i="14"/>
  <c r="N594" i="14"/>
  <c r="N595" i="14"/>
  <c r="N596" i="14"/>
  <c r="N597" i="14"/>
  <c r="N598" i="14"/>
  <c r="N600" i="14"/>
  <c r="N603" i="14"/>
  <c r="N605" i="14"/>
  <c r="N606" i="14"/>
  <c r="N607" i="14"/>
  <c r="N608" i="14"/>
  <c r="N609" i="14"/>
  <c r="N611" i="14"/>
  <c r="N616" i="14"/>
  <c r="N617" i="14" s="1"/>
  <c r="N618" i="14"/>
  <c r="N619" i="14"/>
  <c r="N620" i="14"/>
  <c r="N622" i="14"/>
  <c r="N623" i="14"/>
  <c r="N624" i="14"/>
  <c r="N625" i="14"/>
  <c r="N626" i="14"/>
  <c r="N627" i="14"/>
  <c r="N628" i="14"/>
  <c r="N630" i="14"/>
  <c r="N631" i="14"/>
  <c r="N632" i="14"/>
  <c r="N633" i="14"/>
  <c r="N634" i="14"/>
  <c r="N635" i="14"/>
  <c r="N636" i="14"/>
  <c r="N637" i="14"/>
  <c r="N639" i="14"/>
  <c r="N640" i="14"/>
  <c r="N642" i="14"/>
  <c r="N643" i="14"/>
  <c r="N647" i="14" s="1"/>
  <c r="N645" i="14"/>
  <c r="N646" i="14"/>
  <c r="N648" i="14"/>
  <c r="N651" i="14"/>
  <c r="N652" i="14"/>
  <c r="N653" i="14"/>
  <c r="N655" i="14"/>
  <c r="N656" i="14"/>
  <c r="N657" i="14"/>
  <c r="N658" i="14"/>
  <c r="N659" i="14"/>
  <c r="N661" i="14"/>
  <c r="N662" i="14"/>
  <c r="N663" i="14"/>
  <c r="N664" i="14"/>
  <c r="N665" i="14"/>
  <c r="N666" i="14"/>
  <c r="N668" i="14"/>
  <c r="N669" i="14"/>
  <c r="N670" i="14"/>
  <c r="N671" i="14"/>
  <c r="N672" i="14"/>
  <c r="N674" i="14"/>
  <c r="N675" i="14"/>
  <c r="N676" i="14"/>
  <c r="N677" i="14"/>
  <c r="N679" i="14"/>
  <c r="N680" i="14"/>
  <c r="N681" i="14"/>
  <c r="N682" i="14"/>
  <c r="N683" i="14"/>
  <c r="N685" i="14"/>
  <c r="N688" i="14"/>
  <c r="N689" i="14"/>
  <c r="N690" i="14"/>
  <c r="N691" i="14"/>
  <c r="N692" i="14"/>
  <c r="N694" i="14"/>
  <c r="N695" i="14"/>
  <c r="N696" i="14"/>
  <c r="N697" i="14"/>
  <c r="N699" i="14"/>
  <c r="N700" i="14" s="1"/>
  <c r="N701" i="14"/>
  <c r="N702" i="14"/>
  <c r="N703" i="14"/>
  <c r="N704" i="14"/>
  <c r="N705" i="14"/>
  <c r="N706" i="14"/>
  <c r="N707" i="14"/>
  <c r="N708" i="14"/>
  <c r="N709" i="14"/>
  <c r="N710" i="14"/>
  <c r="N712" i="14"/>
  <c r="N713" i="14"/>
  <c r="N715" i="14"/>
  <c r="N716" i="14"/>
  <c r="N717" i="14"/>
  <c r="N719" i="14"/>
  <c r="N720" i="14"/>
  <c r="N721" i="14"/>
  <c r="N722" i="14"/>
  <c r="N723" i="14"/>
  <c r="N725" i="14"/>
  <c r="N726" i="14"/>
  <c r="N727" i="14"/>
  <c r="N728" i="14"/>
  <c r="N729" i="14"/>
  <c r="N730" i="14"/>
  <c r="N732" i="14"/>
  <c r="N733" i="14"/>
  <c r="N734" i="14"/>
  <c r="N735" i="14"/>
  <c r="N736" i="14"/>
  <c r="N737" i="14"/>
  <c r="N738" i="14"/>
  <c r="N739" i="14"/>
  <c r="N740" i="14"/>
  <c r="N741" i="14"/>
  <c r="N742" i="14"/>
  <c r="N743" i="14"/>
  <c r="N744" i="14"/>
  <c r="N746" i="14"/>
  <c r="N747" i="14"/>
  <c r="N749" i="14"/>
  <c r="N750" i="14"/>
  <c r="N752" i="14"/>
  <c r="N753" i="14"/>
  <c r="N755" i="14"/>
  <c r="N756" i="14"/>
  <c r="P756" i="14" s="1"/>
  <c r="N758" i="14"/>
  <c r="N759" i="14"/>
  <c r="N760" i="14"/>
  <c r="N761" i="14"/>
  <c r="N763" i="14"/>
  <c r="N764" i="14"/>
  <c r="N765" i="14"/>
  <c r="N766" i="14"/>
  <c r="N767" i="14"/>
  <c r="N768" i="14"/>
  <c r="N770" i="14"/>
  <c r="N772" i="14"/>
  <c r="N773" i="14"/>
  <c r="N774" i="14"/>
  <c r="N775" i="14"/>
  <c r="N777" i="14"/>
  <c r="N778" i="14"/>
  <c r="N781" i="14"/>
  <c r="N783" i="14"/>
  <c r="N784" i="14"/>
  <c r="N786" i="14"/>
  <c r="N787" i="14"/>
  <c r="N788" i="14"/>
  <c r="N789" i="14"/>
  <c r="N790" i="14"/>
  <c r="N791" i="14"/>
  <c r="N793" i="14"/>
  <c r="N794" i="14"/>
  <c r="N796" i="14"/>
  <c r="N799" i="14"/>
  <c r="N801" i="14"/>
  <c r="N802" i="14"/>
  <c r="N803" i="14"/>
  <c r="N804" i="14"/>
  <c r="N806" i="14"/>
  <c r="N807" i="14"/>
  <c r="N809" i="14"/>
  <c r="N811" i="14"/>
  <c r="N812" i="14"/>
  <c r="N813" i="14"/>
  <c r="N814" i="14"/>
  <c r="N815" i="14"/>
  <c r="N817" i="14"/>
  <c r="N818" i="14"/>
  <c r="N819" i="14"/>
  <c r="N820" i="14"/>
  <c r="N821" i="14"/>
  <c r="N434" i="14"/>
  <c r="N428" i="14"/>
  <c r="N479" i="14"/>
  <c r="N835" i="14" l="1"/>
  <c r="N863" i="14"/>
  <c r="M871" i="14"/>
  <c r="N833" i="14"/>
  <c r="N855" i="14"/>
  <c r="N196" i="14"/>
  <c r="N846" i="14"/>
  <c r="M687" i="14"/>
  <c r="M581" i="14"/>
  <c r="N800" i="14"/>
  <c r="N844" i="14" s="1"/>
  <c r="M822" i="14"/>
  <c r="N808" i="14"/>
  <c r="N816" i="14" s="1"/>
  <c r="M290" i="14"/>
  <c r="M388" i="14"/>
  <c r="M423" i="14"/>
  <c r="N845" i="14"/>
  <c r="M834" i="14"/>
  <c r="M107" i="14"/>
  <c r="N81" i="14"/>
  <c r="M615" i="14"/>
  <c r="M650" i="14"/>
  <c r="M714" i="14"/>
  <c r="M757" i="14"/>
  <c r="M798" i="14"/>
  <c r="M510" i="14"/>
  <c r="N847" i="14"/>
  <c r="N862" i="14"/>
  <c r="N851" i="14"/>
  <c r="N848" i="14"/>
  <c r="N849" i="14"/>
  <c r="N850" i="14"/>
  <c r="N852" i="14"/>
  <c r="M853" i="14"/>
  <c r="M844" i="14"/>
  <c r="M258" i="14"/>
  <c r="M456" i="14"/>
  <c r="M325" i="14"/>
  <c r="M488" i="14"/>
  <c r="M544" i="14"/>
  <c r="N731" i="14"/>
  <c r="N745" i="14"/>
  <c r="N762" i="14"/>
  <c r="N748" i="14"/>
  <c r="N718" i="14"/>
  <c r="N420" i="14"/>
  <c r="N110" i="14"/>
  <c r="N495" i="14"/>
  <c r="N124" i="14"/>
  <c r="N507" i="14"/>
  <c r="N116" i="14"/>
  <c r="N568" i="14"/>
  <c r="N539" i="14"/>
  <c r="N372" i="14"/>
  <c r="N356" i="14"/>
  <c r="N268" i="14"/>
  <c r="N181" i="14"/>
  <c r="N782" i="14"/>
  <c r="N871" i="14" s="1"/>
  <c r="N555" i="14"/>
  <c r="N533" i="14"/>
  <c r="N362" i="14"/>
  <c r="N328" i="14"/>
  <c r="N317" i="14"/>
  <c r="N298" i="14"/>
  <c r="N262" i="14"/>
  <c r="N187" i="14"/>
  <c r="N166" i="14"/>
  <c r="N754" i="14"/>
  <c r="N693" i="14"/>
  <c r="N517" i="14"/>
  <c r="N440" i="14"/>
  <c r="N398" i="14"/>
  <c r="N322" i="14"/>
  <c r="N224" i="14"/>
  <c r="N144" i="14"/>
  <c r="N785" i="14"/>
  <c r="N711" i="14"/>
  <c r="N667" i="14"/>
  <c r="N621" i="14"/>
  <c r="N576" i="14"/>
  <c r="N571" i="14"/>
  <c r="N460" i="14"/>
  <c r="N404" i="14"/>
  <c r="N392" i="14"/>
  <c r="N375" i="14"/>
  <c r="N304" i="14"/>
  <c r="N294" i="14"/>
  <c r="N220" i="14"/>
  <c r="N805" i="14"/>
  <c r="N769" i="14"/>
  <c r="N660" i="14"/>
  <c r="N641" i="14"/>
  <c r="N599" i="14"/>
  <c r="N585" i="14"/>
  <c r="N472" i="14"/>
  <c r="N433" i="14"/>
  <c r="N333" i="14"/>
  <c r="N275" i="14"/>
  <c r="N237" i="14"/>
  <c r="N205" i="14"/>
  <c r="N137" i="14"/>
  <c r="N795" i="14"/>
  <c r="N724" i="14"/>
  <c r="N698" i="14"/>
  <c r="N684" i="14"/>
  <c r="N678" i="14"/>
  <c r="N654" i="14"/>
  <c r="N629" i="14"/>
  <c r="N591" i="14"/>
  <c r="N548" i="14"/>
  <c r="N530" i="14"/>
  <c r="N465" i="14"/>
  <c r="N453" i="14"/>
  <c r="N427" i="14"/>
  <c r="N417" i="14"/>
  <c r="N381" i="14"/>
  <c r="N342" i="14"/>
  <c r="N287" i="14"/>
  <c r="N227" i="14"/>
  <c r="N159" i="14"/>
  <c r="N483" i="14"/>
  <c r="N314" i="14"/>
  <c r="P338" i="14"/>
  <c r="N843" i="14" l="1"/>
  <c r="N856" i="14"/>
  <c r="M823" i="14"/>
  <c r="N650" i="14"/>
  <c r="M877" i="14"/>
  <c r="N687" i="14"/>
  <c r="N544" i="14"/>
  <c r="N510" i="14"/>
  <c r="N423" i="14"/>
  <c r="N798" i="14"/>
  <c r="N325" i="14"/>
  <c r="N388" i="14"/>
  <c r="N488" i="14"/>
  <c r="N581" i="14"/>
  <c r="N615" i="14"/>
  <c r="N714" i="14"/>
  <c r="N757" i="14"/>
  <c r="N290" i="14"/>
  <c r="N456" i="14"/>
  <c r="N258" i="14"/>
  <c r="O876" i="14"/>
  <c r="J876" i="14"/>
  <c r="I876" i="14"/>
  <c r="H876" i="14"/>
  <c r="F876" i="14"/>
  <c r="E876" i="14"/>
  <c r="O875" i="14"/>
  <c r="J875" i="14"/>
  <c r="I875" i="14"/>
  <c r="H875" i="14"/>
  <c r="F875" i="14"/>
  <c r="E875" i="14"/>
  <c r="O874" i="14"/>
  <c r="J874" i="14"/>
  <c r="I874" i="14"/>
  <c r="H874" i="14"/>
  <c r="F874" i="14"/>
  <c r="E874" i="14"/>
  <c r="O873" i="14"/>
  <c r="J873" i="14"/>
  <c r="I873" i="14"/>
  <c r="H873" i="14"/>
  <c r="F873" i="14"/>
  <c r="E873" i="14"/>
  <c r="O872" i="14"/>
  <c r="J872" i="14"/>
  <c r="I872" i="14"/>
  <c r="H872" i="14"/>
  <c r="F872" i="14"/>
  <c r="E872" i="14"/>
  <c r="O870" i="14"/>
  <c r="J870" i="14"/>
  <c r="I870" i="14"/>
  <c r="H870" i="14"/>
  <c r="F870" i="14"/>
  <c r="E870" i="14"/>
  <c r="O869" i="14"/>
  <c r="J869" i="14"/>
  <c r="I869" i="14"/>
  <c r="H869" i="14"/>
  <c r="F869" i="14"/>
  <c r="E869" i="14"/>
  <c r="O868" i="14"/>
  <c r="J868" i="14"/>
  <c r="I868" i="14"/>
  <c r="H868" i="14"/>
  <c r="F868" i="14"/>
  <c r="E868" i="14"/>
  <c r="O866" i="14"/>
  <c r="J866" i="14"/>
  <c r="I866" i="14"/>
  <c r="H866" i="14"/>
  <c r="F866" i="14"/>
  <c r="E866" i="14"/>
  <c r="O865" i="14"/>
  <c r="J865" i="14"/>
  <c r="I865" i="14"/>
  <c r="H865" i="14"/>
  <c r="F865" i="14"/>
  <c r="E865" i="14"/>
  <c r="O864" i="14"/>
  <c r="J864" i="14"/>
  <c r="I864" i="14"/>
  <c r="H864" i="14"/>
  <c r="F864" i="14"/>
  <c r="E864" i="14"/>
  <c r="O861" i="14"/>
  <c r="J861" i="14"/>
  <c r="I861" i="14"/>
  <c r="H861" i="14"/>
  <c r="F861" i="14"/>
  <c r="E861" i="14"/>
  <c r="O860" i="14"/>
  <c r="J860" i="14"/>
  <c r="I860" i="14"/>
  <c r="H860" i="14"/>
  <c r="F860" i="14"/>
  <c r="E860" i="14"/>
  <c r="O859" i="14"/>
  <c r="J859" i="14"/>
  <c r="I859" i="14"/>
  <c r="H859" i="14"/>
  <c r="F859" i="14"/>
  <c r="E859" i="14"/>
  <c r="O858" i="14"/>
  <c r="J858" i="14"/>
  <c r="I858" i="14"/>
  <c r="H858" i="14"/>
  <c r="F858" i="14"/>
  <c r="E858" i="14"/>
  <c r="J857" i="14"/>
  <c r="I857" i="14"/>
  <c r="H857" i="14"/>
  <c r="F857" i="14"/>
  <c r="E857" i="14"/>
  <c r="J854" i="14"/>
  <c r="I854" i="14"/>
  <c r="H854" i="14"/>
  <c r="F854" i="14"/>
  <c r="E854" i="14"/>
  <c r="O852" i="14"/>
  <c r="J852" i="14"/>
  <c r="I852" i="14"/>
  <c r="H852" i="14"/>
  <c r="F852" i="14"/>
  <c r="E852" i="14"/>
  <c r="O851" i="14"/>
  <c r="J851" i="14"/>
  <c r="I851" i="14"/>
  <c r="H851" i="14"/>
  <c r="F851" i="14"/>
  <c r="E851" i="14"/>
  <c r="O848" i="14"/>
  <c r="J848" i="14"/>
  <c r="I848" i="14"/>
  <c r="H848" i="14"/>
  <c r="F848" i="14"/>
  <c r="E848" i="14"/>
  <c r="O847" i="14"/>
  <c r="J847" i="14"/>
  <c r="I847" i="14"/>
  <c r="H847" i="14"/>
  <c r="F847" i="14"/>
  <c r="E847" i="14"/>
  <c r="J846" i="14"/>
  <c r="I846" i="14"/>
  <c r="H846" i="14"/>
  <c r="F846" i="14"/>
  <c r="E846" i="14"/>
  <c r="O845" i="14"/>
  <c r="J845" i="14"/>
  <c r="I845" i="14"/>
  <c r="H845" i="14"/>
  <c r="F845" i="14"/>
  <c r="E845" i="14"/>
  <c r="O844" i="14"/>
  <c r="O842" i="14"/>
  <c r="J842" i="14"/>
  <c r="I842" i="14"/>
  <c r="H842" i="14"/>
  <c r="F842" i="14"/>
  <c r="E842" i="14"/>
  <c r="O841" i="14"/>
  <c r="J841" i="14"/>
  <c r="I841" i="14"/>
  <c r="F841" i="14"/>
  <c r="E841" i="14"/>
  <c r="O840" i="14"/>
  <c r="J840" i="14"/>
  <c r="I840" i="14"/>
  <c r="H840" i="14"/>
  <c r="F840" i="14"/>
  <c r="E840" i="14"/>
  <c r="O838" i="14"/>
  <c r="J838" i="14"/>
  <c r="I838" i="14"/>
  <c r="H838" i="14"/>
  <c r="F838" i="14"/>
  <c r="E838" i="14"/>
  <c r="O837" i="14"/>
  <c r="J837" i="14"/>
  <c r="I837" i="14"/>
  <c r="H837" i="14"/>
  <c r="F837" i="14"/>
  <c r="E837" i="14"/>
  <c r="O836" i="14"/>
  <c r="J836" i="14"/>
  <c r="I836" i="14"/>
  <c r="H836" i="14"/>
  <c r="F836" i="14"/>
  <c r="E836" i="14"/>
  <c r="O834" i="14"/>
  <c r="J834" i="14"/>
  <c r="I834" i="14"/>
  <c r="H834" i="14"/>
  <c r="F834" i="14"/>
  <c r="E834" i="14"/>
  <c r="O832" i="14"/>
  <c r="J832" i="14"/>
  <c r="I832" i="14"/>
  <c r="H832" i="14"/>
  <c r="F832" i="14"/>
  <c r="E832" i="14"/>
  <c r="J831" i="14"/>
  <c r="I831" i="14"/>
  <c r="H831" i="14"/>
  <c r="F831" i="14"/>
  <c r="E831" i="14"/>
  <c r="O830" i="14"/>
  <c r="J830" i="14"/>
  <c r="I830" i="14"/>
  <c r="H830" i="14"/>
  <c r="F830" i="14"/>
  <c r="E830" i="14"/>
  <c r="P821" i="14"/>
  <c r="P820" i="14"/>
  <c r="P819" i="14"/>
  <c r="P818" i="14"/>
  <c r="P817" i="14"/>
  <c r="J816" i="14"/>
  <c r="I816" i="14"/>
  <c r="H816" i="14"/>
  <c r="F816" i="14"/>
  <c r="E816" i="14"/>
  <c r="P815" i="14"/>
  <c r="P814" i="14"/>
  <c r="P813" i="14"/>
  <c r="P812" i="14"/>
  <c r="P811" i="14"/>
  <c r="P809" i="14"/>
  <c r="P808" i="14"/>
  <c r="P806" i="14"/>
  <c r="O805" i="14"/>
  <c r="J805" i="14"/>
  <c r="I805" i="14"/>
  <c r="H805" i="14"/>
  <c r="F805" i="14"/>
  <c r="E805" i="14"/>
  <c r="P804" i="14"/>
  <c r="P803" i="14"/>
  <c r="P802" i="14"/>
  <c r="P801" i="14"/>
  <c r="P799" i="14"/>
  <c r="P797" i="14"/>
  <c r="P796" i="14"/>
  <c r="O795" i="14"/>
  <c r="J795" i="14"/>
  <c r="I795" i="14"/>
  <c r="H795" i="14"/>
  <c r="F795" i="14"/>
  <c r="E795" i="14"/>
  <c r="P794" i="14"/>
  <c r="P792" i="14"/>
  <c r="P790" i="14"/>
  <c r="P788" i="14"/>
  <c r="P786" i="14"/>
  <c r="O785" i="14"/>
  <c r="J785" i="14"/>
  <c r="I785" i="14"/>
  <c r="H785" i="14"/>
  <c r="F785" i="14"/>
  <c r="E785" i="14"/>
  <c r="P784" i="14"/>
  <c r="O782" i="14"/>
  <c r="J782" i="14"/>
  <c r="I782" i="14"/>
  <c r="H782" i="14"/>
  <c r="F782" i="14"/>
  <c r="E782" i="14"/>
  <c r="P780" i="14"/>
  <c r="P778" i="14"/>
  <c r="P777" i="14"/>
  <c r="P776" i="14"/>
  <c r="P775" i="14"/>
  <c r="P774" i="14"/>
  <c r="P772" i="14"/>
  <c r="P770" i="14"/>
  <c r="O769" i="14"/>
  <c r="J769" i="14"/>
  <c r="I769" i="14"/>
  <c r="H769" i="14"/>
  <c r="F769" i="14"/>
  <c r="E769" i="14"/>
  <c r="P768" i="14"/>
  <c r="P767" i="14"/>
  <c r="P766" i="14"/>
  <c r="P765" i="14"/>
  <c r="P764" i="14"/>
  <c r="O762" i="14"/>
  <c r="J762" i="14"/>
  <c r="I762" i="14"/>
  <c r="H762" i="14"/>
  <c r="F762" i="14"/>
  <c r="E762" i="14"/>
  <c r="P761" i="14"/>
  <c r="P759" i="14"/>
  <c r="P758" i="14"/>
  <c r="P755" i="14"/>
  <c r="O754" i="14"/>
  <c r="J754" i="14"/>
  <c r="I754" i="14"/>
  <c r="H754" i="14"/>
  <c r="F754" i="14"/>
  <c r="E754" i="14"/>
  <c r="P753" i="14"/>
  <c r="P752" i="14"/>
  <c r="P750" i="14"/>
  <c r="O748" i="14"/>
  <c r="J748" i="14"/>
  <c r="I748" i="14"/>
  <c r="H748" i="14"/>
  <c r="F748" i="14"/>
  <c r="E748" i="14"/>
  <c r="P747" i="14"/>
  <c r="O745" i="14"/>
  <c r="J745" i="14"/>
  <c r="I745" i="14"/>
  <c r="H745" i="14"/>
  <c r="F745" i="14"/>
  <c r="E745" i="14"/>
  <c r="P744" i="14"/>
  <c r="P743" i="14"/>
  <c r="P742" i="14"/>
  <c r="P741" i="14"/>
  <c r="P740" i="14"/>
  <c r="P739" i="14"/>
  <c r="P738" i="14"/>
  <c r="P737" i="14"/>
  <c r="P736" i="14"/>
  <c r="P735" i="14"/>
  <c r="P733" i="14"/>
  <c r="P732" i="14"/>
  <c r="O731" i="14"/>
  <c r="J731" i="14"/>
  <c r="I731" i="14"/>
  <c r="H731" i="14"/>
  <c r="F731" i="14"/>
  <c r="E731" i="14"/>
  <c r="P730" i="14"/>
  <c r="P729" i="14"/>
  <c r="P728" i="14"/>
  <c r="P727" i="14"/>
  <c r="P726" i="14"/>
  <c r="O724" i="14"/>
  <c r="J724" i="14"/>
  <c r="I724" i="14"/>
  <c r="H724" i="14"/>
  <c r="F724" i="14"/>
  <c r="E724" i="14"/>
  <c r="P723" i="14"/>
  <c r="P722" i="14"/>
  <c r="P721" i="14"/>
  <c r="P719" i="14"/>
  <c r="O718" i="14"/>
  <c r="J718" i="14"/>
  <c r="I718" i="14"/>
  <c r="H718" i="14"/>
  <c r="F718" i="14"/>
  <c r="E718" i="14"/>
  <c r="P717" i="14"/>
  <c r="P715" i="14"/>
  <c r="P713" i="14"/>
  <c r="P712" i="14"/>
  <c r="O711" i="14"/>
  <c r="J711" i="14"/>
  <c r="I711" i="14"/>
  <c r="H711" i="14"/>
  <c r="F711" i="14"/>
  <c r="E711" i="14"/>
  <c r="P710" i="14"/>
  <c r="P709" i="14"/>
  <c r="P708" i="14"/>
  <c r="P707" i="14"/>
  <c r="P706" i="14"/>
  <c r="P705" i="14"/>
  <c r="P704" i="14"/>
  <c r="P703" i="14"/>
  <c r="O700" i="14"/>
  <c r="J700" i="14"/>
  <c r="I700" i="14"/>
  <c r="H700" i="14"/>
  <c r="F700" i="14"/>
  <c r="E700" i="14"/>
  <c r="O698" i="14"/>
  <c r="J698" i="14"/>
  <c r="I698" i="14"/>
  <c r="H698" i="14"/>
  <c r="F698" i="14"/>
  <c r="E698" i="14"/>
  <c r="P696" i="14"/>
  <c r="P694" i="14"/>
  <c r="O693" i="14"/>
  <c r="J693" i="14"/>
  <c r="I693" i="14"/>
  <c r="H693" i="14"/>
  <c r="F693" i="14"/>
  <c r="E693" i="14"/>
  <c r="P692" i="14"/>
  <c r="P691" i="14"/>
  <c r="P690" i="14"/>
  <c r="P689" i="14"/>
  <c r="P686" i="14"/>
  <c r="P685" i="14"/>
  <c r="O684" i="14"/>
  <c r="J684" i="14"/>
  <c r="I684" i="14"/>
  <c r="H684" i="14"/>
  <c r="F684" i="14"/>
  <c r="E684" i="14"/>
  <c r="P683" i="14"/>
  <c r="P682" i="14"/>
  <c r="P681" i="14"/>
  <c r="P680" i="14"/>
  <c r="O678" i="14"/>
  <c r="J678" i="14"/>
  <c r="I678" i="14"/>
  <c r="H678" i="14"/>
  <c r="F678" i="14"/>
  <c r="E678" i="14"/>
  <c r="P677" i="14"/>
  <c r="P676" i="14"/>
  <c r="P675" i="14"/>
  <c r="P674" i="14"/>
  <c r="P673" i="14"/>
  <c r="P672" i="14"/>
  <c r="P671" i="14"/>
  <c r="P670" i="14"/>
  <c r="P668" i="14"/>
  <c r="O667" i="14"/>
  <c r="J667" i="14"/>
  <c r="I667" i="14"/>
  <c r="H667" i="14"/>
  <c r="F667" i="14"/>
  <c r="E667" i="14"/>
  <c r="P666" i="14"/>
  <c r="P665" i="14"/>
  <c r="P664" i="14"/>
  <c r="P663" i="14"/>
  <c r="P662" i="14"/>
  <c r="O660" i="14"/>
  <c r="J660" i="14"/>
  <c r="I660" i="14"/>
  <c r="H660" i="14"/>
  <c r="F660" i="14"/>
  <c r="E660" i="14"/>
  <c r="P659" i="14"/>
  <c r="P658" i="14"/>
  <c r="P657" i="14"/>
  <c r="P655" i="14"/>
  <c r="O654" i="14"/>
  <c r="J654" i="14"/>
  <c r="I654" i="14"/>
  <c r="H654" i="14"/>
  <c r="F654" i="14"/>
  <c r="E654" i="14"/>
  <c r="P653" i="14"/>
  <c r="P652" i="14"/>
  <c r="P649" i="14"/>
  <c r="P648" i="14"/>
  <c r="O647" i="14"/>
  <c r="J647" i="14"/>
  <c r="I647" i="14"/>
  <c r="H647" i="14"/>
  <c r="F647" i="14"/>
  <c r="E647" i="14"/>
  <c r="P646" i="14"/>
  <c r="P645" i="14"/>
  <c r="P643" i="14"/>
  <c r="O641" i="14"/>
  <c r="J641" i="14"/>
  <c r="I641" i="14"/>
  <c r="H641" i="14"/>
  <c r="F641" i="14"/>
  <c r="E641" i="14"/>
  <c r="P640" i="14"/>
  <c r="P639" i="14"/>
  <c r="P638" i="14"/>
  <c r="P637" i="14"/>
  <c r="P636" i="14"/>
  <c r="P635" i="14"/>
  <c r="P634" i="14"/>
  <c r="P633" i="14"/>
  <c r="P632" i="14"/>
  <c r="P630" i="14"/>
  <c r="O629" i="14"/>
  <c r="J629" i="14"/>
  <c r="I629" i="14"/>
  <c r="H629" i="14"/>
  <c r="F629" i="14"/>
  <c r="E629" i="14"/>
  <c r="P628" i="14"/>
  <c r="P627" i="14"/>
  <c r="P626" i="14"/>
  <c r="P625" i="14"/>
  <c r="P624" i="14"/>
  <c r="P623" i="14"/>
  <c r="O621" i="14"/>
  <c r="J621" i="14"/>
  <c r="I621" i="14"/>
  <c r="H621" i="14"/>
  <c r="F621" i="14"/>
  <c r="E621" i="14"/>
  <c r="P620" i="14"/>
  <c r="P618" i="14"/>
  <c r="J617" i="14"/>
  <c r="J844" i="14" s="1"/>
  <c r="I617" i="14"/>
  <c r="I844" i="14" s="1"/>
  <c r="H617" i="14"/>
  <c r="H844" i="14" s="1"/>
  <c r="F617" i="14"/>
  <c r="F844" i="14" s="1"/>
  <c r="E617" i="14"/>
  <c r="P614" i="14"/>
  <c r="P613" i="14"/>
  <c r="O612" i="14"/>
  <c r="J612" i="14"/>
  <c r="I612" i="14"/>
  <c r="H612" i="14"/>
  <c r="F612" i="14"/>
  <c r="E612" i="14"/>
  <c r="P611" i="14"/>
  <c r="P610" i="14"/>
  <c r="P609" i="14"/>
  <c r="P608" i="14"/>
  <c r="P607" i="14"/>
  <c r="P606" i="14"/>
  <c r="P605" i="14"/>
  <c r="P604" i="14"/>
  <c r="P603" i="14"/>
  <c r="P602" i="14"/>
  <c r="P600" i="14"/>
  <c r="O599" i="14"/>
  <c r="J599" i="14"/>
  <c r="I599" i="14"/>
  <c r="H599" i="14"/>
  <c r="F599" i="14"/>
  <c r="E599" i="14"/>
  <c r="P598" i="14"/>
  <c r="P597" i="14"/>
  <c r="P596" i="14"/>
  <c r="P595" i="14"/>
  <c r="P594" i="14"/>
  <c r="P593" i="14"/>
  <c r="O591" i="14"/>
  <c r="J591" i="14"/>
  <c r="I591" i="14"/>
  <c r="H591" i="14"/>
  <c r="F591" i="14"/>
  <c r="E591" i="14"/>
  <c r="P590" i="14"/>
  <c r="P589" i="14"/>
  <c r="P588" i="14"/>
  <c r="P586" i="14"/>
  <c r="O585" i="14"/>
  <c r="J585" i="14"/>
  <c r="I585" i="14"/>
  <c r="H585" i="14"/>
  <c r="F585" i="14"/>
  <c r="E585" i="14"/>
  <c r="P584" i="14"/>
  <c r="P583" i="14"/>
  <c r="P580" i="14"/>
  <c r="P579" i="14"/>
  <c r="P578" i="14"/>
  <c r="P577" i="14"/>
  <c r="O576" i="14"/>
  <c r="J576" i="14"/>
  <c r="I576" i="14"/>
  <c r="H576" i="14"/>
  <c r="F576" i="14"/>
  <c r="E576" i="14"/>
  <c r="P575" i="14"/>
  <c r="P574" i="14"/>
  <c r="P573" i="14"/>
  <c r="O571" i="14"/>
  <c r="J571" i="14"/>
  <c r="I571" i="14"/>
  <c r="H571" i="14"/>
  <c r="F571" i="14"/>
  <c r="E571" i="14"/>
  <c r="O568" i="14"/>
  <c r="J568" i="14"/>
  <c r="I568" i="14"/>
  <c r="H568" i="14"/>
  <c r="F568" i="14"/>
  <c r="E568" i="14"/>
  <c r="P567" i="14"/>
  <c r="P566" i="14"/>
  <c r="P565" i="14"/>
  <c r="P564" i="14"/>
  <c r="P563" i="14"/>
  <c r="P561" i="14"/>
  <c r="P560" i="14"/>
  <c r="P559" i="14"/>
  <c r="P558" i="14"/>
  <c r="P556" i="14"/>
  <c r="O555" i="14"/>
  <c r="J555" i="14"/>
  <c r="I555" i="14"/>
  <c r="H555" i="14"/>
  <c r="F555" i="14"/>
  <c r="E555" i="14"/>
  <c r="P554" i="14"/>
  <c r="P553" i="14"/>
  <c r="P552" i="14"/>
  <c r="P551" i="14"/>
  <c r="P549" i="14"/>
  <c r="O548" i="14"/>
  <c r="J548" i="14"/>
  <c r="I548" i="14"/>
  <c r="H548" i="14"/>
  <c r="F548" i="14"/>
  <c r="E548" i="14"/>
  <c r="P547" i="14"/>
  <c r="P545" i="14"/>
  <c r="P542" i="14"/>
  <c r="P541" i="14"/>
  <c r="P540" i="14"/>
  <c r="O539" i="14"/>
  <c r="J539" i="14"/>
  <c r="I539" i="14"/>
  <c r="H539" i="14"/>
  <c r="F539" i="14"/>
  <c r="E539" i="14"/>
  <c r="P538" i="14"/>
  <c r="P537" i="14"/>
  <c r="P536" i="14"/>
  <c r="P535" i="14"/>
  <c r="O533" i="14"/>
  <c r="J533" i="14"/>
  <c r="I533" i="14"/>
  <c r="H533" i="14"/>
  <c r="F533" i="14"/>
  <c r="E533" i="14"/>
  <c r="P532" i="14"/>
  <c r="O530" i="14"/>
  <c r="J530" i="14"/>
  <c r="I530" i="14"/>
  <c r="H530" i="14"/>
  <c r="F530" i="14"/>
  <c r="E530" i="14"/>
  <c r="P529" i="14"/>
  <c r="P528" i="14"/>
  <c r="P527" i="14"/>
  <c r="P526" i="14"/>
  <c r="P525" i="14"/>
  <c r="P524" i="14"/>
  <c r="P523" i="14"/>
  <c r="P522" i="14"/>
  <c r="P521" i="14"/>
  <c r="P520" i="14"/>
  <c r="P518" i="14"/>
  <c r="O517" i="14"/>
  <c r="J517" i="14"/>
  <c r="I517" i="14"/>
  <c r="H517" i="14"/>
  <c r="F517" i="14"/>
  <c r="E517" i="14"/>
  <c r="P516" i="14"/>
  <c r="P515" i="14"/>
  <c r="P514" i="14"/>
  <c r="P513" i="14"/>
  <c r="P511" i="14"/>
  <c r="P509" i="14"/>
  <c r="P508" i="14"/>
  <c r="O507" i="14"/>
  <c r="J507" i="14"/>
  <c r="I507" i="14"/>
  <c r="H507" i="14"/>
  <c r="F507" i="14"/>
  <c r="E507" i="14"/>
  <c r="P506" i="14"/>
  <c r="P505" i="14"/>
  <c r="P504" i="14"/>
  <c r="P503" i="14"/>
  <c r="P502" i="14"/>
  <c r="P501" i="14"/>
  <c r="P500" i="14"/>
  <c r="P499" i="14"/>
  <c r="P498" i="14"/>
  <c r="P496" i="14"/>
  <c r="O495" i="14"/>
  <c r="J495" i="14"/>
  <c r="I495" i="14"/>
  <c r="H495" i="14"/>
  <c r="F495" i="14"/>
  <c r="E495" i="14"/>
  <c r="P494" i="14"/>
  <c r="P493" i="14"/>
  <c r="P492" i="14"/>
  <c r="P491" i="14"/>
  <c r="P489" i="14"/>
  <c r="P487" i="14"/>
  <c r="P486" i="14"/>
  <c r="P485" i="14"/>
  <c r="P484" i="14"/>
  <c r="O483" i="14"/>
  <c r="J483" i="14"/>
  <c r="I483" i="14"/>
  <c r="H483" i="14"/>
  <c r="F483" i="14"/>
  <c r="E483" i="14"/>
  <c r="P482" i="14"/>
  <c r="P481" i="14"/>
  <c r="P480" i="14"/>
  <c r="P479" i="14"/>
  <c r="P478" i="14"/>
  <c r="P477" i="14"/>
  <c r="P476" i="14"/>
  <c r="P475" i="14"/>
  <c r="P473" i="14"/>
  <c r="O472" i="14"/>
  <c r="J472" i="14"/>
  <c r="I472" i="14"/>
  <c r="H472" i="14"/>
  <c r="F472" i="14"/>
  <c r="E472" i="14"/>
  <c r="P471" i="14"/>
  <c r="P470" i="14"/>
  <c r="P469" i="14"/>
  <c r="P468" i="14"/>
  <c r="O465" i="14"/>
  <c r="J465" i="14"/>
  <c r="I465" i="14"/>
  <c r="H465" i="14"/>
  <c r="F465" i="14"/>
  <c r="E465" i="14"/>
  <c r="P464" i="14"/>
  <c r="P463" i="14"/>
  <c r="P461" i="14"/>
  <c r="O460" i="14"/>
  <c r="J460" i="14"/>
  <c r="I460" i="14"/>
  <c r="H460" i="14"/>
  <c r="F460" i="14"/>
  <c r="E460" i="14"/>
  <c r="P458" i="14"/>
  <c r="P457" i="14"/>
  <c r="P455" i="14"/>
  <c r="P454" i="14"/>
  <c r="O453" i="14"/>
  <c r="J453" i="14"/>
  <c r="I453" i="14"/>
  <c r="H453" i="14"/>
  <c r="F453" i="14"/>
  <c r="E453" i="14"/>
  <c r="P452" i="14"/>
  <c r="P451" i="14"/>
  <c r="P450" i="14"/>
  <c r="P449" i="14"/>
  <c r="P448" i="14"/>
  <c r="P447" i="14"/>
  <c r="P446" i="14"/>
  <c r="P445" i="14"/>
  <c r="P444" i="14"/>
  <c r="P443" i="14"/>
  <c r="P441" i="14"/>
  <c r="O440" i="14"/>
  <c r="J440" i="14"/>
  <c r="I440" i="14"/>
  <c r="H440" i="14"/>
  <c r="F440" i="14"/>
  <c r="E440" i="14"/>
  <c r="P439" i="14"/>
  <c r="P438" i="14"/>
  <c r="P437" i="14"/>
  <c r="P436" i="14"/>
  <c r="P435" i="14"/>
  <c r="O433" i="14"/>
  <c r="J433" i="14"/>
  <c r="I433" i="14"/>
  <c r="H433" i="14"/>
  <c r="F433" i="14"/>
  <c r="E433" i="14"/>
  <c r="P432" i="14"/>
  <c r="P431" i="14"/>
  <c r="P430" i="14"/>
  <c r="P428" i="14"/>
  <c r="O427" i="14"/>
  <c r="J427" i="14"/>
  <c r="I427" i="14"/>
  <c r="H427" i="14"/>
  <c r="F427" i="14"/>
  <c r="E427" i="14"/>
  <c r="P426" i="14"/>
  <c r="P425" i="14"/>
  <c r="P422" i="14"/>
  <c r="P421" i="14"/>
  <c r="O420" i="14"/>
  <c r="J420" i="14"/>
  <c r="I420" i="14"/>
  <c r="H420" i="14"/>
  <c r="F420" i="14"/>
  <c r="E420" i="14"/>
  <c r="P419" i="14"/>
  <c r="O417" i="14"/>
  <c r="J417" i="14"/>
  <c r="I417" i="14"/>
  <c r="H417" i="14"/>
  <c r="F417" i="14"/>
  <c r="E417" i="14"/>
  <c r="P416" i="14"/>
  <c r="P415" i="14"/>
  <c r="P414" i="14"/>
  <c r="P413" i="14"/>
  <c r="P412" i="14"/>
  <c r="P411" i="14"/>
  <c r="P410" i="14"/>
  <c r="P409" i="14"/>
  <c r="P408" i="14"/>
  <c r="P407" i="14"/>
  <c r="P405" i="14"/>
  <c r="O404" i="14"/>
  <c r="J404" i="14"/>
  <c r="I404" i="14"/>
  <c r="H404" i="14"/>
  <c r="F404" i="14"/>
  <c r="E404" i="14"/>
  <c r="P403" i="14"/>
  <c r="P402" i="14"/>
  <c r="P401" i="14"/>
  <c r="P400" i="14"/>
  <c r="O398" i="14"/>
  <c r="J398" i="14"/>
  <c r="I398" i="14"/>
  <c r="H398" i="14"/>
  <c r="F398" i="14"/>
  <c r="E398" i="14"/>
  <c r="P397" i="14"/>
  <c r="P396" i="14"/>
  <c r="P395" i="14"/>
  <c r="P393" i="14"/>
  <c r="O392" i="14"/>
  <c r="J392" i="14"/>
  <c r="I392" i="14"/>
  <c r="H392" i="14"/>
  <c r="F392" i="14"/>
  <c r="E392" i="14"/>
  <c r="P391" i="14"/>
  <c r="P389" i="14"/>
  <c r="P387" i="14"/>
  <c r="P386" i="14"/>
  <c r="P385" i="14"/>
  <c r="P384" i="14"/>
  <c r="P383" i="14"/>
  <c r="P382" i="14"/>
  <c r="O381" i="14"/>
  <c r="J381" i="14"/>
  <c r="I381" i="14"/>
  <c r="H381" i="14"/>
  <c r="F381" i="14"/>
  <c r="E381" i="14"/>
  <c r="P380" i="14"/>
  <c r="P379" i="14"/>
  <c r="P378" i="14"/>
  <c r="P377" i="14"/>
  <c r="O375" i="14"/>
  <c r="J375" i="14"/>
  <c r="I375" i="14"/>
  <c r="H375" i="14"/>
  <c r="F375" i="14"/>
  <c r="E375" i="14"/>
  <c r="P374" i="14"/>
  <c r="O372" i="14"/>
  <c r="J372" i="14"/>
  <c r="I372" i="14"/>
  <c r="H372" i="14"/>
  <c r="F372" i="14"/>
  <c r="E372" i="14"/>
  <c r="P371" i="14"/>
  <c r="P370" i="14"/>
  <c r="P369" i="14"/>
  <c r="P368" i="14"/>
  <c r="P367" i="14"/>
  <c r="P366" i="14"/>
  <c r="P365" i="14"/>
  <c r="P363" i="14"/>
  <c r="O362" i="14"/>
  <c r="J362" i="14"/>
  <c r="I362" i="14"/>
  <c r="H362" i="14"/>
  <c r="F362" i="14"/>
  <c r="E362" i="14"/>
  <c r="P361" i="14"/>
  <c r="P360" i="14"/>
  <c r="P359" i="14"/>
  <c r="P358" i="14"/>
  <c r="O356" i="14"/>
  <c r="J356" i="14"/>
  <c r="I356" i="14"/>
  <c r="H356" i="14"/>
  <c r="F356" i="14"/>
  <c r="E356" i="14"/>
  <c r="P355" i="14"/>
  <c r="P354" i="14"/>
  <c r="P353" i="14"/>
  <c r="P352" i="14"/>
  <c r="P351" i="14"/>
  <c r="P350" i="14"/>
  <c r="P349" i="14"/>
  <c r="P348" i="14"/>
  <c r="P347" i="14"/>
  <c r="P346" i="14"/>
  <c r="P345" i="14"/>
  <c r="P343" i="14"/>
  <c r="O342" i="14"/>
  <c r="J342" i="14"/>
  <c r="I342" i="14"/>
  <c r="H342" i="14"/>
  <c r="F342" i="14"/>
  <c r="E342" i="14"/>
  <c r="P341" i="14"/>
  <c r="P340" i="14"/>
  <c r="P339" i="14"/>
  <c r="P337" i="14"/>
  <c r="P336" i="14"/>
  <c r="P335" i="14"/>
  <c r="O333" i="14"/>
  <c r="J333" i="14"/>
  <c r="I333" i="14"/>
  <c r="H333" i="14"/>
  <c r="F333" i="14"/>
  <c r="E333" i="14"/>
  <c r="P332" i="14"/>
  <c r="P331" i="14"/>
  <c r="P329" i="14"/>
  <c r="O328" i="14"/>
  <c r="J328" i="14"/>
  <c r="I328" i="14"/>
  <c r="H328" i="14"/>
  <c r="F328" i="14"/>
  <c r="E328" i="14"/>
  <c r="P327" i="14"/>
  <c r="P324" i="14"/>
  <c r="P323" i="14"/>
  <c r="O322" i="14"/>
  <c r="J322" i="14"/>
  <c r="I322" i="14"/>
  <c r="H322" i="14"/>
  <c r="F322" i="14"/>
  <c r="E322" i="14"/>
  <c r="P321" i="14"/>
  <c r="P320" i="14"/>
  <c r="P319" i="14"/>
  <c r="O317" i="14"/>
  <c r="J317" i="14"/>
  <c r="I317" i="14"/>
  <c r="H317" i="14"/>
  <c r="F317" i="14"/>
  <c r="E317" i="14"/>
  <c r="P316" i="14"/>
  <c r="O314" i="14"/>
  <c r="J314" i="14"/>
  <c r="I314" i="14"/>
  <c r="H314" i="14"/>
  <c r="F314" i="14"/>
  <c r="E314" i="14"/>
  <c r="P313" i="14"/>
  <c r="P312" i="14"/>
  <c r="P311" i="14"/>
  <c r="P310" i="14"/>
  <c r="P309" i="14"/>
  <c r="P308" i="14"/>
  <c r="P307" i="14"/>
  <c r="P305" i="14"/>
  <c r="O304" i="14"/>
  <c r="J304" i="14"/>
  <c r="I304" i="14"/>
  <c r="H304" i="14"/>
  <c r="F304" i="14"/>
  <c r="E304" i="14"/>
  <c r="P303" i="14"/>
  <c r="P302" i="14"/>
  <c r="P301" i="14"/>
  <c r="P300" i="14"/>
  <c r="O298" i="14"/>
  <c r="J298" i="14"/>
  <c r="I298" i="14"/>
  <c r="H298" i="14"/>
  <c r="F298" i="14"/>
  <c r="E298" i="14"/>
  <c r="P297" i="14"/>
  <c r="P295" i="14"/>
  <c r="O294" i="14"/>
  <c r="J294" i="14"/>
  <c r="I294" i="14"/>
  <c r="H294" i="14"/>
  <c r="F294" i="14"/>
  <c r="E294" i="14"/>
  <c r="P293" i="14"/>
  <c r="P289" i="14"/>
  <c r="P288" i="14"/>
  <c r="O287" i="14"/>
  <c r="J287" i="14"/>
  <c r="I287" i="14"/>
  <c r="H287" i="14"/>
  <c r="F287" i="14"/>
  <c r="E287" i="14"/>
  <c r="P286" i="14"/>
  <c r="P285" i="14"/>
  <c r="P284" i="14"/>
  <c r="P283" i="14"/>
  <c r="P282" i="14"/>
  <c r="P281" i="14"/>
  <c r="P280" i="14"/>
  <c r="P279" i="14"/>
  <c r="P278" i="14"/>
  <c r="P276" i="14"/>
  <c r="O275" i="14"/>
  <c r="J275" i="14"/>
  <c r="I275" i="14"/>
  <c r="H275" i="14"/>
  <c r="F275" i="14"/>
  <c r="E275" i="14"/>
  <c r="P274" i="14"/>
  <c r="P273" i="14"/>
  <c r="P272" i="14"/>
  <c r="P271" i="14"/>
  <c r="P270" i="14"/>
  <c r="O268" i="14"/>
  <c r="J268" i="14"/>
  <c r="I268" i="14"/>
  <c r="H268" i="14"/>
  <c r="F268" i="14"/>
  <c r="E268" i="14"/>
  <c r="P267" i="14"/>
  <c r="P266" i="14"/>
  <c r="P265" i="14"/>
  <c r="P263" i="14"/>
  <c r="O262" i="14"/>
  <c r="J262" i="14"/>
  <c r="I262" i="14"/>
  <c r="H262" i="14"/>
  <c r="F262" i="14"/>
  <c r="E262" i="14"/>
  <c r="P261" i="14"/>
  <c r="P259" i="14"/>
  <c r="P257" i="14"/>
  <c r="P256" i="14"/>
  <c r="P255" i="14"/>
  <c r="P254" i="14"/>
  <c r="P253" i="14"/>
  <c r="P252" i="14"/>
  <c r="P251" i="14"/>
  <c r="P250" i="14"/>
  <c r="P249" i="14"/>
  <c r="P248" i="14"/>
  <c r="P247" i="14"/>
  <c r="P246" i="14"/>
  <c r="P245" i="14"/>
  <c r="P244" i="14"/>
  <c r="P243" i="14"/>
  <c r="P242" i="14"/>
  <c r="P241" i="14"/>
  <c r="P240" i="14"/>
  <c r="P239" i="14"/>
  <c r="P238" i="14"/>
  <c r="O237" i="14"/>
  <c r="J237" i="14"/>
  <c r="I237" i="14"/>
  <c r="H237" i="14"/>
  <c r="F237" i="14"/>
  <c r="E237" i="14"/>
  <c r="P236" i="14"/>
  <c r="P235" i="14"/>
  <c r="P234" i="14"/>
  <c r="P233" i="14"/>
  <c r="P232" i="14"/>
  <c r="P231" i="14"/>
  <c r="P230" i="14"/>
  <c r="P228" i="14"/>
  <c r="O227" i="14"/>
  <c r="J227" i="14"/>
  <c r="I227" i="14"/>
  <c r="H227" i="14"/>
  <c r="F227" i="14"/>
  <c r="E227" i="14"/>
  <c r="P226" i="14"/>
  <c r="O224" i="14"/>
  <c r="J224" i="14"/>
  <c r="I224" i="14"/>
  <c r="H224" i="14"/>
  <c r="F224" i="14"/>
  <c r="E224" i="14"/>
  <c r="P223" i="14"/>
  <c r="P222" i="14"/>
  <c r="O220" i="14"/>
  <c r="J220" i="14"/>
  <c r="I220" i="14"/>
  <c r="H220" i="14"/>
  <c r="F220" i="14"/>
  <c r="E220" i="14"/>
  <c r="P219" i="14"/>
  <c r="P218" i="14"/>
  <c r="P217" i="14"/>
  <c r="P216" i="14"/>
  <c r="P215" i="14"/>
  <c r="P214" i="14"/>
  <c r="P213" i="14"/>
  <c r="P212" i="14"/>
  <c r="P211" i="14"/>
  <c r="P210" i="14"/>
  <c r="P209" i="14"/>
  <c r="P208" i="14"/>
  <c r="P206" i="14"/>
  <c r="O205" i="14"/>
  <c r="J205" i="14"/>
  <c r="I205" i="14"/>
  <c r="H205" i="14"/>
  <c r="F205" i="14"/>
  <c r="E205" i="14"/>
  <c r="P204" i="14"/>
  <c r="P203" i="14"/>
  <c r="P202" i="14"/>
  <c r="P201" i="14"/>
  <c r="P200" i="14"/>
  <c r="P199" i="14"/>
  <c r="P198" i="14"/>
  <c r="P194" i="14"/>
  <c r="P193" i="14"/>
  <c r="P192" i="14"/>
  <c r="P191" i="14"/>
  <c r="P188" i="14"/>
  <c r="O187" i="14"/>
  <c r="J187" i="14"/>
  <c r="I187" i="14"/>
  <c r="H187" i="14"/>
  <c r="F187" i="14"/>
  <c r="E187" i="14"/>
  <c r="P186" i="14"/>
  <c r="P185" i="14"/>
  <c r="P184" i="14"/>
  <c r="P183" i="14"/>
  <c r="O181" i="14"/>
  <c r="J181" i="14"/>
  <c r="I181" i="14"/>
  <c r="H181" i="14"/>
  <c r="F181" i="14"/>
  <c r="E181" i="14"/>
  <c r="P180" i="14"/>
  <c r="P179" i="14"/>
  <c r="P177" i="14"/>
  <c r="P176" i="14"/>
  <c r="P175" i="14"/>
  <c r="P174" i="14"/>
  <c r="P173" i="14"/>
  <c r="P172" i="14"/>
  <c r="P171" i="14"/>
  <c r="P170" i="14"/>
  <c r="P169" i="14"/>
  <c r="P167" i="14"/>
  <c r="O166" i="14"/>
  <c r="J166" i="14"/>
  <c r="I166" i="14"/>
  <c r="H166" i="14"/>
  <c r="F166" i="14"/>
  <c r="E166" i="14"/>
  <c r="P164" i="14"/>
  <c r="P163" i="14"/>
  <c r="P162" i="14"/>
  <c r="P161" i="14"/>
  <c r="P160" i="14"/>
  <c r="O159" i="14"/>
  <c r="J159" i="14"/>
  <c r="I159" i="14"/>
  <c r="H159" i="14"/>
  <c r="F159" i="14"/>
  <c r="E159" i="14"/>
  <c r="P158" i="14"/>
  <c r="P157" i="14"/>
  <c r="P156" i="14"/>
  <c r="P155" i="14"/>
  <c r="P154" i="14"/>
  <c r="P153" i="14"/>
  <c r="P152" i="14"/>
  <c r="P151" i="14"/>
  <c r="P150" i="14"/>
  <c r="P149" i="14"/>
  <c r="P148" i="14"/>
  <c r="P147" i="14"/>
  <c r="P145" i="14"/>
  <c r="O144" i="14"/>
  <c r="J144" i="14"/>
  <c r="I144" i="14"/>
  <c r="H144" i="14"/>
  <c r="F144" i="14"/>
  <c r="E144" i="14"/>
  <c r="P143" i="14"/>
  <c r="P142" i="14"/>
  <c r="P141" i="14"/>
  <c r="P140" i="14"/>
  <c r="P139" i="14"/>
  <c r="O137" i="14"/>
  <c r="J137" i="14"/>
  <c r="I137" i="14"/>
  <c r="H137" i="14"/>
  <c r="F137" i="14"/>
  <c r="E137" i="14"/>
  <c r="P136" i="14"/>
  <c r="P135" i="14"/>
  <c r="P134" i="14"/>
  <c r="P133" i="14"/>
  <c r="P132" i="14"/>
  <c r="P131" i="14"/>
  <c r="P130" i="14"/>
  <c r="P129" i="14"/>
  <c r="P128" i="14"/>
  <c r="P127" i="14"/>
  <c r="P125" i="14"/>
  <c r="O124" i="14"/>
  <c r="J124" i="14"/>
  <c r="I124" i="14"/>
  <c r="H124" i="14"/>
  <c r="F124" i="14"/>
  <c r="E124" i="14"/>
  <c r="P123" i="14"/>
  <c r="P122" i="14"/>
  <c r="P121" i="14"/>
  <c r="P120" i="14"/>
  <c r="P119" i="14"/>
  <c r="P118" i="14"/>
  <c r="O116" i="14"/>
  <c r="J116" i="14"/>
  <c r="I116" i="14"/>
  <c r="H116" i="14"/>
  <c r="F116" i="14"/>
  <c r="E116" i="14"/>
  <c r="P115" i="14"/>
  <c r="P114" i="14"/>
  <c r="P113" i="14"/>
  <c r="P111" i="14"/>
  <c r="O110" i="14"/>
  <c r="J110" i="14"/>
  <c r="I110" i="14"/>
  <c r="H110" i="14"/>
  <c r="F110" i="14"/>
  <c r="E110" i="14"/>
  <c r="P109" i="14"/>
  <c r="O107" i="14"/>
  <c r="J107" i="14"/>
  <c r="H107" i="14"/>
  <c r="F107" i="14"/>
  <c r="E107" i="14"/>
  <c r="P106" i="14"/>
  <c r="P105" i="14"/>
  <c r="P104" i="14"/>
  <c r="P103" i="14"/>
  <c r="P102" i="14"/>
  <c r="P101" i="14"/>
  <c r="P100" i="14"/>
  <c r="P99" i="14"/>
  <c r="P98" i="14"/>
  <c r="P97" i="14"/>
  <c r="P96" i="14"/>
  <c r="P95" i="14"/>
  <c r="P94" i="14"/>
  <c r="P93" i="14"/>
  <c r="P92" i="14"/>
  <c r="P91" i="14"/>
  <c r="P90" i="14"/>
  <c r="P89" i="14"/>
  <c r="P88" i="14"/>
  <c r="P87" i="14"/>
  <c r="P86" i="14"/>
  <c r="P85" i="14"/>
  <c r="P84" i="14"/>
  <c r="P83" i="14"/>
  <c r="P82" i="14"/>
  <c r="P81" i="14"/>
  <c r="P80" i="14"/>
  <c r="P79" i="14"/>
  <c r="P78" i="14"/>
  <c r="P75" i="14"/>
  <c r="P74" i="14"/>
  <c r="P73" i="14"/>
  <c r="P72" i="14"/>
  <c r="P71" i="14"/>
  <c r="P70" i="14"/>
  <c r="P69" i="14"/>
  <c r="P68" i="14"/>
  <c r="P67" i="14"/>
  <c r="P66" i="14"/>
  <c r="P65" i="14"/>
  <c r="P64" i="14"/>
  <c r="P63" i="14"/>
  <c r="P62" i="14"/>
  <c r="P61" i="14"/>
  <c r="P60" i="14"/>
  <c r="P59" i="14"/>
  <c r="P58" i="14"/>
  <c r="P57" i="14"/>
  <c r="P56" i="14"/>
  <c r="P55" i="14"/>
  <c r="P54" i="14"/>
  <c r="P53" i="14"/>
  <c r="P52" i="14"/>
  <c r="P51" i="14"/>
  <c r="P50" i="14"/>
  <c r="P49" i="14"/>
  <c r="P48" i="14"/>
  <c r="P47" i="14"/>
  <c r="P46" i="14"/>
  <c r="P44" i="14"/>
  <c r="P43" i="14"/>
  <c r="P42" i="14"/>
  <c r="P41" i="14"/>
  <c r="P40" i="14"/>
  <c r="P39" i="14"/>
  <c r="P38" i="14"/>
  <c r="P37" i="14"/>
  <c r="P36" i="14"/>
  <c r="P35" i="14"/>
  <c r="P34" i="14"/>
  <c r="P33" i="14"/>
  <c r="P32" i="14"/>
  <c r="P31" i="14"/>
  <c r="P30" i="14"/>
  <c r="P29" i="14"/>
  <c r="P28" i="14"/>
  <c r="P27" i="14"/>
  <c r="P26" i="14"/>
  <c r="P25" i="14"/>
  <c r="P24" i="14"/>
  <c r="P23" i="14"/>
  <c r="P22" i="14"/>
  <c r="P21" i="14"/>
  <c r="P20" i="14"/>
  <c r="P19" i="14"/>
  <c r="P18" i="14"/>
  <c r="P17" i="14"/>
  <c r="P16" i="14"/>
  <c r="P15" i="14"/>
  <c r="P14" i="14"/>
  <c r="P13" i="14"/>
  <c r="P12" i="14"/>
  <c r="P11" i="14"/>
  <c r="P10" i="14"/>
  <c r="P9" i="14"/>
  <c r="P8" i="14"/>
  <c r="P7" i="14"/>
  <c r="P6" i="14"/>
  <c r="N823" i="14" l="1"/>
  <c r="F905" i="14"/>
  <c r="E871" i="14"/>
  <c r="J871" i="14"/>
  <c r="F871" i="14"/>
  <c r="H871" i="14"/>
  <c r="I871" i="14"/>
  <c r="O871" i="14"/>
  <c r="E853" i="14"/>
  <c r="J853" i="14"/>
  <c r="I853" i="14"/>
  <c r="H853" i="14"/>
  <c r="F853" i="14"/>
  <c r="E822" i="14"/>
  <c r="O258" i="14"/>
  <c r="N858" i="14"/>
  <c r="N860" i="14"/>
  <c r="N864" i="14"/>
  <c r="N866" i="14"/>
  <c r="N869" i="14"/>
  <c r="N857" i="14"/>
  <c r="N859" i="14"/>
  <c r="N861" i="14"/>
  <c r="N870" i="14"/>
  <c r="N854" i="14"/>
  <c r="N873" i="14"/>
  <c r="N875" i="14"/>
  <c r="N832" i="14"/>
  <c r="N834" i="14"/>
  <c r="N836" i="14"/>
  <c r="N838" i="14"/>
  <c r="N840" i="14"/>
  <c r="N842" i="14"/>
  <c r="N831" i="14"/>
  <c r="N837" i="14"/>
  <c r="N841" i="14"/>
  <c r="N872" i="14"/>
  <c r="N874" i="14"/>
  <c r="N876" i="14"/>
  <c r="E844" i="14"/>
  <c r="J388" i="14"/>
  <c r="E488" i="14"/>
  <c r="J488" i="14"/>
  <c r="I488" i="14"/>
  <c r="J510" i="14"/>
  <c r="F544" i="14"/>
  <c r="I544" i="14"/>
  <c r="I581" i="14"/>
  <c r="E581" i="14"/>
  <c r="H581" i="14"/>
  <c r="E615" i="14"/>
  <c r="H615" i="14"/>
  <c r="J615" i="14"/>
  <c r="F757" i="14"/>
  <c r="H488" i="14"/>
  <c r="J290" i="14"/>
  <c r="I325" i="14"/>
  <c r="J798" i="14"/>
  <c r="H290" i="14"/>
  <c r="E388" i="14"/>
  <c r="E423" i="14"/>
  <c r="H423" i="14"/>
  <c r="J423" i="14"/>
  <c r="F488" i="14"/>
  <c r="F510" i="14"/>
  <c r="I510" i="14"/>
  <c r="E510" i="14"/>
  <c r="H510" i="14"/>
  <c r="J581" i="14"/>
  <c r="I687" i="14"/>
  <c r="E714" i="14"/>
  <c r="H714" i="14"/>
  <c r="J714" i="14"/>
  <c r="H798" i="14"/>
  <c r="F822" i="14"/>
  <c r="I822" i="14"/>
  <c r="H456" i="14"/>
  <c r="J456" i="14"/>
  <c r="P117" i="14"/>
  <c r="P124" i="14" s="1"/>
  <c r="P108" i="14"/>
  <c r="P110" i="14" s="1"/>
  <c r="H650" i="14"/>
  <c r="I258" i="14"/>
  <c r="E290" i="14"/>
  <c r="E325" i="14"/>
  <c r="H325" i="14"/>
  <c r="J325" i="14"/>
  <c r="F325" i="14"/>
  <c r="H388" i="14"/>
  <c r="F423" i="14"/>
  <c r="I423" i="14"/>
  <c r="P534" i="14"/>
  <c r="P539" i="14" s="1"/>
  <c r="F615" i="14"/>
  <c r="I615" i="14"/>
  <c r="E687" i="14"/>
  <c r="H687" i="14"/>
  <c r="J687" i="14"/>
  <c r="E757" i="14"/>
  <c r="H757" i="14"/>
  <c r="J757" i="14"/>
  <c r="P720" i="14"/>
  <c r="P724" i="14" s="1"/>
  <c r="I757" i="14"/>
  <c r="E798" i="14"/>
  <c r="H822" i="14"/>
  <c r="P679" i="14"/>
  <c r="P684" i="14" s="1"/>
  <c r="O822" i="14"/>
  <c r="O798" i="14"/>
  <c r="P197" i="14"/>
  <c r="P205" i="14" s="1"/>
  <c r="P229" i="14"/>
  <c r="P237" i="14" s="1"/>
  <c r="P296" i="14"/>
  <c r="P298" i="14" s="1"/>
  <c r="P306" i="14"/>
  <c r="P314" i="14" s="1"/>
  <c r="P138" i="14"/>
  <c r="P144" i="14" s="1"/>
  <c r="P221" i="14"/>
  <c r="P224" i="14" s="1"/>
  <c r="P318" i="14"/>
  <c r="P322" i="14" s="1"/>
  <c r="O290" i="14"/>
  <c r="O325" i="14"/>
  <c r="O388" i="14"/>
  <c r="O423" i="14"/>
  <c r="E456" i="14"/>
  <c r="O488" i="14"/>
  <c r="O544" i="14"/>
  <c r="F581" i="14"/>
  <c r="O650" i="14"/>
  <c r="O687" i="14"/>
  <c r="F687" i="14"/>
  <c r="O714" i="14"/>
  <c r="P734" i="14"/>
  <c r="P745" i="14" s="1"/>
  <c r="O757" i="14"/>
  <c r="P807" i="14"/>
  <c r="P816" i="14" s="1"/>
  <c r="P800" i="14"/>
  <c r="P805" i="14" s="1"/>
  <c r="P749" i="14"/>
  <c r="P754" i="14" s="1"/>
  <c r="P716" i="14"/>
  <c r="P718" i="14" s="1"/>
  <c r="P725" i="14"/>
  <c r="P731" i="14" s="1"/>
  <c r="P746" i="14"/>
  <c r="P748" i="14" s="1"/>
  <c r="P651" i="14"/>
  <c r="P654" i="14" s="1"/>
  <c r="P661" i="14"/>
  <c r="P667" i="14" s="1"/>
  <c r="P656" i="14"/>
  <c r="P660" i="14" s="1"/>
  <c r="P669" i="14"/>
  <c r="P678" i="14" s="1"/>
  <c r="P616" i="14"/>
  <c r="P617" i="14" s="1"/>
  <c r="P587" i="14"/>
  <c r="P591" i="14" s="1"/>
  <c r="P582" i="14"/>
  <c r="P585" i="14" s="1"/>
  <c r="P592" i="14"/>
  <c r="P599" i="14" s="1"/>
  <c r="P519" i="14"/>
  <c r="P530" i="14" s="1"/>
  <c r="P512" i="14"/>
  <c r="P517" i="14" s="1"/>
  <c r="P531" i="14"/>
  <c r="P533" i="14" s="1"/>
  <c r="P543" i="14"/>
  <c r="P462" i="14"/>
  <c r="P465" i="14" s="1"/>
  <c r="P474" i="14"/>
  <c r="P483" i="14" s="1"/>
  <c r="P459" i="14"/>
  <c r="P460" i="14" s="1"/>
  <c r="P466" i="14"/>
  <c r="P472" i="14" s="1"/>
  <c r="P390" i="14"/>
  <c r="P392" i="14" s="1"/>
  <c r="P399" i="14"/>
  <c r="P404" i="14" s="1"/>
  <c r="P418" i="14"/>
  <c r="P420" i="14" s="1"/>
  <c r="P394" i="14"/>
  <c r="P398" i="14" s="1"/>
  <c r="P406" i="14"/>
  <c r="P417" i="14" s="1"/>
  <c r="P291" i="14"/>
  <c r="P292" i="14"/>
  <c r="P294" i="14" s="1"/>
  <c r="P299" i="14"/>
  <c r="P304" i="14" s="1"/>
  <c r="P315" i="14"/>
  <c r="P317" i="14" s="1"/>
  <c r="P182" i="14"/>
  <c r="P187" i="14" s="1"/>
  <c r="P165" i="14"/>
  <c r="P166" i="14" s="1"/>
  <c r="F258" i="14"/>
  <c r="P146" i="14"/>
  <c r="P159" i="14" s="1"/>
  <c r="P112" i="14"/>
  <c r="P116" i="14" s="1"/>
  <c r="P126" i="14"/>
  <c r="P137" i="14" s="1"/>
  <c r="P168" i="14"/>
  <c r="P181" i="14" s="1"/>
  <c r="P190" i="14"/>
  <c r="P195" i="14"/>
  <c r="P207" i="14"/>
  <c r="P220" i="14" s="1"/>
  <c r="P225" i="14"/>
  <c r="P227" i="14" s="1"/>
  <c r="P107" i="14"/>
  <c r="E258" i="14"/>
  <c r="H258" i="14"/>
  <c r="J258" i="14"/>
  <c r="P264" i="14"/>
  <c r="P268" i="14" s="1"/>
  <c r="P269" i="14"/>
  <c r="P275" i="14" s="1"/>
  <c r="P330" i="14"/>
  <c r="P333" i="14" s="1"/>
  <c r="P424" i="14"/>
  <c r="P427" i="14" s="1"/>
  <c r="P429" i="14"/>
  <c r="P433" i="14" s="1"/>
  <c r="P434" i="14"/>
  <c r="P440" i="14" s="1"/>
  <c r="F456" i="14"/>
  <c r="I456" i="14"/>
  <c r="P546" i="14"/>
  <c r="P548" i="14" s="1"/>
  <c r="P570" i="14"/>
  <c r="P699" i="14"/>
  <c r="P700" i="14" s="1"/>
  <c r="P702" i="14"/>
  <c r="P711" i="14" s="1"/>
  <c r="P771" i="14"/>
  <c r="P773" i="14"/>
  <c r="P779" i="14"/>
  <c r="P781" i="14"/>
  <c r="P787" i="14"/>
  <c r="P789" i="14"/>
  <c r="P791" i="14"/>
  <c r="P793" i="14"/>
  <c r="P260" i="14"/>
  <c r="P262" i="14" s="1"/>
  <c r="F290" i="14"/>
  <c r="I290" i="14"/>
  <c r="P277" i="14"/>
  <c r="P287" i="14" s="1"/>
  <c r="P326" i="14"/>
  <c r="P328" i="14" s="1"/>
  <c r="F388" i="14"/>
  <c r="I388" i="14"/>
  <c r="P334" i="14"/>
  <c r="P342" i="14" s="1"/>
  <c r="P344" i="14"/>
  <c r="P356" i="14" s="1"/>
  <c r="P357" i="14"/>
  <c r="P362" i="14" s="1"/>
  <c r="P364" i="14"/>
  <c r="P372" i="14" s="1"/>
  <c r="P373" i="14"/>
  <c r="P375" i="14" s="1"/>
  <c r="P376" i="14"/>
  <c r="P381" i="14" s="1"/>
  <c r="P442" i="14"/>
  <c r="P453" i="14" s="1"/>
  <c r="O456" i="14"/>
  <c r="P490" i="14"/>
  <c r="P495" i="14" s="1"/>
  <c r="O510" i="14"/>
  <c r="P497" i="14"/>
  <c r="P507" i="14" s="1"/>
  <c r="E544" i="14"/>
  <c r="H544" i="14"/>
  <c r="J544" i="14"/>
  <c r="O581" i="14"/>
  <c r="P550" i="14"/>
  <c r="P555" i="14" s="1"/>
  <c r="P557" i="14"/>
  <c r="P568" i="14" s="1"/>
  <c r="P569" i="14"/>
  <c r="P572" i="14"/>
  <c r="P576" i="14" s="1"/>
  <c r="P601" i="14"/>
  <c r="P612" i="14" s="1"/>
  <c r="O615" i="14"/>
  <c r="P619" i="14"/>
  <c r="P621" i="14" s="1"/>
  <c r="P622" i="14"/>
  <c r="P629" i="14" s="1"/>
  <c r="P631" i="14"/>
  <c r="P641" i="14" s="1"/>
  <c r="P642" i="14"/>
  <c r="P647" i="14" s="1"/>
  <c r="E650" i="14"/>
  <c r="J650" i="14"/>
  <c r="P688" i="14"/>
  <c r="P693" i="14" s="1"/>
  <c r="P695" i="14"/>
  <c r="P697" i="14"/>
  <c r="F714" i="14"/>
  <c r="I714" i="14"/>
  <c r="P701" i="14"/>
  <c r="J822" i="14"/>
  <c r="F650" i="14"/>
  <c r="I650" i="14"/>
  <c r="P760" i="14"/>
  <c r="P762" i="14" s="1"/>
  <c r="F798" i="14"/>
  <c r="I798" i="14"/>
  <c r="P763" i="14"/>
  <c r="P769" i="14" s="1"/>
  <c r="P783" i="14"/>
  <c r="P785" i="14" s="1"/>
  <c r="O853" i="14"/>
  <c r="F956" i="14" l="1"/>
  <c r="F960" i="14" s="1"/>
  <c r="P196" i="14"/>
  <c r="P258" i="14" s="1"/>
  <c r="J823" i="14"/>
  <c r="E823" i="14"/>
  <c r="I823" i="14"/>
  <c r="H823" i="14"/>
  <c r="F823" i="14"/>
  <c r="N853" i="14"/>
  <c r="P456" i="14"/>
  <c r="N822" i="14"/>
  <c r="P488" i="14"/>
  <c r="P571" i="14"/>
  <c r="P581" i="14" s="1"/>
  <c r="I877" i="14"/>
  <c r="H877" i="14"/>
  <c r="P290" i="14"/>
  <c r="P325" i="14"/>
  <c r="P423" i="14"/>
  <c r="O877" i="14"/>
  <c r="O823" i="14"/>
  <c r="P757" i="14"/>
  <c r="P822" i="14"/>
  <c r="P687" i="14"/>
  <c r="P650" i="14"/>
  <c r="P615" i="14"/>
  <c r="P544" i="14"/>
  <c r="P510" i="14"/>
  <c r="P388" i="14"/>
  <c r="F877" i="14"/>
  <c r="J877" i="14"/>
  <c r="P698" i="14"/>
  <c r="P714" i="14" s="1"/>
  <c r="E877" i="14"/>
  <c r="P795" i="14"/>
  <c r="P782" i="14"/>
  <c r="P798" i="14" l="1"/>
  <c r="P823" i="14" s="1"/>
  <c r="D650" i="14"/>
  <c r="D877" i="14" s="1"/>
  <c r="D823" i="14" l="1"/>
</calcChain>
</file>

<file path=xl/sharedStrings.xml><?xml version="1.0" encoding="utf-8"?>
<sst xmlns="http://schemas.openxmlformats.org/spreadsheetml/2006/main" count="1162" uniqueCount="195">
  <si>
    <t>Részletező</t>
  </si>
  <si>
    <t>COFOG</t>
  </si>
  <si>
    <t>Rovat</t>
  </si>
  <si>
    <t>Átcsoportosítás</t>
  </si>
  <si>
    <t>1121 - Komló</t>
  </si>
  <si>
    <t>018030</t>
  </si>
  <si>
    <t>B16</t>
  </si>
  <si>
    <t>B8131</t>
  </si>
  <si>
    <t>B816</t>
  </si>
  <si>
    <t>102031</t>
  </si>
  <si>
    <t>B405</t>
  </si>
  <si>
    <t>102032</t>
  </si>
  <si>
    <t>107013</t>
  </si>
  <si>
    <t>B406</t>
  </si>
  <si>
    <t>B411</t>
  </si>
  <si>
    <t>107051</t>
  </si>
  <si>
    <t>B407</t>
  </si>
  <si>
    <t>107052</t>
  </si>
  <si>
    <t>B403</t>
  </si>
  <si>
    <t>B4082</t>
  </si>
  <si>
    <t>107053</t>
  </si>
  <si>
    <t>1122- Bikal</t>
  </si>
  <si>
    <t>1123 - Bodolyabér</t>
  </si>
  <si>
    <t>108030</t>
  </si>
  <si>
    <t>1124 - Egyházaskozár</t>
  </si>
  <si>
    <t>1125 - Hegyhátmaróc</t>
  </si>
  <si>
    <t>1127 - Kárász</t>
  </si>
  <si>
    <t>1128 - Köblény</t>
  </si>
  <si>
    <t>1129 - Liget</t>
  </si>
  <si>
    <t>1130 - Magyaregregy</t>
  </si>
  <si>
    <t>1131 - Magyarhertelend</t>
  </si>
  <si>
    <t>1132 - Magyarszék</t>
  </si>
  <si>
    <t>1133 - Mánfa</t>
  </si>
  <si>
    <t>1135 - Mecsekpölöske</t>
  </si>
  <si>
    <t>1136 - Oroszló</t>
  </si>
  <si>
    <t>1137 - Szalatnak</t>
  </si>
  <si>
    <t>1138 - Szászvár</t>
  </si>
  <si>
    <t>1141 - Vékény</t>
  </si>
  <si>
    <t>041233</t>
  </si>
  <si>
    <t>K1101</t>
  </si>
  <si>
    <t>K1</t>
  </si>
  <si>
    <t>K2</t>
  </si>
  <si>
    <t>K311</t>
  </si>
  <si>
    <t>K336</t>
  </si>
  <si>
    <t>K351</t>
  </si>
  <si>
    <t>K3</t>
  </si>
  <si>
    <t>K1107</t>
  </si>
  <si>
    <t>K1108</t>
  </si>
  <si>
    <t>K1109</t>
  </si>
  <si>
    <t>K1110</t>
  </si>
  <si>
    <t>K1113</t>
  </si>
  <si>
    <t>K123</t>
  </si>
  <si>
    <t>K312</t>
  </si>
  <si>
    <t>K321</t>
  </si>
  <si>
    <t>K322</t>
  </si>
  <si>
    <t>K331</t>
  </si>
  <si>
    <t>K334</t>
  </si>
  <si>
    <t>K337</t>
  </si>
  <si>
    <t>K341</t>
  </si>
  <si>
    <t>K355</t>
  </si>
  <si>
    <t>K332</t>
  </si>
  <si>
    <t>K333</t>
  </si>
  <si>
    <t>K1106</t>
  </si>
  <si>
    <t>K335</t>
  </si>
  <si>
    <t>K1104</t>
  </si>
  <si>
    <t>5122 - Bikal</t>
  </si>
  <si>
    <t>K506</t>
  </si>
  <si>
    <t>5123 - Bodolyabér</t>
  </si>
  <si>
    <t>5124 - Egyházaskozár</t>
  </si>
  <si>
    <t>5127 - Kárász</t>
  </si>
  <si>
    <t>014233</t>
  </si>
  <si>
    <t>5128 - Köblény</t>
  </si>
  <si>
    <t>5129 - Liget</t>
  </si>
  <si>
    <t>5130 - Magyaregregy</t>
  </si>
  <si>
    <t>5131 - Magyarhertelend</t>
  </si>
  <si>
    <t>5132 - Magyarszék</t>
  </si>
  <si>
    <t>5133 - Mánfa</t>
  </si>
  <si>
    <t>51211 - Szoc ágazati Komló 107052</t>
  </si>
  <si>
    <t>51212 -Szoc ágazati Komló 102031</t>
  </si>
  <si>
    <t>51213 - Szoc ágazati Komló 102032</t>
  </si>
  <si>
    <t>51214 - Szoc ágazati Komló 107013</t>
  </si>
  <si>
    <t>51215 - Szoc ágazati Komló 107051</t>
  </si>
  <si>
    <t>51216 - Bérkomp. Komló 107052</t>
  </si>
  <si>
    <t>51217 - Bérkomp. Komló 102031</t>
  </si>
  <si>
    <t>51218 - Bérkomp. Komló 107013</t>
  </si>
  <si>
    <t>51219 - Bérkomp. Komló 107051</t>
  </si>
  <si>
    <t>51221 - Szoc ágazati Bikal 107052</t>
  </si>
  <si>
    <t>51231 - Szoc ágazati Bodolyabér 107052</t>
  </si>
  <si>
    <t>51241 - Szoc ágazati Egyházaskozár 107052</t>
  </si>
  <si>
    <t>51242 -Szoc ágazati Egyházaskozás 102031</t>
  </si>
  <si>
    <t>51243 - Bérkomp. Egyházaskozár 102031</t>
  </si>
  <si>
    <t>51251 - Szoc ágazati Hegyhátmaróc 107052</t>
  </si>
  <si>
    <t>51271 - Szoc ágazati Kárász 107052</t>
  </si>
  <si>
    <t>51281 - Szoc ágazati Köblény 107052</t>
  </si>
  <si>
    <t>51282 - Bérkomp Köblény 107052</t>
  </si>
  <si>
    <t>51301 - Szoc ágazati Magyaregregy 107052</t>
  </si>
  <si>
    <t>51302 - Bérkomp Magyaregregy 107052</t>
  </si>
  <si>
    <t>51311 - Szoc ágazati Magyarhertelend 107052</t>
  </si>
  <si>
    <t>51312 - Bérkomp Magyarhertelend 107052</t>
  </si>
  <si>
    <t>51321 - Szoc ágazati Magyarszék 107052</t>
  </si>
  <si>
    <t>51331 - Szoc ágazati Mánfa 107052</t>
  </si>
  <si>
    <t>5135 - Mecsekpölöske</t>
  </si>
  <si>
    <t>51351 - Szoc ágazati Mecsekpölöske 107052</t>
  </si>
  <si>
    <t>5136 - Oroszló</t>
  </si>
  <si>
    <t>51361 - Szoc ágazati Oroszló 107052</t>
  </si>
  <si>
    <t>5137 - Szalatnak</t>
  </si>
  <si>
    <t>51371 - Szoc ágazati Szalatnak 107052</t>
  </si>
  <si>
    <t>5138 - Szászvár</t>
  </si>
  <si>
    <t>51381 - Szoc ágazati Szászvár 107052</t>
  </si>
  <si>
    <t>5141 - Vékény</t>
  </si>
  <si>
    <t>51411 - Szoc ágazati Vékény 107052</t>
  </si>
  <si>
    <t>K64</t>
  </si>
  <si>
    <t>K67</t>
  </si>
  <si>
    <t>K6</t>
  </si>
  <si>
    <t>BEVÉTEL ÖSSZESEN</t>
  </si>
  <si>
    <t>KOMLÓ ÖSSZESEN</t>
  </si>
  <si>
    <t>BIKAL ÖSSZESEN</t>
  </si>
  <si>
    <t>BODOLYABÉR ÖSSZESEN</t>
  </si>
  <si>
    <t>EGYHÁZASKOZÁR ÖSSZESEN</t>
  </si>
  <si>
    <t>HEGYHÁTMARÓC ÖSSZESEN</t>
  </si>
  <si>
    <t>KIADÁS ÖSSZESEN</t>
  </si>
  <si>
    <t>KÁRÁSZ ÖSSZESEN</t>
  </si>
  <si>
    <t>KÖBLÉNY ÖSSZESEN</t>
  </si>
  <si>
    <t>51291 - Szoc ágazati Liget 107052</t>
  </si>
  <si>
    <t>LIGET ÖSSZESEN</t>
  </si>
  <si>
    <t>MAGYAREGREGY ÖSSZESEN</t>
  </si>
  <si>
    <t>MAGYARHERTELEND ÖSSZESEN</t>
  </si>
  <si>
    <t>MAGYARSZÉK ÖSSZESEN</t>
  </si>
  <si>
    <t>MÁNFA ÖSSZESEN</t>
  </si>
  <si>
    <t>OROSZLÓ ÖSSZESEN</t>
  </si>
  <si>
    <t>SZALATNAK ÖSSZESEN</t>
  </si>
  <si>
    <t>SZÁSZVÁR ÖSSZESEN</t>
  </si>
  <si>
    <t>VÉKÉNY ÖSSZESEN</t>
  </si>
  <si>
    <t>B25</t>
  </si>
  <si>
    <t>B402</t>
  </si>
  <si>
    <t>5121 - Komló</t>
  </si>
  <si>
    <t>PM INFO egyeztető:</t>
  </si>
  <si>
    <t>B4</t>
  </si>
  <si>
    <t>B8</t>
  </si>
  <si>
    <t>B</t>
  </si>
  <si>
    <t>K</t>
  </si>
  <si>
    <t>Szociális Szolgáltató központ</t>
  </si>
  <si>
    <t>51220-Komló 102032</t>
  </si>
  <si>
    <t>K63</t>
  </si>
  <si>
    <t>5125 - Hegyhátmaróc</t>
  </si>
  <si>
    <t>K352</t>
  </si>
  <si>
    <t>MECSELPÖLÖSKE ÖSSZESEN</t>
  </si>
  <si>
    <t>Módosítás-Működési bevételi többlet</t>
  </si>
  <si>
    <t xml:space="preserve">   </t>
  </si>
  <si>
    <t>Komló Térségi Integrált Szociális Szolgáltató Központ 2020.</t>
  </si>
  <si>
    <t xml:space="preserve">Különbözet (módosított ei. - tény) </t>
  </si>
  <si>
    <t>Módosított bevételek</t>
  </si>
  <si>
    <t>B816 Központi irányító szervi támogatás (szoc.ág.)</t>
  </si>
  <si>
    <t>B16  Műk.c.tám.ért.bev.helyi önkormányzattól</t>
  </si>
  <si>
    <t>B16  Műk.c.tám.ért.bev. EU-s támogatás</t>
  </si>
  <si>
    <t>B1632 Egyéb fejezeti kezelésű működési c. támogatás</t>
  </si>
  <si>
    <t>B25  Felhalmozási célú tám. ért. bev. helyi önkormányzattól</t>
  </si>
  <si>
    <t>B8131 Előző évi ktgv. maradvány igénybevétele</t>
  </si>
  <si>
    <t>B4 Működési bevételek</t>
  </si>
  <si>
    <t>B5 Felhalmozási bevételek</t>
  </si>
  <si>
    <t>ÖSSZESEN:</t>
  </si>
  <si>
    <t>Módosított kiadások</t>
  </si>
  <si>
    <t>K915 Központi. Irányító szervi támogatás</t>
  </si>
  <si>
    <t>K5066 Műk.c.tám.ért.kiadás helyi önkormányzatnak</t>
  </si>
  <si>
    <t>K1 Személyi juttatások</t>
  </si>
  <si>
    <t>K2 Járulékok</t>
  </si>
  <si>
    <t>K3 Dologi és folyó kiadások</t>
  </si>
  <si>
    <t>K6 Felhalmozási kiadások</t>
  </si>
  <si>
    <t>K50632 Egyéb műk. c. tám. Áht-n belülről</t>
  </si>
  <si>
    <t>K50233 Elvonások és befizetések</t>
  </si>
  <si>
    <t>Átcsoportosított bevételek</t>
  </si>
  <si>
    <t>B816 Központi irányító szervi támogatás (bérkomp/szoc.ág.)</t>
  </si>
  <si>
    <t>B816 Központi irányító szervi támogatás (normatíva)</t>
  </si>
  <si>
    <t>B16  Műk.c.tám.ért.bev. elk.állami pénzalapoktól</t>
  </si>
  <si>
    <t>B16  Egyéb fejezeti kezelésű működési c. támogatás</t>
  </si>
  <si>
    <t>B25 Felhalmozási célú tám. ért. bev. helyi önkormányzattól</t>
  </si>
  <si>
    <t>Átcsoportosított kiadások</t>
  </si>
  <si>
    <t>K6 Beruházási kiadások</t>
  </si>
  <si>
    <t>K7 Felújítási kiadások</t>
  </si>
  <si>
    <t>BEVÉTELEK</t>
  </si>
  <si>
    <t>B816 Központi irányító szervi támogatás (szoc.ág.pótlék)</t>
  </si>
  <si>
    <t>B16 Műk.c.tám.ért.bev. Helyi önkormányzattól</t>
  </si>
  <si>
    <t>B16 Műk.c.tám.ért.bev. elk.állami pénzalapoktól</t>
  </si>
  <si>
    <t>B16 Egyéb fejezeti kezelésű működési c. támogatás</t>
  </si>
  <si>
    <t>KIADÁSOK</t>
  </si>
  <si>
    <t>Előirányzat változások</t>
  </si>
  <si>
    <t>K342</t>
  </si>
  <si>
    <t>Tény 08.31.</t>
  </si>
  <si>
    <t>Normatíva (05.és 07.havi)</t>
  </si>
  <si>
    <t>Működési bevételi többlet</t>
  </si>
  <si>
    <t>Módosított ei. 05.31.</t>
  </si>
  <si>
    <t>Módosított ei. 09.30.</t>
  </si>
  <si>
    <t>Normatíva növekedés</t>
  </si>
  <si>
    <t>Önk-i műk.hj. Csökkenés</t>
  </si>
  <si>
    <t>Kiegészítő támogatás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</si>
</sst>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_-* #,##0_-;\-* #,##0_-;_-* &quot;-&quot;??_-;_-@_-"/>
    <numFmt numFmtId="165" formatCode="#,##0_ ;\-#,##0\ "/>
    <numFmt numFmtId="166" formatCode="#,##0\ &quot;Ft&quot;"/>
  </numFmts>
  <fonts count="3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color rgb="FF000000"/>
      <name val="Arial"/>
      <family val="2"/>
      <charset val="238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238"/>
    </font>
    <font>
      <b/>
      <sz val="12"/>
      <color rgb="FF000000"/>
      <name val="Arial"/>
      <family val="2"/>
      <charset val="238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0"/>
      <name val="Arial"/>
      <family val="2"/>
      <charset val="238"/>
    </font>
    <font>
      <sz val="10"/>
      <color rgb="FF000000"/>
      <name val="Arial"/>
      <family val="2"/>
      <charset val="238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i/>
      <sz val="10"/>
      <color rgb="FF000000"/>
      <name val="Arial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9F468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3" tint="0.79998168889431442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auto="1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6">
    <xf numFmtId="0" fontId="0" fillId="0" borderId="0"/>
    <xf numFmtId="43" fontId="12" fillId="0" borderId="0" applyFont="0" applyFill="0" applyBorder="0" applyAlignment="0" applyProtection="0"/>
    <xf numFmtId="0" fontId="13" fillId="0" borderId="0"/>
    <xf numFmtId="43" fontId="13" fillId="0" borderId="0" applyFont="0" applyFill="0" applyBorder="0" applyAlignment="0" applyProtection="0"/>
    <xf numFmtId="0" fontId="22" fillId="0" borderId="0"/>
    <xf numFmtId="43" fontId="13" fillId="0" borderId="0" applyFont="0" applyFill="0" applyBorder="0" applyAlignment="0" applyProtection="0"/>
  </cellStyleXfs>
  <cellXfs count="249">
    <xf numFmtId="0" fontId="0" fillId="0" borderId="0" xfId="0"/>
    <xf numFmtId="49" fontId="0" fillId="0" borderId="0" xfId="0" applyNumberFormat="1"/>
    <xf numFmtId="0" fontId="0" fillId="0" borderId="1" xfId="0" applyBorder="1"/>
    <xf numFmtId="49" fontId="0" fillId="0" borderId="1" xfId="0" applyNumberFormat="1" applyBorder="1"/>
    <xf numFmtId="49" fontId="0" fillId="0" borderId="1" xfId="0" applyNumberFormat="1" applyBorder="1" applyAlignment="1">
      <alignment horizontal="center"/>
    </xf>
    <xf numFmtId="0" fontId="0" fillId="0" borderId="2" xfId="0" applyBorder="1"/>
    <xf numFmtId="0" fontId="10" fillId="2" borderId="1" xfId="0" applyFont="1" applyFill="1" applyBorder="1"/>
    <xf numFmtId="0" fontId="9" fillId="0" borderId="1" xfId="0" applyFont="1" applyBorder="1"/>
    <xf numFmtId="0" fontId="0" fillId="0" borderId="3" xfId="0" applyBorder="1"/>
    <xf numFmtId="0" fontId="0" fillId="0" borderId="9" xfId="0" applyBorder="1"/>
    <xf numFmtId="0" fontId="0" fillId="0" borderId="10" xfId="0" applyBorder="1"/>
    <xf numFmtId="49" fontId="0" fillId="0" borderId="9" xfId="0" applyNumberFormat="1" applyBorder="1" applyAlignment="1">
      <alignment horizontal="center"/>
    </xf>
    <xf numFmtId="0" fontId="8" fillId="0" borderId="1" xfId="0" applyFont="1" applyBorder="1"/>
    <xf numFmtId="164" fontId="0" fillId="0" borderId="0" xfId="1" applyNumberFormat="1" applyFont="1"/>
    <xf numFmtId="165" fontId="0" fillId="0" borderId="1" xfId="1" applyNumberFormat="1" applyFont="1" applyBorder="1"/>
    <xf numFmtId="165" fontId="0" fillId="0" borderId="9" xfId="1" applyNumberFormat="1" applyFont="1" applyBorder="1"/>
    <xf numFmtId="165" fontId="0" fillId="0" borderId="3" xfId="1" applyNumberFormat="1" applyFont="1" applyBorder="1"/>
    <xf numFmtId="165" fontId="0" fillId="0" borderId="2" xfId="1" applyNumberFormat="1" applyFont="1" applyBorder="1"/>
    <xf numFmtId="165" fontId="10" fillId="2" borderId="1" xfId="1" applyNumberFormat="1" applyFont="1" applyFill="1" applyBorder="1"/>
    <xf numFmtId="0" fontId="0" fillId="0" borderId="0" xfId="0" applyFill="1"/>
    <xf numFmtId="165" fontId="0" fillId="2" borderId="1" xfId="1" applyNumberFormat="1" applyFont="1" applyFill="1" applyBorder="1"/>
    <xf numFmtId="165" fontId="0" fillId="0" borderId="1" xfId="1" applyNumberFormat="1" applyFont="1" applyFill="1" applyBorder="1"/>
    <xf numFmtId="165" fontId="0" fillId="0" borderId="9" xfId="1" applyNumberFormat="1" applyFont="1" applyFill="1" applyBorder="1"/>
    <xf numFmtId="0" fontId="14" fillId="0" borderId="0" xfId="2" applyFont="1" applyFill="1" applyProtection="1">
      <protection locked="0"/>
    </xf>
    <xf numFmtId="164" fontId="0" fillId="0" borderId="1" xfId="1" applyNumberFormat="1" applyFont="1" applyBorder="1"/>
    <xf numFmtId="165" fontId="0" fillId="0" borderId="1" xfId="1" applyNumberFormat="1" applyFont="1" applyBorder="1" applyAlignment="1">
      <alignment wrapText="1"/>
    </xf>
    <xf numFmtId="165" fontId="16" fillId="2" borderId="1" xfId="1" applyNumberFormat="1" applyFont="1" applyFill="1" applyBorder="1"/>
    <xf numFmtId="0" fontId="0" fillId="0" borderId="0" xfId="0" applyFont="1"/>
    <xf numFmtId="164" fontId="0" fillId="0" borderId="1" xfId="1" applyNumberFormat="1" applyFont="1" applyFill="1" applyBorder="1"/>
    <xf numFmtId="0" fontId="0" fillId="0" borderId="5" xfId="0" applyFill="1" applyBorder="1"/>
    <xf numFmtId="0" fontId="0" fillId="0" borderId="1" xfId="0" applyFill="1" applyBorder="1"/>
    <xf numFmtId="0" fontId="0" fillId="0" borderId="2" xfId="0" applyFill="1" applyBorder="1"/>
    <xf numFmtId="165" fontId="17" fillId="0" borderId="1" xfId="1" applyNumberFormat="1" applyFont="1" applyFill="1" applyBorder="1"/>
    <xf numFmtId="165" fontId="17" fillId="0" borderId="1" xfId="1" applyNumberFormat="1" applyFont="1" applyBorder="1"/>
    <xf numFmtId="165" fontId="18" fillId="2" borderId="1" xfId="1" applyNumberFormat="1" applyFont="1" applyFill="1" applyBorder="1"/>
    <xf numFmtId="0" fontId="7" fillId="0" borderId="1" xfId="0" applyFont="1" applyFill="1" applyBorder="1"/>
    <xf numFmtId="3" fontId="0" fillId="0" borderId="0" xfId="0" applyNumberFormat="1"/>
    <xf numFmtId="3" fontId="10" fillId="2" borderId="1" xfId="0" applyNumberFormat="1" applyFont="1" applyFill="1" applyBorder="1"/>
    <xf numFmtId="0" fontId="0" fillId="0" borderId="0" xfId="0" applyAlignment="1">
      <alignment wrapText="1"/>
    </xf>
    <xf numFmtId="164" fontId="0" fillId="0" borderId="0" xfId="1" applyNumberFormat="1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6" fillId="0" borderId="1" xfId="0" applyFont="1" applyFill="1" applyBorder="1"/>
    <xf numFmtId="0" fontId="6" fillId="0" borderId="0" xfId="0" applyFont="1" applyFill="1"/>
    <xf numFmtId="3" fontId="0" fillId="0" borderId="0" xfId="0" applyNumberFormat="1" applyAlignment="1">
      <alignment wrapText="1"/>
    </xf>
    <xf numFmtId="3" fontId="6" fillId="0" borderId="0" xfId="0" applyNumberFormat="1" applyFont="1" applyFill="1"/>
    <xf numFmtId="3" fontId="0" fillId="0" borderId="0" xfId="0" applyNumberFormat="1" applyAlignment="1">
      <alignment horizontal="center" vertical="center" wrapText="1"/>
    </xf>
    <xf numFmtId="165" fontId="0" fillId="0" borderId="2" xfId="1" applyNumberFormat="1" applyFont="1" applyFill="1" applyBorder="1"/>
    <xf numFmtId="165" fontId="17" fillId="0" borderId="2" xfId="1" applyNumberFormat="1" applyFont="1" applyFill="1" applyBorder="1"/>
    <xf numFmtId="164" fontId="17" fillId="0" borderId="0" xfId="1" applyNumberFormat="1" applyFont="1"/>
    <xf numFmtId="165" fontId="19" fillId="2" borderId="1" xfId="1" applyNumberFormat="1" applyFont="1" applyFill="1" applyBorder="1"/>
    <xf numFmtId="164" fontId="17" fillId="0" borderId="1" xfId="1" applyNumberFormat="1" applyFont="1" applyBorder="1"/>
    <xf numFmtId="164" fontId="17" fillId="0" borderId="1" xfId="1" applyNumberFormat="1" applyFont="1" applyFill="1" applyBorder="1"/>
    <xf numFmtId="0" fontId="17" fillId="0" borderId="0" xfId="0" applyFont="1"/>
    <xf numFmtId="3" fontId="0" fillId="0" borderId="0" xfId="0" applyNumberFormat="1" applyFill="1"/>
    <xf numFmtId="0" fontId="5" fillId="0" borderId="1" xfId="0" applyFont="1" applyFill="1" applyBorder="1"/>
    <xf numFmtId="165" fontId="0" fillId="6" borderId="1" xfId="1" applyNumberFormat="1" applyFont="1" applyFill="1" applyBorder="1"/>
    <xf numFmtId="165" fontId="17" fillId="6" borderId="1" xfId="1" applyNumberFormat="1" applyFont="1" applyFill="1" applyBorder="1"/>
    <xf numFmtId="0" fontId="10" fillId="6" borderId="1" xfId="0" applyFont="1" applyFill="1" applyBorder="1"/>
    <xf numFmtId="165" fontId="10" fillId="7" borderId="1" xfId="1" applyNumberFormat="1" applyFont="1" applyFill="1" applyBorder="1" applyAlignment="1">
      <alignment vertical="center"/>
    </xf>
    <xf numFmtId="165" fontId="16" fillId="7" borderId="1" xfId="1" applyNumberFormat="1" applyFont="1" applyFill="1" applyBorder="1" applyAlignment="1">
      <alignment vertical="center"/>
    </xf>
    <xf numFmtId="165" fontId="10" fillId="7" borderId="1" xfId="1" applyNumberFormat="1" applyFont="1" applyFill="1" applyBorder="1"/>
    <xf numFmtId="165" fontId="16" fillId="7" borderId="1" xfId="1" applyNumberFormat="1" applyFont="1" applyFill="1" applyBorder="1"/>
    <xf numFmtId="165" fontId="16" fillId="7" borderId="1" xfId="1" applyNumberFormat="1" applyFont="1" applyFill="1" applyBorder="1" applyAlignment="1">
      <alignment horizontal="right"/>
    </xf>
    <xf numFmtId="165" fontId="19" fillId="7" borderId="2" xfId="1" applyNumberFormat="1" applyFont="1" applyFill="1" applyBorder="1"/>
    <xf numFmtId="0" fontId="4" fillId="0" borderId="1" xfId="0" applyFont="1" applyBorder="1"/>
    <xf numFmtId="165" fontId="16" fillId="5" borderId="3" xfId="1" applyNumberFormat="1" applyFont="1" applyFill="1" applyBorder="1" applyAlignment="1">
      <alignment vertical="center"/>
    </xf>
    <xf numFmtId="165" fontId="10" fillId="5" borderId="1" xfId="1" applyNumberFormat="1" applyFont="1" applyFill="1" applyBorder="1" applyAlignment="1">
      <alignment vertical="center"/>
    </xf>
    <xf numFmtId="0" fontId="3" fillId="0" borderId="1" xfId="0" applyFont="1" applyFill="1" applyBorder="1"/>
    <xf numFmtId="0" fontId="23" fillId="0" borderId="0" xfId="0" applyFont="1"/>
    <xf numFmtId="164" fontId="23" fillId="0" borderId="0" xfId="1" applyNumberFormat="1" applyFont="1"/>
    <xf numFmtId="164" fontId="24" fillId="0" borderId="0" xfId="1" applyNumberFormat="1" applyFont="1"/>
    <xf numFmtId="164" fontId="23" fillId="0" borderId="1" xfId="1" applyNumberFormat="1" applyFont="1" applyBorder="1"/>
    <xf numFmtId="164" fontId="24" fillId="0" borderId="1" xfId="1" applyNumberFormat="1" applyFont="1" applyBorder="1"/>
    <xf numFmtId="164" fontId="25" fillId="3" borderId="1" xfId="1" applyNumberFormat="1" applyFont="1" applyFill="1" applyBorder="1"/>
    <xf numFmtId="164" fontId="26" fillId="3" borderId="1" xfId="1" applyNumberFormat="1" applyFont="1" applyFill="1" applyBorder="1"/>
    <xf numFmtId="164" fontId="24" fillId="0" borderId="1" xfId="1" applyNumberFormat="1" applyFont="1" applyFill="1" applyBorder="1"/>
    <xf numFmtId="164" fontId="23" fillId="0" borderId="1" xfId="1" applyNumberFormat="1" applyFont="1" applyFill="1" applyBorder="1"/>
    <xf numFmtId="164" fontId="25" fillId="4" borderId="1" xfId="1" applyNumberFormat="1" applyFont="1" applyFill="1" applyBorder="1"/>
    <xf numFmtId="164" fontId="26" fillId="4" borderId="1" xfId="1" applyNumberFormat="1" applyFont="1" applyFill="1" applyBorder="1"/>
    <xf numFmtId="0" fontId="17" fillId="0" borderId="1" xfId="0" applyFont="1" applyBorder="1"/>
    <xf numFmtId="3" fontId="17" fillId="0" borderId="0" xfId="0" applyNumberFormat="1" applyFont="1"/>
    <xf numFmtId="0" fontId="17" fillId="0" borderId="1" xfId="0" applyFont="1" applyFill="1" applyBorder="1"/>
    <xf numFmtId="49" fontId="17" fillId="0" borderId="1" xfId="0" applyNumberFormat="1" applyFont="1" applyBorder="1" applyAlignment="1">
      <alignment horizontal="center" vertical="center"/>
    </xf>
    <xf numFmtId="0" fontId="17" fillId="0" borderId="9" xfId="0" applyFont="1" applyBorder="1"/>
    <xf numFmtId="165" fontId="17" fillId="0" borderId="9" xfId="1" applyNumberFormat="1" applyFont="1" applyFill="1" applyBorder="1"/>
    <xf numFmtId="164" fontId="23" fillId="3" borderId="3" xfId="1" applyNumberFormat="1" applyFont="1" applyFill="1" applyBorder="1" applyAlignment="1">
      <alignment horizontal="center" vertical="center" wrapText="1"/>
    </xf>
    <xf numFmtId="0" fontId="2" fillId="0" borderId="1" xfId="0" applyFont="1" applyFill="1" applyBorder="1"/>
    <xf numFmtId="164" fontId="0" fillId="0" borderId="9" xfId="1" applyNumberFormat="1" applyFont="1" applyBorder="1"/>
    <xf numFmtId="164" fontId="0" fillId="0" borderId="10" xfId="1" applyNumberFormat="1" applyFont="1" applyBorder="1"/>
    <xf numFmtId="164" fontId="0" fillId="0" borderId="3" xfId="1" applyNumberFormat="1" applyFont="1" applyBorder="1"/>
    <xf numFmtId="164" fontId="0" fillId="0" borderId="2" xfId="1" applyNumberFormat="1" applyFont="1" applyBorder="1"/>
    <xf numFmtId="164" fontId="17" fillId="0" borderId="9" xfId="1" applyNumberFormat="1" applyFont="1" applyBorder="1"/>
    <xf numFmtId="164" fontId="0" fillId="0" borderId="3" xfId="1" applyNumberFormat="1" applyFont="1" applyFill="1" applyBorder="1"/>
    <xf numFmtId="164" fontId="0" fillId="0" borderId="5" xfId="1" applyNumberFormat="1" applyFont="1" applyBorder="1"/>
    <xf numFmtId="164" fontId="10" fillId="5" borderId="3" xfId="1" applyNumberFormat="1" applyFont="1" applyFill="1" applyBorder="1" applyAlignment="1">
      <alignment vertical="center"/>
    </xf>
    <xf numFmtId="164" fontId="10" fillId="2" borderId="1" xfId="1" applyNumberFormat="1" applyFont="1" applyFill="1" applyBorder="1"/>
    <xf numFmtId="164" fontId="10" fillId="6" borderId="1" xfId="1" applyNumberFormat="1" applyFont="1" applyFill="1" applyBorder="1"/>
    <xf numFmtId="164" fontId="0" fillId="6" borderId="1" xfId="1" applyNumberFormat="1" applyFont="1" applyFill="1" applyBorder="1"/>
    <xf numFmtId="164" fontId="6" fillId="0" borderId="1" xfId="1" applyNumberFormat="1" applyFont="1" applyFill="1" applyBorder="1"/>
    <xf numFmtId="164" fontId="10" fillId="7" borderId="1" xfId="1" applyNumberFormat="1" applyFont="1" applyFill="1" applyBorder="1" applyAlignment="1">
      <alignment vertical="center"/>
    </xf>
    <xf numFmtId="164" fontId="9" fillId="0" borderId="1" xfId="1" applyNumberFormat="1" applyFont="1" applyBorder="1"/>
    <xf numFmtId="164" fontId="10" fillId="7" borderId="1" xfId="1" applyNumberFormat="1" applyFont="1" applyFill="1" applyBorder="1"/>
    <xf numFmtId="164" fontId="16" fillId="2" borderId="1" xfId="1" applyNumberFormat="1" applyFont="1" applyFill="1" applyBorder="1"/>
    <xf numFmtId="164" fontId="10" fillId="7" borderId="1" xfId="1" applyNumberFormat="1" applyFont="1" applyFill="1" applyBorder="1" applyAlignment="1">
      <alignment horizontal="right"/>
    </xf>
    <xf numFmtId="164" fontId="8" fillId="0" borderId="1" xfId="1" applyNumberFormat="1" applyFont="1" applyBorder="1"/>
    <xf numFmtId="164" fontId="7" fillId="0" borderId="1" xfId="1" applyNumberFormat="1" applyFont="1" applyFill="1" applyBorder="1"/>
    <xf numFmtId="164" fontId="0" fillId="2" borderId="1" xfId="1" applyNumberFormat="1" applyFont="1" applyFill="1" applyBorder="1"/>
    <xf numFmtId="164" fontId="10" fillId="0" borderId="1" xfId="1" applyNumberFormat="1" applyFont="1" applyBorder="1"/>
    <xf numFmtId="164" fontId="3" fillId="0" borderId="1" xfId="1" applyNumberFormat="1" applyFont="1" applyFill="1" applyBorder="1"/>
    <xf numFmtId="164" fontId="19" fillId="7" borderId="2" xfId="1" applyNumberFormat="1" applyFont="1" applyFill="1" applyBorder="1"/>
    <xf numFmtId="164" fontId="10" fillId="5" borderId="1" xfId="1" applyNumberFormat="1" applyFont="1" applyFill="1" applyBorder="1" applyAlignment="1">
      <alignment vertical="center"/>
    </xf>
    <xf numFmtId="164" fontId="0" fillId="0" borderId="2" xfId="1" applyNumberFormat="1" applyFont="1" applyFill="1" applyBorder="1"/>
    <xf numFmtId="164" fontId="17" fillId="0" borderId="9" xfId="1" applyNumberFormat="1" applyFont="1" applyFill="1" applyBorder="1"/>
    <xf numFmtId="164" fontId="10" fillId="7" borderId="8" xfId="1" applyNumberFormat="1" applyFont="1" applyFill="1" applyBorder="1" applyAlignment="1">
      <alignment horizontal="right" vertical="center"/>
    </xf>
    <xf numFmtId="49" fontId="0" fillId="0" borderId="2" xfId="0" applyNumberFormat="1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49" fontId="0" fillId="0" borderId="5" xfId="0" applyNumberFormat="1" applyBorder="1" applyAlignment="1">
      <alignment horizontal="center" vertical="center"/>
    </xf>
    <xf numFmtId="49" fontId="0" fillId="0" borderId="9" xfId="0" applyNumberFormat="1" applyBorder="1" applyAlignment="1">
      <alignment horizontal="center" vertical="center"/>
    </xf>
    <xf numFmtId="49" fontId="0" fillId="0" borderId="2" xfId="0" applyNumberFormat="1" applyBorder="1" applyAlignment="1">
      <alignment horizontal="center"/>
    </xf>
    <xf numFmtId="164" fontId="13" fillId="9" borderId="1" xfId="1" applyNumberFormat="1" applyFont="1" applyFill="1" applyBorder="1" applyAlignment="1" applyProtection="1">
      <alignment horizontal="center" vertical="center" wrapText="1"/>
      <protection locked="0"/>
    </xf>
    <xf numFmtId="164" fontId="27" fillId="9" borderId="1" xfId="1" applyNumberFormat="1" applyFont="1" applyFill="1" applyBorder="1" applyAlignment="1" applyProtection="1">
      <alignment horizontal="center" vertical="center" wrapText="1"/>
      <protection locked="0"/>
    </xf>
    <xf numFmtId="0" fontId="13" fillId="9" borderId="1" xfId="2" applyFont="1" applyFill="1" applyBorder="1" applyAlignment="1" applyProtection="1">
      <alignment horizontal="center" vertical="center" wrapText="1"/>
      <protection locked="0"/>
    </xf>
    <xf numFmtId="164" fontId="28" fillId="9" borderId="1" xfId="1" applyNumberFormat="1" applyFont="1" applyFill="1" applyBorder="1" applyAlignment="1">
      <alignment horizontal="center" vertical="center" wrapText="1"/>
    </xf>
    <xf numFmtId="165" fontId="17" fillId="0" borderId="9" xfId="1" applyNumberFormat="1" applyFont="1" applyBorder="1"/>
    <xf numFmtId="165" fontId="17" fillId="0" borderId="10" xfId="1" applyNumberFormat="1" applyFont="1" applyBorder="1"/>
    <xf numFmtId="165" fontId="17" fillId="0" borderId="3" xfId="1" applyNumberFormat="1" applyFont="1" applyBorder="1"/>
    <xf numFmtId="165" fontId="17" fillId="0" borderId="2" xfId="1" applyNumberFormat="1" applyFont="1" applyBorder="1"/>
    <xf numFmtId="165" fontId="17" fillId="0" borderId="5" xfId="1" applyNumberFormat="1" applyFont="1" applyBorder="1"/>
    <xf numFmtId="165" fontId="19" fillId="5" borderId="3" xfId="1" applyNumberFormat="1" applyFont="1" applyFill="1" applyBorder="1" applyAlignment="1">
      <alignment vertical="center"/>
    </xf>
    <xf numFmtId="165" fontId="19" fillId="6" borderId="1" xfId="1" applyNumberFormat="1" applyFont="1" applyFill="1" applyBorder="1"/>
    <xf numFmtId="165" fontId="20" fillId="0" borderId="1" xfId="1" applyNumberFormat="1" applyFont="1" applyFill="1" applyBorder="1"/>
    <xf numFmtId="165" fontId="19" fillId="7" borderId="1" xfId="1" applyNumberFormat="1" applyFont="1" applyFill="1" applyBorder="1" applyAlignment="1">
      <alignment vertical="center"/>
    </xf>
    <xf numFmtId="165" fontId="20" fillId="0" borderId="1" xfId="1" applyNumberFormat="1" applyFont="1" applyBorder="1"/>
    <xf numFmtId="165" fontId="19" fillId="7" borderId="1" xfId="1" applyNumberFormat="1" applyFont="1" applyFill="1" applyBorder="1"/>
    <xf numFmtId="165" fontId="19" fillId="7" borderId="1" xfId="1" applyNumberFormat="1" applyFont="1" applyFill="1" applyBorder="1" applyAlignment="1">
      <alignment horizontal="right"/>
    </xf>
    <xf numFmtId="0" fontId="1" fillId="0" borderId="1" xfId="0" applyFont="1" applyFill="1" applyBorder="1"/>
    <xf numFmtId="164" fontId="1" fillId="0" borderId="1" xfId="1" applyNumberFormat="1" applyFont="1" applyFill="1" applyBorder="1"/>
    <xf numFmtId="3" fontId="1" fillId="0" borderId="0" xfId="0" applyNumberFormat="1" applyFont="1" applyFill="1"/>
    <xf numFmtId="0" fontId="1" fillId="0" borderId="0" xfId="0" applyFont="1" applyFill="1"/>
    <xf numFmtId="0" fontId="29" fillId="0" borderId="0" xfId="0" applyFont="1" applyAlignment="1">
      <alignment vertical="center"/>
    </xf>
    <xf numFmtId="0" fontId="29" fillId="0" borderId="0" xfId="0" applyFont="1" applyAlignment="1">
      <alignment horizontal="center" vertical="center"/>
    </xf>
    <xf numFmtId="0" fontId="29" fillId="0" borderId="0" xfId="0" applyFont="1" applyAlignment="1">
      <alignment horizontal="right" vertical="center"/>
    </xf>
    <xf numFmtId="166" fontId="29" fillId="0" borderId="0" xfId="0" applyNumberFormat="1" applyFont="1" applyAlignment="1">
      <alignment horizontal="right" vertical="center"/>
    </xf>
    <xf numFmtId="0" fontId="29" fillId="0" borderId="0" xfId="0" applyFont="1" applyAlignment="1">
      <alignment horizontal="left" vertical="center"/>
    </xf>
    <xf numFmtId="0" fontId="29" fillId="0" borderId="4" xfId="0" applyFont="1" applyBorder="1" applyAlignment="1">
      <alignment horizontal="left" vertical="center"/>
    </xf>
    <xf numFmtId="166" fontId="29" fillId="0" borderId="4" xfId="0" applyNumberFormat="1" applyFont="1" applyBorder="1" applyAlignment="1">
      <alignment horizontal="right" vertical="center"/>
    </xf>
    <xf numFmtId="0" fontId="29" fillId="0" borderId="4" xfId="0" applyFont="1" applyBorder="1"/>
    <xf numFmtId="0" fontId="29" fillId="0" borderId="4" xfId="0" applyFont="1" applyBorder="1" applyAlignment="1">
      <alignment horizontal="right"/>
    </xf>
    <xf numFmtId="166" fontId="29" fillId="0" borderId="4" xfId="0" applyNumberFormat="1" applyFont="1" applyBorder="1" applyAlignment="1">
      <alignment horizontal="right"/>
    </xf>
    <xf numFmtId="49" fontId="29" fillId="0" borderId="0" xfId="0" applyNumberFormat="1" applyFont="1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13" fillId="0" borderId="0" xfId="0" applyFont="1" applyAlignment="1">
      <alignment vertical="center"/>
    </xf>
    <xf numFmtId="49" fontId="13" fillId="0" borderId="0" xfId="0" applyNumberFormat="1" applyFont="1" applyAlignment="1">
      <alignment horizontal="center" vertical="center"/>
    </xf>
    <xf numFmtId="0" fontId="13" fillId="0" borderId="0" xfId="0" applyFont="1" applyAlignment="1">
      <alignment horizontal="right" vertical="center"/>
    </xf>
    <xf numFmtId="166" fontId="13" fillId="0" borderId="0" xfId="0" applyNumberFormat="1" applyFont="1" applyAlignment="1">
      <alignment horizontal="right"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right" vertical="center"/>
    </xf>
    <xf numFmtId="166" fontId="11" fillId="0" borderId="0" xfId="0" applyNumberFormat="1" applyFont="1" applyAlignment="1">
      <alignment horizontal="right"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vertical="center"/>
    </xf>
    <xf numFmtId="0" fontId="11" fillId="0" borderId="4" xfId="0" applyFont="1" applyBorder="1" applyAlignment="1">
      <alignment horizontal="left" vertical="center"/>
    </xf>
    <xf numFmtId="166" fontId="11" fillId="0" borderId="4" xfId="0" applyNumberFormat="1" applyFont="1" applyBorder="1" applyAlignment="1">
      <alignment horizontal="right" vertical="center"/>
    </xf>
    <xf numFmtId="0" fontId="11" fillId="0" borderId="4" xfId="0" applyFont="1" applyBorder="1"/>
    <xf numFmtId="0" fontId="11" fillId="0" borderId="4" xfId="0" applyFont="1" applyBorder="1" applyAlignment="1">
      <alignment horizontal="right"/>
    </xf>
    <xf numFmtId="166" fontId="11" fillId="0" borderId="4" xfId="0" applyNumberFormat="1" applyFont="1" applyBorder="1" applyAlignment="1">
      <alignment horizontal="right"/>
    </xf>
    <xf numFmtId="164" fontId="29" fillId="0" borderId="0" xfId="0" applyNumberFormat="1" applyFont="1" applyAlignment="1">
      <alignment horizontal="right" vertical="center"/>
    </xf>
    <xf numFmtId="164" fontId="17" fillId="0" borderId="2" xfId="1" applyNumberFormat="1" applyFont="1" applyFill="1" applyBorder="1"/>
    <xf numFmtId="0" fontId="17" fillId="0" borderId="2" xfId="0" applyFont="1" applyFill="1" applyBorder="1"/>
    <xf numFmtId="3" fontId="17" fillId="0" borderId="0" xfId="0" applyNumberFormat="1" applyFont="1" applyFill="1"/>
    <xf numFmtId="0" fontId="17" fillId="0" borderId="0" xfId="0" applyFont="1" applyFill="1"/>
    <xf numFmtId="0" fontId="0" fillId="0" borderId="9" xfId="0" applyFill="1" applyBorder="1"/>
    <xf numFmtId="164" fontId="0" fillId="0" borderId="9" xfId="1" applyNumberFormat="1" applyFont="1" applyFill="1" applyBorder="1"/>
    <xf numFmtId="0" fontId="29" fillId="0" borderId="0" xfId="0" applyFont="1" applyAlignment="1">
      <alignment horizontal="left" vertical="center"/>
    </xf>
    <xf numFmtId="0" fontId="29" fillId="0" borderId="0" xfId="0" applyFont="1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center" vertical="center"/>
    </xf>
    <xf numFmtId="166" fontId="29" fillId="0" borderId="0" xfId="0" applyNumberFormat="1" applyFont="1" applyBorder="1" applyAlignment="1">
      <alignment horizontal="right" vertical="center"/>
    </xf>
    <xf numFmtId="166" fontId="29" fillId="0" borderId="0" xfId="0" applyNumberFormat="1" applyFont="1" applyBorder="1" applyAlignment="1">
      <alignment horizontal="right"/>
    </xf>
    <xf numFmtId="166" fontId="11" fillId="0" borderId="0" xfId="0" applyNumberFormat="1" applyFont="1" applyBorder="1" applyAlignment="1">
      <alignment horizontal="right" vertical="center"/>
    </xf>
    <xf numFmtId="166" fontId="11" fillId="0" borderId="0" xfId="0" applyNumberFormat="1" applyFont="1" applyBorder="1" applyAlignment="1">
      <alignment horizontal="right"/>
    </xf>
    <xf numFmtId="164" fontId="0" fillId="3" borderId="14" xfId="1" applyNumberFormat="1" applyFont="1" applyFill="1" applyBorder="1" applyAlignment="1">
      <alignment horizontal="center" vertical="center"/>
    </xf>
    <xf numFmtId="164" fontId="23" fillId="3" borderId="1" xfId="1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0" fontId="10" fillId="7" borderId="6" xfId="0" applyFont="1" applyFill="1" applyBorder="1" applyAlignment="1">
      <alignment horizontal="right" vertical="center"/>
    </xf>
    <xf numFmtId="0" fontId="10" fillId="7" borderId="7" xfId="0" applyFont="1" applyFill="1" applyBorder="1" applyAlignment="1">
      <alignment horizontal="right" vertical="center"/>
    </xf>
    <xf numFmtId="0" fontId="10" fillId="7" borderId="8" xfId="0" applyFont="1" applyFill="1" applyBorder="1" applyAlignment="1">
      <alignment horizontal="right" vertical="center"/>
    </xf>
    <xf numFmtId="0" fontId="10" fillId="5" borderId="6" xfId="0" applyFont="1" applyFill="1" applyBorder="1" applyAlignment="1">
      <alignment horizontal="right" vertical="center"/>
    </xf>
    <xf numFmtId="0" fontId="10" fillId="5" borderId="7" xfId="0" applyFont="1" applyFill="1" applyBorder="1" applyAlignment="1">
      <alignment horizontal="right" vertical="center"/>
    </xf>
    <xf numFmtId="0" fontId="10" fillId="5" borderId="8" xfId="0" applyFont="1" applyFill="1" applyBorder="1" applyAlignment="1">
      <alignment horizontal="right" vertical="center"/>
    </xf>
    <xf numFmtId="0" fontId="15" fillId="0" borderId="0" xfId="0" applyFont="1" applyAlignment="1">
      <alignment horizontal="center" vertical="center"/>
    </xf>
    <xf numFmtId="0" fontId="15" fillId="0" borderId="17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49" fontId="0" fillId="0" borderId="5" xfId="0" applyNumberFormat="1" applyBorder="1" applyAlignment="1">
      <alignment horizontal="center" vertical="center"/>
    </xf>
    <xf numFmtId="49" fontId="0" fillId="0" borderId="3" xfId="0" applyNumberFormat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49" fontId="0" fillId="0" borderId="15" xfId="0" applyNumberFormat="1" applyBorder="1" applyAlignment="1">
      <alignment horizontal="center" vertical="center"/>
    </xf>
    <xf numFmtId="0" fontId="10" fillId="5" borderId="13" xfId="0" applyFont="1" applyFill="1" applyBorder="1" applyAlignment="1">
      <alignment horizontal="right" vertical="center"/>
    </xf>
    <xf numFmtId="0" fontId="10" fillId="5" borderId="4" xfId="0" applyFont="1" applyFill="1" applyBorder="1" applyAlignment="1">
      <alignment horizontal="right" vertical="center"/>
    </xf>
    <xf numFmtId="0" fontId="10" fillId="5" borderId="14" xfId="0" applyFont="1" applyFill="1" applyBorder="1" applyAlignment="1">
      <alignment horizontal="right" vertical="center"/>
    </xf>
    <xf numFmtId="0" fontId="0" fillId="0" borderId="1" xfId="0" applyFill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49" fontId="0" fillId="0" borderId="10" xfId="0" applyNumberFormat="1" applyBorder="1" applyAlignment="1">
      <alignment horizontal="center" vertical="center"/>
    </xf>
    <xf numFmtId="49" fontId="0" fillId="0" borderId="2" xfId="0" applyNumberFormat="1" applyFill="1" applyBorder="1" applyAlignment="1">
      <alignment horizontal="center" vertical="center"/>
    </xf>
    <xf numFmtId="49" fontId="0" fillId="0" borderId="5" xfId="0" applyNumberFormat="1" applyFill="1" applyBorder="1" applyAlignment="1">
      <alignment horizontal="center" vertical="center"/>
    </xf>
    <xf numFmtId="49" fontId="0" fillId="0" borderId="16" xfId="0" applyNumberFormat="1" applyFill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49" fontId="0" fillId="0" borderId="16" xfId="0" applyNumberForma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49" fontId="17" fillId="0" borderId="2" xfId="0" applyNumberFormat="1" applyFont="1" applyBorder="1" applyAlignment="1">
      <alignment horizontal="center" vertical="center"/>
    </xf>
    <xf numFmtId="49" fontId="17" fillId="0" borderId="5" xfId="0" applyNumberFormat="1" applyFont="1" applyBorder="1" applyAlignment="1">
      <alignment horizontal="center" vertical="center"/>
    </xf>
    <xf numFmtId="49" fontId="17" fillId="0" borderId="16" xfId="0" applyNumberFormat="1" applyFont="1" applyBorder="1" applyAlignment="1">
      <alignment horizontal="center" vertical="center"/>
    </xf>
    <xf numFmtId="49" fontId="0" fillId="0" borderId="9" xfId="0" applyNumberFormat="1" applyBorder="1" applyAlignment="1">
      <alignment horizontal="center" vertical="center"/>
    </xf>
    <xf numFmtId="0" fontId="10" fillId="8" borderId="0" xfId="0" applyFont="1" applyFill="1" applyAlignment="1">
      <alignment horizontal="center" vertical="center" wrapText="1"/>
    </xf>
    <xf numFmtId="0" fontId="0" fillId="3" borderId="2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49" fontId="0" fillId="3" borderId="2" xfId="0" applyNumberFormat="1" applyFill="1" applyBorder="1" applyAlignment="1">
      <alignment horizontal="center" vertical="center"/>
    </xf>
    <xf numFmtId="49" fontId="0" fillId="3" borderId="5" xfId="0" applyNumberFormat="1" applyFill="1" applyBorder="1" applyAlignment="1">
      <alignment horizontal="center" vertical="center"/>
    </xf>
    <xf numFmtId="49" fontId="0" fillId="3" borderId="3" xfId="0" applyNumberFormat="1" applyFill="1" applyBorder="1" applyAlignment="1">
      <alignment horizontal="center" vertical="center"/>
    </xf>
    <xf numFmtId="164" fontId="0" fillId="3" borderId="2" xfId="1" applyNumberFormat="1" applyFont="1" applyFill="1" applyBorder="1" applyAlignment="1">
      <alignment horizontal="center" vertical="center" wrapText="1"/>
    </xf>
    <xf numFmtId="164" fontId="0" fillId="3" borderId="5" xfId="1" applyNumberFormat="1" applyFont="1" applyFill="1" applyBorder="1" applyAlignment="1">
      <alignment horizontal="center" vertical="center" wrapText="1"/>
    </xf>
    <xf numFmtId="164" fontId="0" fillId="3" borderId="3" xfId="1" applyNumberFormat="1" applyFont="1" applyFill="1" applyBorder="1" applyAlignment="1">
      <alignment horizontal="center" vertical="center" wrapText="1"/>
    </xf>
    <xf numFmtId="164" fontId="21" fillId="3" borderId="1" xfId="1" applyNumberFormat="1" applyFont="1" applyFill="1" applyBorder="1" applyAlignment="1" applyProtection="1">
      <alignment horizontal="center" vertical="center"/>
      <protection locked="0"/>
    </xf>
    <xf numFmtId="0" fontId="11" fillId="3" borderId="1" xfId="4" applyFont="1" applyFill="1" applyBorder="1" applyAlignment="1" applyProtection="1">
      <alignment horizontal="center" vertical="center" wrapText="1"/>
      <protection locked="0"/>
    </xf>
    <xf numFmtId="164" fontId="0" fillId="3" borderId="6" xfId="1" applyNumberFormat="1" applyFont="1" applyFill="1" applyBorder="1" applyAlignment="1">
      <alignment horizontal="center" vertical="center"/>
    </xf>
    <xf numFmtId="164" fontId="0" fillId="3" borderId="7" xfId="1" applyNumberFormat="1" applyFont="1" applyFill="1" applyBorder="1" applyAlignment="1">
      <alignment horizontal="center" vertical="center"/>
    </xf>
    <xf numFmtId="164" fontId="0" fillId="3" borderId="8" xfId="1" applyNumberFormat="1" applyFont="1" applyFill="1" applyBorder="1" applyAlignment="1">
      <alignment horizontal="center" vertical="center"/>
    </xf>
    <xf numFmtId="164" fontId="13" fillId="3" borderId="19" xfId="1" applyNumberFormat="1" applyFont="1" applyFill="1" applyBorder="1" applyAlignment="1" applyProtection="1">
      <alignment horizontal="center" vertical="center" wrapText="1"/>
      <protection locked="0"/>
    </xf>
    <xf numFmtId="164" fontId="13" fillId="3" borderId="13" xfId="1" applyNumberFormat="1" applyFont="1" applyFill="1" applyBorder="1" applyAlignment="1" applyProtection="1">
      <alignment horizontal="center" vertical="center" wrapText="1"/>
      <protection locked="0"/>
    </xf>
    <xf numFmtId="164" fontId="0" fillId="3" borderId="1" xfId="1" applyNumberFormat="1" applyFont="1" applyFill="1" applyBorder="1" applyAlignment="1">
      <alignment horizontal="center" vertical="center"/>
    </xf>
    <xf numFmtId="164" fontId="23" fillId="3" borderId="1" xfId="1" applyNumberFormat="1" applyFont="1" applyFill="1" applyBorder="1" applyAlignment="1">
      <alignment horizontal="center" vertical="center" wrapText="1"/>
    </xf>
    <xf numFmtId="164" fontId="0" fillId="3" borderId="18" xfId="1" applyNumberFormat="1" applyFont="1" applyFill="1" applyBorder="1" applyAlignment="1">
      <alignment horizontal="center" vertical="center"/>
    </xf>
    <xf numFmtId="164" fontId="0" fillId="3" borderId="4" xfId="1" applyNumberFormat="1" applyFont="1" applyFill="1" applyBorder="1" applyAlignment="1">
      <alignment horizontal="center" vertical="center"/>
    </xf>
    <xf numFmtId="164" fontId="0" fillId="3" borderId="19" xfId="1" applyNumberFormat="1" applyFont="1" applyFill="1" applyBorder="1" applyAlignment="1">
      <alignment horizontal="center" vertical="center"/>
    </xf>
    <xf numFmtId="164" fontId="0" fillId="3" borderId="13" xfId="1" applyNumberFormat="1" applyFont="1" applyFill="1" applyBorder="1" applyAlignment="1">
      <alignment horizontal="center" vertical="center"/>
    </xf>
    <xf numFmtId="0" fontId="29" fillId="0" borderId="0" xfId="0" applyFont="1" applyAlignment="1">
      <alignment horizontal="left" vertical="center"/>
    </xf>
    <xf numFmtId="0" fontId="29" fillId="0" borderId="0" xfId="0" applyFont="1" applyAlignment="1">
      <alignment horizontal="center" vertical="center"/>
    </xf>
    <xf numFmtId="0" fontId="29" fillId="0" borderId="18" xfId="0" applyFont="1" applyBorder="1" applyAlignment="1">
      <alignment horizontal="left" vertical="center"/>
    </xf>
    <xf numFmtId="0" fontId="29" fillId="0" borderId="4" xfId="0" applyFont="1" applyBorder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1" fillId="0" borderId="18" xfId="0" applyFont="1" applyBorder="1" applyAlignment="1">
      <alignment horizontal="left" vertical="center"/>
    </xf>
    <xf numFmtId="0" fontId="11" fillId="0" borderId="0" xfId="0" applyFont="1" applyAlignment="1">
      <alignment horizontal="center" vertical="center"/>
    </xf>
  </cellXfs>
  <cellStyles count="6">
    <cellStyle name="Ezres" xfId="1" builtinId="3"/>
    <cellStyle name="Ezres 2" xfId="3" xr:uid="{00000000-0005-0000-0000-000001000000}"/>
    <cellStyle name="Ezres 3" xfId="5" xr:uid="{00000000-0005-0000-0000-000002000000}"/>
    <cellStyle name="Normál" xfId="0" builtinId="0"/>
    <cellStyle name="Normál 2" xfId="2" xr:uid="{00000000-0005-0000-0000-000004000000}"/>
    <cellStyle name="Normál 3" xfId="4" xr:uid="{00000000-0005-0000-0000-000005000000}"/>
  </cellStyles>
  <dxfs count="0"/>
  <tableStyles count="0" defaultTableStyle="TableStyleMedium2" defaultPivotStyle="PivotStyleLight16"/>
  <colors>
    <mruColors>
      <color rgb="FFCCFFCC"/>
      <color rgb="FFC9F468"/>
      <color rgb="FFFF99CC"/>
      <color rgb="FFEDF4AA"/>
      <color rgb="FFBACC0E"/>
      <color rgb="FFC9BA81"/>
      <color rgb="FFC2BA52"/>
      <color rgb="FFB6C33B"/>
      <color rgb="FFCCCC00"/>
      <color rgb="FFCC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960"/>
  <sheetViews>
    <sheetView tabSelected="1" view="pageBreakPreview" zoomScaleNormal="100" zoomScaleSheetLayoutView="100" workbookViewId="0">
      <pane xSplit="3" ySplit="5" topLeftCell="D817" activePane="bottomRight" state="frozen"/>
      <selection pane="topRight" activeCell="D1" sqref="D1"/>
      <selection pane="bottomLeft" activeCell="A5" sqref="A5"/>
      <selection pane="bottomRight" activeCell="N823" sqref="N823"/>
    </sheetView>
  </sheetViews>
  <sheetFormatPr defaultRowHeight="15" x14ac:dyDescent="0.25"/>
  <cols>
    <col min="1" max="1" width="39" customWidth="1"/>
    <col min="2" max="2" width="8.42578125" customWidth="1"/>
    <col min="3" max="3" width="6.5703125" customWidth="1"/>
    <col min="4" max="4" width="14.7109375" style="13" customWidth="1"/>
    <col min="5" max="7" width="12.5703125" style="13" customWidth="1"/>
    <col min="8" max="8" width="11.5703125" style="13" customWidth="1"/>
    <col min="9" max="10" width="10.7109375" style="13" customWidth="1"/>
    <col min="11" max="11" width="9.7109375" style="13" customWidth="1"/>
    <col min="12" max="12" width="10.7109375" style="13" customWidth="1"/>
    <col min="13" max="13" width="10.7109375" style="13" hidden="1" customWidth="1"/>
    <col min="14" max="14" width="14.5703125" style="13" customWidth="1"/>
    <col min="15" max="15" width="14.7109375" style="48" customWidth="1"/>
    <col min="16" max="16" width="14.140625" style="27" customWidth="1"/>
    <col min="17" max="17" width="10.140625" style="36" bestFit="1" customWidth="1"/>
  </cols>
  <sheetData>
    <row r="1" spans="1:17" ht="15.75" customHeight="1" x14ac:dyDescent="0.25">
      <c r="A1" s="219" t="s">
        <v>149</v>
      </c>
      <c r="B1" s="219"/>
      <c r="C1" s="219"/>
      <c r="D1" s="219"/>
      <c r="E1" s="219"/>
      <c r="F1" s="219"/>
      <c r="G1" s="219"/>
      <c r="H1" s="219"/>
      <c r="I1" s="219"/>
      <c r="J1" s="219"/>
      <c r="K1" s="219"/>
      <c r="L1" s="219"/>
      <c r="M1" s="219"/>
      <c r="N1" s="219"/>
      <c r="O1" s="219"/>
      <c r="P1" s="219"/>
    </row>
    <row r="2" spans="1:17" x14ac:dyDescent="0.25">
      <c r="B2" s="1"/>
      <c r="P2" s="13"/>
    </row>
    <row r="3" spans="1:17" ht="15" customHeight="1" x14ac:dyDescent="0.25">
      <c r="A3" s="220" t="s">
        <v>0</v>
      </c>
      <c r="B3" s="223" t="s">
        <v>1</v>
      </c>
      <c r="C3" s="220" t="s">
        <v>2</v>
      </c>
      <c r="D3" s="226" t="s">
        <v>190</v>
      </c>
      <c r="E3" s="231" t="s">
        <v>185</v>
      </c>
      <c r="F3" s="232"/>
      <c r="G3" s="232"/>
      <c r="H3" s="232"/>
      <c r="I3" s="232"/>
      <c r="J3" s="232"/>
      <c r="K3" s="232"/>
      <c r="L3" s="232"/>
      <c r="M3" s="233"/>
      <c r="N3" s="226" t="s">
        <v>191</v>
      </c>
      <c r="O3" s="229" t="s">
        <v>187</v>
      </c>
      <c r="P3" s="230" t="s">
        <v>150</v>
      </c>
    </row>
    <row r="4" spans="1:17" ht="15" customHeight="1" x14ac:dyDescent="0.25">
      <c r="A4" s="221"/>
      <c r="B4" s="224"/>
      <c r="C4" s="221"/>
      <c r="D4" s="227"/>
      <c r="E4" s="234" t="s">
        <v>3</v>
      </c>
      <c r="F4" s="236" t="s">
        <v>188</v>
      </c>
      <c r="G4" s="236"/>
      <c r="H4" s="236" t="s">
        <v>194</v>
      </c>
      <c r="I4" s="236"/>
      <c r="J4" s="237" t="s">
        <v>189</v>
      </c>
      <c r="K4" s="240"/>
      <c r="L4" s="238"/>
      <c r="M4" s="180"/>
      <c r="N4" s="227"/>
      <c r="O4" s="229"/>
      <c r="P4" s="230"/>
    </row>
    <row r="5" spans="1:17" s="38" customFormat="1" ht="63" customHeight="1" x14ac:dyDescent="0.25">
      <c r="A5" s="222"/>
      <c r="B5" s="225"/>
      <c r="C5" s="222"/>
      <c r="D5" s="228"/>
      <c r="E5" s="235"/>
      <c r="F5" s="85" t="s">
        <v>192</v>
      </c>
      <c r="G5" s="85" t="s">
        <v>193</v>
      </c>
      <c r="H5" s="181" t="s">
        <v>192</v>
      </c>
      <c r="I5" s="181" t="s">
        <v>193</v>
      </c>
      <c r="J5" s="237"/>
      <c r="K5" s="241"/>
      <c r="L5" s="239"/>
      <c r="M5" s="85" t="s">
        <v>147</v>
      </c>
      <c r="N5" s="228"/>
      <c r="O5" s="229"/>
      <c r="P5" s="230"/>
      <c r="Q5" s="43"/>
    </row>
    <row r="6" spans="1:17" x14ac:dyDescent="0.25">
      <c r="A6" s="182" t="s">
        <v>4</v>
      </c>
      <c r="B6" s="184" t="s">
        <v>5</v>
      </c>
      <c r="C6" s="2" t="s">
        <v>6</v>
      </c>
      <c r="D6" s="24">
        <v>47088409</v>
      </c>
      <c r="E6" s="24"/>
      <c r="F6" s="24"/>
      <c r="G6" s="24">
        <v>-858000</v>
      </c>
      <c r="H6" s="24"/>
      <c r="I6" s="24">
        <v>-6089000</v>
      </c>
      <c r="J6" s="24"/>
      <c r="K6" s="28"/>
      <c r="L6" s="28"/>
      <c r="M6" s="28"/>
      <c r="N6" s="24">
        <f>D6+E6+F6+H6+I6+K6+J6+L6+M6+G6</f>
        <v>40141409</v>
      </c>
      <c r="O6" s="33">
        <v>26360958</v>
      </c>
      <c r="P6" s="25">
        <f>N6-O6</f>
        <v>13780451</v>
      </c>
    </row>
    <row r="7" spans="1:17" x14ac:dyDescent="0.25">
      <c r="A7" s="182"/>
      <c r="B7" s="184"/>
      <c r="C7" s="2" t="s">
        <v>133</v>
      </c>
      <c r="D7" s="24">
        <v>127000</v>
      </c>
      <c r="E7" s="24"/>
      <c r="F7" s="24"/>
      <c r="G7" s="24"/>
      <c r="H7" s="24"/>
      <c r="I7" s="24"/>
      <c r="J7" s="24"/>
      <c r="K7" s="24"/>
      <c r="L7" s="24"/>
      <c r="M7" s="24"/>
      <c r="N7" s="24">
        <f t="shared" ref="N6:N37" si="0">D7+E7+F7+H7+I7+K7+J7+L7+M7</f>
        <v>127000</v>
      </c>
      <c r="O7" s="33">
        <v>0</v>
      </c>
      <c r="P7" s="14">
        <f t="shared" ref="P7:P72" si="1">N7-O7</f>
        <v>127000</v>
      </c>
    </row>
    <row r="8" spans="1:17" x14ac:dyDescent="0.25">
      <c r="A8" s="182"/>
      <c r="B8" s="184"/>
      <c r="C8" s="2" t="s">
        <v>7</v>
      </c>
      <c r="D8" s="24">
        <v>18984113</v>
      </c>
      <c r="E8" s="24"/>
      <c r="F8" s="24"/>
      <c r="G8" s="24"/>
      <c r="H8" s="24"/>
      <c r="I8" s="24"/>
      <c r="J8" s="24"/>
      <c r="K8" s="24"/>
      <c r="L8" s="24"/>
      <c r="M8" s="24"/>
      <c r="N8" s="24">
        <f t="shared" si="0"/>
        <v>18984113</v>
      </c>
      <c r="O8" s="33">
        <v>18984113</v>
      </c>
      <c r="P8" s="14">
        <f t="shared" si="1"/>
        <v>0</v>
      </c>
    </row>
    <row r="9" spans="1:17" x14ac:dyDescent="0.25">
      <c r="A9" s="182"/>
      <c r="B9" s="184"/>
      <c r="C9" s="2" t="s">
        <v>8</v>
      </c>
      <c r="D9" s="24">
        <v>176787098</v>
      </c>
      <c r="E9" s="24"/>
      <c r="F9" s="51">
        <v>4794000</v>
      </c>
      <c r="G9" s="51"/>
      <c r="H9" s="51">
        <v>14192000</v>
      </c>
      <c r="I9" s="24"/>
      <c r="J9" s="24"/>
      <c r="K9" s="24"/>
      <c r="L9" s="24"/>
      <c r="M9" s="24"/>
      <c r="N9" s="24">
        <f t="shared" si="0"/>
        <v>195773098</v>
      </c>
      <c r="O9" s="33">
        <v>105294041</v>
      </c>
      <c r="P9" s="14">
        <f t="shared" si="1"/>
        <v>90479057</v>
      </c>
    </row>
    <row r="10" spans="1:17" x14ac:dyDescent="0.25">
      <c r="A10" s="182"/>
      <c r="B10" s="115" t="s">
        <v>9</v>
      </c>
      <c r="C10" s="2" t="s">
        <v>10</v>
      </c>
      <c r="D10" s="24">
        <v>180000</v>
      </c>
      <c r="E10" s="24"/>
      <c r="F10" s="24"/>
      <c r="G10" s="24"/>
      <c r="H10" s="24"/>
      <c r="I10" s="24"/>
      <c r="J10" s="24"/>
      <c r="K10" s="24"/>
      <c r="L10" s="24"/>
      <c r="M10" s="24"/>
      <c r="N10" s="24">
        <f t="shared" si="0"/>
        <v>180000</v>
      </c>
      <c r="O10" s="33">
        <v>122610</v>
      </c>
      <c r="P10" s="14">
        <f t="shared" si="1"/>
        <v>57390</v>
      </c>
    </row>
    <row r="11" spans="1:17" x14ac:dyDescent="0.25">
      <c r="A11" s="182"/>
      <c r="B11" s="185" t="s">
        <v>11</v>
      </c>
      <c r="C11" s="2" t="s">
        <v>134</v>
      </c>
      <c r="D11" s="24">
        <v>0</v>
      </c>
      <c r="E11" s="24"/>
      <c r="F11" s="24"/>
      <c r="G11" s="24"/>
      <c r="H11" s="24"/>
      <c r="I11" s="24"/>
      <c r="J11" s="24"/>
      <c r="K11" s="24"/>
      <c r="L11" s="24"/>
      <c r="M11" s="24"/>
      <c r="N11" s="24">
        <f t="shared" si="0"/>
        <v>0</v>
      </c>
      <c r="O11" s="33">
        <v>0</v>
      </c>
      <c r="P11" s="14">
        <f t="shared" si="1"/>
        <v>0</v>
      </c>
    </row>
    <row r="12" spans="1:17" x14ac:dyDescent="0.25">
      <c r="A12" s="182"/>
      <c r="B12" s="197"/>
      <c r="C12" s="2" t="s">
        <v>10</v>
      </c>
      <c r="D12" s="24">
        <v>950000</v>
      </c>
      <c r="E12" s="24"/>
      <c r="F12" s="24"/>
      <c r="G12" s="24"/>
      <c r="H12" s="24"/>
      <c r="I12" s="24"/>
      <c r="J12" s="24"/>
      <c r="K12" s="24"/>
      <c r="L12" s="24"/>
      <c r="M12" s="24"/>
      <c r="N12" s="24">
        <f t="shared" si="0"/>
        <v>950000</v>
      </c>
      <c r="O12" s="33">
        <v>487135</v>
      </c>
      <c r="P12" s="21">
        <f t="shared" si="1"/>
        <v>462865</v>
      </c>
    </row>
    <row r="13" spans="1:17" x14ac:dyDescent="0.25">
      <c r="A13" s="182"/>
      <c r="B13" s="184" t="s">
        <v>12</v>
      </c>
      <c r="C13" s="2" t="s">
        <v>10</v>
      </c>
      <c r="D13" s="24">
        <v>3500000</v>
      </c>
      <c r="E13" s="24"/>
      <c r="F13" s="24"/>
      <c r="G13" s="24"/>
      <c r="H13" s="24"/>
      <c r="I13" s="24"/>
      <c r="J13" s="24"/>
      <c r="K13" s="24"/>
      <c r="L13" s="24"/>
      <c r="M13" s="24"/>
      <c r="N13" s="24">
        <f t="shared" si="0"/>
        <v>3500000</v>
      </c>
      <c r="O13" s="33">
        <v>1952835</v>
      </c>
      <c r="P13" s="21">
        <f t="shared" si="1"/>
        <v>1547165</v>
      </c>
    </row>
    <row r="14" spans="1:17" x14ac:dyDescent="0.25">
      <c r="A14" s="182"/>
      <c r="B14" s="184"/>
      <c r="C14" s="2" t="s">
        <v>13</v>
      </c>
      <c r="D14" s="24">
        <v>0</v>
      </c>
      <c r="E14" s="24"/>
      <c r="F14" s="24"/>
      <c r="G14" s="24"/>
      <c r="H14" s="24"/>
      <c r="I14" s="24"/>
      <c r="J14" s="24"/>
      <c r="K14" s="24"/>
      <c r="L14" s="24"/>
      <c r="M14" s="24"/>
      <c r="N14" s="24">
        <f t="shared" si="0"/>
        <v>0</v>
      </c>
      <c r="O14" s="33">
        <v>0</v>
      </c>
      <c r="P14" s="21">
        <f t="shared" si="1"/>
        <v>0</v>
      </c>
    </row>
    <row r="15" spans="1:17" x14ac:dyDescent="0.25">
      <c r="A15" s="182"/>
      <c r="B15" s="184"/>
      <c r="C15" s="2" t="s">
        <v>14</v>
      </c>
      <c r="D15" s="24">
        <v>0</v>
      </c>
      <c r="E15" s="24"/>
      <c r="F15" s="24"/>
      <c r="G15" s="24"/>
      <c r="H15" s="24"/>
      <c r="I15" s="24"/>
      <c r="J15" s="24"/>
      <c r="K15" s="24"/>
      <c r="L15" s="24"/>
      <c r="M15" s="24"/>
      <c r="N15" s="24">
        <f t="shared" si="0"/>
        <v>0</v>
      </c>
      <c r="O15" s="33">
        <v>0</v>
      </c>
      <c r="P15" s="21">
        <f t="shared" si="1"/>
        <v>0</v>
      </c>
    </row>
    <row r="16" spans="1:17" x14ac:dyDescent="0.25">
      <c r="A16" s="182"/>
      <c r="B16" s="184" t="s">
        <v>15</v>
      </c>
      <c r="C16" s="2" t="s">
        <v>10</v>
      </c>
      <c r="D16" s="24">
        <v>5900000</v>
      </c>
      <c r="E16" s="24">
        <v>-422000</v>
      </c>
      <c r="F16" s="24"/>
      <c r="G16" s="24"/>
      <c r="H16" s="24"/>
      <c r="I16" s="24"/>
      <c r="J16" s="24"/>
      <c r="K16" s="24"/>
      <c r="L16" s="24"/>
      <c r="M16" s="24"/>
      <c r="N16" s="24">
        <f t="shared" si="0"/>
        <v>5478000</v>
      </c>
      <c r="O16" s="33">
        <v>4033696</v>
      </c>
      <c r="P16" s="21">
        <f t="shared" si="1"/>
        <v>1444304</v>
      </c>
    </row>
    <row r="17" spans="1:16" x14ac:dyDescent="0.25">
      <c r="A17" s="182"/>
      <c r="B17" s="184"/>
      <c r="C17" s="2" t="s">
        <v>13</v>
      </c>
      <c r="D17" s="24">
        <v>1583000</v>
      </c>
      <c r="E17" s="24"/>
      <c r="F17" s="24"/>
      <c r="G17" s="24"/>
      <c r="H17" s="24"/>
      <c r="I17" s="24"/>
      <c r="J17" s="24"/>
      <c r="K17" s="24"/>
      <c r="L17" s="24"/>
      <c r="M17" s="24"/>
      <c r="N17" s="24">
        <f t="shared" si="0"/>
        <v>1583000</v>
      </c>
      <c r="O17" s="33">
        <v>1089084</v>
      </c>
      <c r="P17" s="21">
        <f t="shared" si="1"/>
        <v>493916</v>
      </c>
    </row>
    <row r="18" spans="1:16" x14ac:dyDescent="0.25">
      <c r="A18" s="182"/>
      <c r="B18" s="184"/>
      <c r="C18" s="2" t="s">
        <v>16</v>
      </c>
      <c r="D18" s="24">
        <v>0</v>
      </c>
      <c r="E18" s="24">
        <v>422000</v>
      </c>
      <c r="F18" s="24"/>
      <c r="G18" s="24"/>
      <c r="H18" s="24"/>
      <c r="I18" s="24"/>
      <c r="J18" s="24"/>
      <c r="K18" s="24"/>
      <c r="L18" s="24"/>
      <c r="M18" s="24"/>
      <c r="N18" s="24">
        <f t="shared" si="0"/>
        <v>422000</v>
      </c>
      <c r="O18" s="33">
        <v>422000</v>
      </c>
      <c r="P18" s="21">
        <f t="shared" si="1"/>
        <v>0</v>
      </c>
    </row>
    <row r="19" spans="1:16" x14ac:dyDescent="0.25">
      <c r="A19" s="182"/>
      <c r="B19" s="184" t="s">
        <v>17</v>
      </c>
      <c r="C19" s="2" t="s">
        <v>18</v>
      </c>
      <c r="D19" s="24">
        <v>10000</v>
      </c>
      <c r="E19" s="50">
        <v>1206</v>
      </c>
      <c r="F19" s="24"/>
      <c r="G19" s="24"/>
      <c r="H19" s="24"/>
      <c r="I19" s="24"/>
      <c r="J19" s="24"/>
      <c r="K19" s="24"/>
      <c r="L19" s="24"/>
      <c r="M19" s="24"/>
      <c r="N19" s="24">
        <f t="shared" si="0"/>
        <v>11206</v>
      </c>
      <c r="O19" s="33">
        <v>5532</v>
      </c>
      <c r="P19" s="21">
        <f t="shared" si="1"/>
        <v>5674</v>
      </c>
    </row>
    <row r="20" spans="1:16" x14ac:dyDescent="0.25">
      <c r="A20" s="182"/>
      <c r="B20" s="184"/>
      <c r="C20" s="2" t="s">
        <v>10</v>
      </c>
      <c r="D20" s="24">
        <v>4993000</v>
      </c>
      <c r="E20" s="50">
        <v>-1532</v>
      </c>
      <c r="F20" s="24"/>
      <c r="G20" s="24"/>
      <c r="H20" s="24"/>
      <c r="I20" s="24"/>
      <c r="J20" s="24"/>
      <c r="K20" s="24"/>
      <c r="L20" s="24"/>
      <c r="M20" s="24"/>
      <c r="N20" s="24">
        <f t="shared" si="0"/>
        <v>4991468</v>
      </c>
      <c r="O20" s="33">
        <v>3557680</v>
      </c>
      <c r="P20" s="14">
        <f t="shared" si="1"/>
        <v>1433788</v>
      </c>
    </row>
    <row r="21" spans="1:16" x14ac:dyDescent="0.25">
      <c r="A21" s="182"/>
      <c r="B21" s="184"/>
      <c r="C21" s="2" t="s">
        <v>13</v>
      </c>
      <c r="D21" s="24">
        <v>2387</v>
      </c>
      <c r="E21" s="50">
        <v>326</v>
      </c>
      <c r="F21" s="24"/>
      <c r="G21" s="24"/>
      <c r="H21" s="24"/>
      <c r="I21" s="24"/>
      <c r="J21" s="24"/>
      <c r="K21" s="24"/>
      <c r="L21" s="24"/>
      <c r="M21" s="24"/>
      <c r="N21" s="24">
        <f t="shared" si="0"/>
        <v>2713</v>
      </c>
      <c r="O21" s="33">
        <v>1285</v>
      </c>
      <c r="P21" s="14">
        <f t="shared" si="1"/>
        <v>1428</v>
      </c>
    </row>
    <row r="22" spans="1:16" x14ac:dyDescent="0.25">
      <c r="A22" s="182"/>
      <c r="B22" s="184"/>
      <c r="C22" s="2" t="s">
        <v>19</v>
      </c>
      <c r="D22" s="24">
        <v>2832</v>
      </c>
      <c r="E22" s="50"/>
      <c r="F22" s="24"/>
      <c r="G22" s="24"/>
      <c r="H22" s="24"/>
      <c r="I22" s="24"/>
      <c r="J22" s="24"/>
      <c r="K22" s="24"/>
      <c r="L22" s="24"/>
      <c r="M22" s="24"/>
      <c r="N22" s="24">
        <f t="shared" si="0"/>
        <v>2832</v>
      </c>
      <c r="O22" s="33">
        <v>1041</v>
      </c>
      <c r="P22" s="21">
        <f t="shared" si="1"/>
        <v>1791</v>
      </c>
    </row>
    <row r="23" spans="1:16" x14ac:dyDescent="0.25">
      <c r="A23" s="182"/>
      <c r="B23" s="184"/>
      <c r="C23" s="2" t="s">
        <v>14</v>
      </c>
      <c r="D23" s="24">
        <v>10481</v>
      </c>
      <c r="E23" s="50"/>
      <c r="F23" s="24"/>
      <c r="G23" s="24"/>
      <c r="H23" s="24"/>
      <c r="I23" s="24"/>
      <c r="J23" s="24"/>
      <c r="K23" s="24"/>
      <c r="L23" s="24"/>
      <c r="M23" s="24"/>
      <c r="N23" s="24">
        <f t="shared" si="0"/>
        <v>10481</v>
      </c>
      <c r="O23" s="33">
        <v>5623</v>
      </c>
      <c r="P23" s="21">
        <f t="shared" si="1"/>
        <v>4858</v>
      </c>
    </row>
    <row r="24" spans="1:16" x14ac:dyDescent="0.25">
      <c r="A24" s="182"/>
      <c r="B24" s="184" t="s">
        <v>20</v>
      </c>
      <c r="C24" s="2" t="s">
        <v>18</v>
      </c>
      <c r="D24" s="24">
        <v>45000</v>
      </c>
      <c r="E24" s="50">
        <v>5000</v>
      </c>
      <c r="F24" s="24"/>
      <c r="G24" s="24"/>
      <c r="H24" s="24"/>
      <c r="I24" s="24"/>
      <c r="J24" s="24"/>
      <c r="K24" s="24"/>
      <c r="L24" s="24"/>
      <c r="M24" s="24"/>
      <c r="N24" s="24">
        <f t="shared" si="0"/>
        <v>50000</v>
      </c>
      <c r="O24" s="33">
        <v>46000</v>
      </c>
      <c r="P24" s="14">
        <f t="shared" si="1"/>
        <v>4000</v>
      </c>
    </row>
    <row r="25" spans="1:16" x14ac:dyDescent="0.25">
      <c r="A25" s="182"/>
      <c r="B25" s="184"/>
      <c r="C25" s="2" t="s">
        <v>10</v>
      </c>
      <c r="D25" s="24">
        <v>1400000</v>
      </c>
      <c r="E25" s="24">
        <v>-5000</v>
      </c>
      <c r="F25" s="24"/>
      <c r="G25" s="24"/>
      <c r="H25" s="24"/>
      <c r="I25" s="24"/>
      <c r="J25" s="24"/>
      <c r="K25" s="24"/>
      <c r="L25" s="24"/>
      <c r="M25" s="24"/>
      <c r="N25" s="24">
        <f t="shared" si="0"/>
        <v>1395000</v>
      </c>
      <c r="O25" s="33">
        <v>971045</v>
      </c>
      <c r="P25" s="21">
        <f t="shared" si="1"/>
        <v>423955</v>
      </c>
    </row>
    <row r="26" spans="1:16" ht="15.75" thickBot="1" x14ac:dyDescent="0.3">
      <c r="A26" s="212"/>
      <c r="B26" s="218"/>
      <c r="C26" s="9" t="s">
        <v>13</v>
      </c>
      <c r="D26" s="87">
        <v>22150</v>
      </c>
      <c r="E26" s="87"/>
      <c r="F26" s="87"/>
      <c r="G26" s="87"/>
      <c r="H26" s="87"/>
      <c r="I26" s="87"/>
      <c r="J26" s="87"/>
      <c r="K26" s="87"/>
      <c r="L26" s="87"/>
      <c r="M26" s="87"/>
      <c r="N26" s="87">
        <f t="shared" si="0"/>
        <v>22150</v>
      </c>
      <c r="O26" s="123">
        <v>12420</v>
      </c>
      <c r="P26" s="22">
        <f t="shared" si="1"/>
        <v>9730</v>
      </c>
    </row>
    <row r="27" spans="1:16" ht="15.75" thickTop="1" x14ac:dyDescent="0.25">
      <c r="A27" s="214" t="s">
        <v>21</v>
      </c>
      <c r="B27" s="208" t="s">
        <v>5</v>
      </c>
      <c r="C27" s="10" t="s">
        <v>6</v>
      </c>
      <c r="D27" s="88">
        <v>1063967</v>
      </c>
      <c r="E27" s="88"/>
      <c r="F27" s="88"/>
      <c r="G27" s="88"/>
      <c r="H27" s="88"/>
      <c r="I27" s="88"/>
      <c r="J27" s="89"/>
      <c r="K27" s="89"/>
      <c r="L27" s="89"/>
      <c r="M27" s="89"/>
      <c r="N27" s="89">
        <f t="shared" si="0"/>
        <v>1063967</v>
      </c>
      <c r="O27" s="124">
        <v>707682</v>
      </c>
      <c r="P27" s="16">
        <f t="shared" si="1"/>
        <v>356285</v>
      </c>
    </row>
    <row r="28" spans="1:16" x14ac:dyDescent="0.25">
      <c r="A28" s="182"/>
      <c r="B28" s="184"/>
      <c r="C28" s="2" t="s">
        <v>7</v>
      </c>
      <c r="D28" s="24">
        <v>200631</v>
      </c>
      <c r="E28" s="24"/>
      <c r="F28" s="24"/>
      <c r="G28" s="24"/>
      <c r="H28" s="24"/>
      <c r="I28" s="24"/>
      <c r="J28" s="24"/>
      <c r="K28" s="24"/>
      <c r="L28" s="24"/>
      <c r="M28" s="24"/>
      <c r="N28" s="24">
        <f t="shared" si="0"/>
        <v>200631</v>
      </c>
      <c r="O28" s="33">
        <v>200631</v>
      </c>
      <c r="P28" s="14">
        <f t="shared" si="1"/>
        <v>0</v>
      </c>
    </row>
    <row r="29" spans="1:16" ht="15.75" thickBot="1" x14ac:dyDescent="0.3">
      <c r="A29" s="212"/>
      <c r="B29" s="117" t="s">
        <v>17</v>
      </c>
      <c r="C29" s="9" t="s">
        <v>10</v>
      </c>
      <c r="D29" s="87">
        <v>830000</v>
      </c>
      <c r="E29" s="87"/>
      <c r="F29" s="87"/>
      <c r="G29" s="87"/>
      <c r="H29" s="87"/>
      <c r="I29" s="87"/>
      <c r="J29" s="87">
        <v>200000</v>
      </c>
      <c r="K29" s="87"/>
      <c r="L29" s="87"/>
      <c r="M29" s="87"/>
      <c r="N29" s="87">
        <f t="shared" si="0"/>
        <v>1030000</v>
      </c>
      <c r="O29" s="123">
        <v>733060</v>
      </c>
      <c r="P29" s="22">
        <f t="shared" si="1"/>
        <v>296940</v>
      </c>
    </row>
    <row r="30" spans="1:16" ht="15.75" thickTop="1" x14ac:dyDescent="0.25">
      <c r="A30" s="195" t="s">
        <v>22</v>
      </c>
      <c r="B30" s="197" t="s">
        <v>23</v>
      </c>
      <c r="C30" s="8" t="s">
        <v>6</v>
      </c>
      <c r="D30" s="89">
        <v>0</v>
      </c>
      <c r="E30" s="89"/>
      <c r="F30" s="89"/>
      <c r="G30" s="89"/>
      <c r="H30" s="89"/>
      <c r="I30" s="89"/>
      <c r="J30" s="89"/>
      <c r="K30" s="89"/>
      <c r="L30" s="89"/>
      <c r="M30" s="89"/>
      <c r="N30" s="89">
        <f t="shared" si="0"/>
        <v>0</v>
      </c>
      <c r="O30" s="125">
        <v>0</v>
      </c>
      <c r="P30" s="16">
        <f t="shared" si="1"/>
        <v>0</v>
      </c>
    </row>
    <row r="31" spans="1:16" x14ac:dyDescent="0.25">
      <c r="A31" s="195"/>
      <c r="B31" s="197"/>
      <c r="C31" s="8" t="s">
        <v>133</v>
      </c>
      <c r="D31" s="89">
        <v>0</v>
      </c>
      <c r="E31" s="89"/>
      <c r="F31" s="89"/>
      <c r="G31" s="89"/>
      <c r="H31" s="89"/>
      <c r="I31" s="89"/>
      <c r="J31" s="89"/>
      <c r="K31" s="89"/>
      <c r="L31" s="89"/>
      <c r="M31" s="89"/>
      <c r="N31" s="24">
        <f t="shared" si="0"/>
        <v>0</v>
      </c>
      <c r="O31" s="125">
        <v>0</v>
      </c>
      <c r="P31" s="14">
        <f t="shared" si="1"/>
        <v>0</v>
      </c>
    </row>
    <row r="32" spans="1:16" x14ac:dyDescent="0.25">
      <c r="A32" s="182"/>
      <c r="B32" s="184"/>
      <c r="C32" s="2" t="s">
        <v>7</v>
      </c>
      <c r="D32" s="24">
        <v>477863</v>
      </c>
      <c r="E32" s="24"/>
      <c r="F32" s="24"/>
      <c r="G32" s="24"/>
      <c r="H32" s="24"/>
      <c r="I32" s="24"/>
      <c r="J32" s="24"/>
      <c r="K32" s="24"/>
      <c r="L32" s="24"/>
      <c r="M32" s="24"/>
      <c r="N32" s="24">
        <f t="shared" si="0"/>
        <v>477863</v>
      </c>
      <c r="O32" s="33">
        <v>477863</v>
      </c>
      <c r="P32" s="14">
        <f t="shared" si="1"/>
        <v>0</v>
      </c>
    </row>
    <row r="33" spans="1:16" x14ac:dyDescent="0.25">
      <c r="A33" s="182"/>
      <c r="B33" s="115" t="s">
        <v>17</v>
      </c>
      <c r="C33" s="2" t="s">
        <v>10</v>
      </c>
      <c r="D33" s="24">
        <v>280000</v>
      </c>
      <c r="E33" s="24">
        <v>15240</v>
      </c>
      <c r="F33" s="24"/>
      <c r="G33" s="24"/>
      <c r="H33" s="24"/>
      <c r="I33" s="28"/>
      <c r="J33" s="28">
        <v>100000</v>
      </c>
      <c r="K33" s="24"/>
      <c r="L33" s="24"/>
      <c r="M33" s="24"/>
      <c r="N33" s="24">
        <f t="shared" si="0"/>
        <v>395240</v>
      </c>
      <c r="O33" s="33">
        <v>295240</v>
      </c>
      <c r="P33" s="14">
        <f t="shared" si="1"/>
        <v>100000</v>
      </c>
    </row>
    <row r="34" spans="1:16" ht="15.75" thickBot="1" x14ac:dyDescent="0.3">
      <c r="A34" s="183"/>
      <c r="B34" s="114" t="s">
        <v>20</v>
      </c>
      <c r="C34" s="5" t="s">
        <v>10</v>
      </c>
      <c r="D34" s="90">
        <v>60000</v>
      </c>
      <c r="E34" s="90">
        <v>-15240</v>
      </c>
      <c r="F34" s="90"/>
      <c r="G34" s="90"/>
      <c r="H34" s="90"/>
      <c r="I34" s="90"/>
      <c r="J34" s="90">
        <v>15000</v>
      </c>
      <c r="K34" s="90"/>
      <c r="L34" s="87"/>
      <c r="M34" s="87"/>
      <c r="N34" s="87">
        <f t="shared" si="0"/>
        <v>59760</v>
      </c>
      <c r="O34" s="126">
        <v>41025</v>
      </c>
      <c r="P34" s="22">
        <f t="shared" si="1"/>
        <v>18735</v>
      </c>
    </row>
    <row r="35" spans="1:16" ht="15.75" thickTop="1" x14ac:dyDescent="0.25">
      <c r="A35" s="214" t="s">
        <v>24</v>
      </c>
      <c r="B35" s="208" t="s">
        <v>23</v>
      </c>
      <c r="C35" s="10" t="s">
        <v>6</v>
      </c>
      <c r="D35" s="88">
        <v>2029195</v>
      </c>
      <c r="E35" s="88"/>
      <c r="F35" s="88"/>
      <c r="G35" s="88">
        <v>-454000</v>
      </c>
      <c r="H35" s="88"/>
      <c r="I35" s="88">
        <v>-28614</v>
      </c>
      <c r="J35" s="88"/>
      <c r="K35" s="88"/>
      <c r="L35" s="89"/>
      <c r="M35" s="89"/>
      <c r="N35" s="89">
        <f>D35+E35+F35+H35+I35+K35+J35+L35+M35+G35</f>
        <v>1546581</v>
      </c>
      <c r="O35" s="124">
        <v>1166518</v>
      </c>
      <c r="P35" s="16">
        <f t="shared" si="1"/>
        <v>380063</v>
      </c>
    </row>
    <row r="36" spans="1:16" x14ac:dyDescent="0.25">
      <c r="A36" s="195"/>
      <c r="B36" s="197"/>
      <c r="C36" s="8" t="s">
        <v>133</v>
      </c>
      <c r="D36" s="89">
        <v>0</v>
      </c>
      <c r="E36" s="89"/>
      <c r="F36" s="89"/>
      <c r="G36" s="89"/>
      <c r="H36" s="89"/>
      <c r="I36" s="89"/>
      <c r="J36" s="89"/>
      <c r="K36" s="89"/>
      <c r="L36" s="89"/>
      <c r="M36" s="89"/>
      <c r="N36" s="24">
        <f t="shared" si="0"/>
        <v>0</v>
      </c>
      <c r="O36" s="125">
        <v>0</v>
      </c>
      <c r="P36" s="14">
        <f t="shared" si="1"/>
        <v>0</v>
      </c>
    </row>
    <row r="37" spans="1:16" x14ac:dyDescent="0.25">
      <c r="A37" s="182"/>
      <c r="B37" s="184"/>
      <c r="C37" s="2" t="s">
        <v>7</v>
      </c>
      <c r="D37" s="24">
        <v>1544975</v>
      </c>
      <c r="E37" s="24"/>
      <c r="F37" s="24"/>
      <c r="G37" s="24"/>
      <c r="H37" s="24"/>
      <c r="I37" s="24"/>
      <c r="J37" s="24"/>
      <c r="K37" s="24"/>
      <c r="L37" s="24"/>
      <c r="M37" s="24"/>
      <c r="N37" s="24">
        <f t="shared" si="0"/>
        <v>1544975</v>
      </c>
      <c r="O37" s="33">
        <v>1544975</v>
      </c>
      <c r="P37" s="14">
        <f t="shared" si="1"/>
        <v>0</v>
      </c>
    </row>
    <row r="38" spans="1:16" x14ac:dyDescent="0.25">
      <c r="A38" s="182"/>
      <c r="B38" s="115" t="s">
        <v>9</v>
      </c>
      <c r="C38" s="2" t="s">
        <v>10</v>
      </c>
      <c r="D38" s="24">
        <v>360000</v>
      </c>
      <c r="E38" s="24"/>
      <c r="F38" s="24"/>
      <c r="G38" s="24"/>
      <c r="H38" s="24"/>
      <c r="I38" s="24"/>
      <c r="J38" s="24">
        <v>70000</v>
      </c>
      <c r="K38" s="24"/>
      <c r="L38" s="24"/>
      <c r="M38" s="24"/>
      <c r="N38" s="24">
        <f t="shared" ref="N38:N69" si="2">D38+E38+F38+H38+I38+K38+J38+L38+M38</f>
        <v>430000</v>
      </c>
      <c r="O38" s="33">
        <v>226130</v>
      </c>
      <c r="P38" s="21">
        <f t="shared" si="1"/>
        <v>203870</v>
      </c>
    </row>
    <row r="39" spans="1:16" x14ac:dyDescent="0.25">
      <c r="A39" s="182"/>
      <c r="B39" s="4" t="s">
        <v>17</v>
      </c>
      <c r="C39" s="2" t="s">
        <v>10</v>
      </c>
      <c r="D39" s="24">
        <v>800000</v>
      </c>
      <c r="E39" s="24"/>
      <c r="F39" s="24"/>
      <c r="G39" s="24"/>
      <c r="H39" s="24"/>
      <c r="I39" s="24"/>
      <c r="J39" s="24"/>
      <c r="K39" s="24"/>
      <c r="L39" s="24"/>
      <c r="M39" s="24"/>
      <c r="N39" s="24">
        <f t="shared" si="2"/>
        <v>800000</v>
      </c>
      <c r="O39" s="33">
        <v>671290</v>
      </c>
      <c r="P39" s="14">
        <f t="shared" si="1"/>
        <v>128710</v>
      </c>
    </row>
    <row r="40" spans="1:16" x14ac:dyDescent="0.25">
      <c r="A40" s="182"/>
      <c r="B40" s="184" t="s">
        <v>20</v>
      </c>
      <c r="C40" s="2" t="s">
        <v>10</v>
      </c>
      <c r="D40" s="24">
        <v>0</v>
      </c>
      <c r="E40" s="24"/>
      <c r="F40" s="24"/>
      <c r="G40" s="24"/>
      <c r="H40" s="24"/>
      <c r="I40" s="24"/>
      <c r="J40" s="24"/>
      <c r="K40" s="24"/>
      <c r="L40" s="24"/>
      <c r="M40" s="24"/>
      <c r="N40" s="24">
        <f t="shared" si="2"/>
        <v>0</v>
      </c>
      <c r="O40" s="33">
        <v>0</v>
      </c>
      <c r="P40" s="14">
        <f t="shared" si="1"/>
        <v>0</v>
      </c>
    </row>
    <row r="41" spans="1:16" ht="15.75" thickBot="1" x14ac:dyDescent="0.3">
      <c r="A41" s="212"/>
      <c r="B41" s="218"/>
      <c r="C41" s="9" t="s">
        <v>13</v>
      </c>
      <c r="D41" s="87">
        <v>0</v>
      </c>
      <c r="E41" s="87"/>
      <c r="F41" s="87"/>
      <c r="G41" s="87"/>
      <c r="H41" s="87"/>
      <c r="I41" s="87"/>
      <c r="J41" s="87"/>
      <c r="K41" s="87"/>
      <c r="L41" s="87"/>
      <c r="M41" s="87"/>
      <c r="N41" s="87">
        <f t="shared" si="2"/>
        <v>0</v>
      </c>
      <c r="O41" s="123">
        <v>0</v>
      </c>
      <c r="P41" s="15">
        <f t="shared" si="1"/>
        <v>0</v>
      </c>
    </row>
    <row r="42" spans="1:16" ht="15.75" thickTop="1" x14ac:dyDescent="0.25">
      <c r="A42" s="214" t="s">
        <v>25</v>
      </c>
      <c r="B42" s="208" t="s">
        <v>5</v>
      </c>
      <c r="C42" s="10" t="s">
        <v>6</v>
      </c>
      <c r="D42" s="88">
        <v>1063967</v>
      </c>
      <c r="E42" s="88"/>
      <c r="F42" s="88"/>
      <c r="G42" s="88"/>
      <c r="H42" s="88"/>
      <c r="I42" s="88"/>
      <c r="J42" s="89"/>
      <c r="K42" s="89"/>
      <c r="L42" s="89"/>
      <c r="M42" s="89"/>
      <c r="N42" s="89">
        <f t="shared" si="2"/>
        <v>1063967</v>
      </c>
      <c r="O42" s="124">
        <v>707682</v>
      </c>
      <c r="P42" s="16">
        <f t="shared" si="1"/>
        <v>356285</v>
      </c>
    </row>
    <row r="43" spans="1:16" x14ac:dyDescent="0.25">
      <c r="A43" s="195"/>
      <c r="B43" s="197"/>
      <c r="C43" s="8" t="s">
        <v>133</v>
      </c>
      <c r="D43" s="89">
        <v>0</v>
      </c>
      <c r="E43" s="89"/>
      <c r="F43" s="89"/>
      <c r="G43" s="89"/>
      <c r="H43" s="89"/>
      <c r="I43" s="89"/>
      <c r="J43" s="89"/>
      <c r="K43" s="89"/>
      <c r="L43" s="89"/>
      <c r="M43" s="89"/>
      <c r="N43" s="24">
        <f t="shared" si="2"/>
        <v>0</v>
      </c>
      <c r="O43" s="125">
        <v>0</v>
      </c>
      <c r="P43" s="14">
        <f t="shared" si="1"/>
        <v>0</v>
      </c>
    </row>
    <row r="44" spans="1:16" x14ac:dyDescent="0.25">
      <c r="A44" s="182"/>
      <c r="B44" s="184"/>
      <c r="C44" s="2" t="s">
        <v>7</v>
      </c>
      <c r="D44" s="24">
        <v>386388</v>
      </c>
      <c r="E44" s="24"/>
      <c r="F44" s="24"/>
      <c r="G44" s="24"/>
      <c r="H44" s="24"/>
      <c r="I44" s="24"/>
      <c r="J44" s="24"/>
      <c r="K44" s="24"/>
      <c r="L44" s="24"/>
      <c r="M44" s="24"/>
      <c r="N44" s="24">
        <f t="shared" si="2"/>
        <v>386388</v>
      </c>
      <c r="O44" s="33">
        <v>386388</v>
      </c>
      <c r="P44" s="14">
        <f t="shared" si="1"/>
        <v>0</v>
      </c>
    </row>
    <row r="45" spans="1:16" x14ac:dyDescent="0.25">
      <c r="A45" s="182"/>
      <c r="B45" s="115" t="s">
        <v>17</v>
      </c>
      <c r="C45" s="2" t="s">
        <v>10</v>
      </c>
      <c r="D45" s="24">
        <v>400000</v>
      </c>
      <c r="E45" s="24"/>
      <c r="F45" s="24"/>
      <c r="G45" s="24"/>
      <c r="H45" s="24"/>
      <c r="I45" s="24"/>
      <c r="J45" s="24">
        <v>150000</v>
      </c>
      <c r="K45" s="24"/>
      <c r="L45" s="24"/>
      <c r="M45" s="24"/>
      <c r="N45" s="24">
        <f t="shared" si="2"/>
        <v>550000</v>
      </c>
      <c r="O45" s="33">
        <v>374470</v>
      </c>
      <c r="P45" s="14">
        <f t="shared" si="1"/>
        <v>175530</v>
      </c>
    </row>
    <row r="46" spans="1:16" x14ac:dyDescent="0.25">
      <c r="A46" s="182"/>
      <c r="B46" s="184" t="s">
        <v>20</v>
      </c>
      <c r="C46" s="2" t="s">
        <v>18</v>
      </c>
      <c r="D46" s="24">
        <v>0</v>
      </c>
      <c r="E46" s="24"/>
      <c r="F46" s="24"/>
      <c r="G46" s="24"/>
      <c r="H46" s="24"/>
      <c r="I46" s="24"/>
      <c r="J46" s="24"/>
      <c r="K46" s="24"/>
      <c r="L46" s="24"/>
      <c r="M46" s="24"/>
      <c r="N46" s="24">
        <f t="shared" si="2"/>
        <v>0</v>
      </c>
      <c r="O46" s="33">
        <v>0</v>
      </c>
      <c r="P46" s="14">
        <f t="shared" si="1"/>
        <v>0</v>
      </c>
    </row>
    <row r="47" spans="1:16" x14ac:dyDescent="0.25">
      <c r="A47" s="182"/>
      <c r="B47" s="184"/>
      <c r="C47" s="2" t="s">
        <v>10</v>
      </c>
      <c r="D47" s="24">
        <v>0</v>
      </c>
      <c r="E47" s="24"/>
      <c r="F47" s="24"/>
      <c r="G47" s="24"/>
      <c r="H47" s="24"/>
      <c r="I47" s="24"/>
      <c r="J47" s="24"/>
      <c r="K47" s="24"/>
      <c r="L47" s="24"/>
      <c r="M47" s="24"/>
      <c r="N47" s="24">
        <f t="shared" si="2"/>
        <v>0</v>
      </c>
      <c r="O47" s="33">
        <v>0</v>
      </c>
      <c r="P47" s="14">
        <f t="shared" si="1"/>
        <v>0</v>
      </c>
    </row>
    <row r="48" spans="1:16" ht="15.75" thickBot="1" x14ac:dyDescent="0.3">
      <c r="A48" s="212"/>
      <c r="B48" s="218"/>
      <c r="C48" s="9" t="s">
        <v>13</v>
      </c>
      <c r="D48" s="87">
        <v>0</v>
      </c>
      <c r="E48" s="87"/>
      <c r="F48" s="87"/>
      <c r="G48" s="87"/>
      <c r="H48" s="87"/>
      <c r="I48" s="87"/>
      <c r="J48" s="87"/>
      <c r="K48" s="87"/>
      <c r="L48" s="87"/>
      <c r="M48" s="87"/>
      <c r="N48" s="87">
        <f t="shared" si="2"/>
        <v>0</v>
      </c>
      <c r="O48" s="123">
        <v>0</v>
      </c>
      <c r="P48" s="15">
        <f t="shared" si="1"/>
        <v>0</v>
      </c>
    </row>
    <row r="49" spans="1:16" ht="15.75" thickTop="1" x14ac:dyDescent="0.25">
      <c r="A49" s="195" t="s">
        <v>26</v>
      </c>
      <c r="B49" s="197" t="s">
        <v>5</v>
      </c>
      <c r="C49" s="8" t="s">
        <v>6</v>
      </c>
      <c r="D49" s="89">
        <v>1135967</v>
      </c>
      <c r="E49" s="89"/>
      <c r="F49" s="89"/>
      <c r="G49" s="89"/>
      <c r="H49" s="89"/>
      <c r="I49" s="89"/>
      <c r="J49" s="89"/>
      <c r="K49" s="89"/>
      <c r="L49" s="89"/>
      <c r="M49" s="89"/>
      <c r="N49" s="89">
        <f t="shared" si="2"/>
        <v>1135967</v>
      </c>
      <c r="O49" s="125">
        <v>725499</v>
      </c>
      <c r="P49" s="16">
        <f t="shared" si="1"/>
        <v>410468</v>
      </c>
    </row>
    <row r="50" spans="1:16" x14ac:dyDescent="0.25">
      <c r="A50" s="182"/>
      <c r="B50" s="184"/>
      <c r="C50" s="2" t="s">
        <v>7</v>
      </c>
      <c r="D50" s="24">
        <v>1047311</v>
      </c>
      <c r="E50" s="24"/>
      <c r="F50" s="24"/>
      <c r="G50" s="24"/>
      <c r="H50" s="24"/>
      <c r="I50" s="24"/>
      <c r="J50" s="24"/>
      <c r="K50" s="24"/>
      <c r="L50" s="24"/>
      <c r="M50" s="24"/>
      <c r="N50" s="24">
        <f t="shared" si="2"/>
        <v>1047311</v>
      </c>
      <c r="O50" s="33">
        <v>1047311</v>
      </c>
      <c r="P50" s="14">
        <f t="shared" si="1"/>
        <v>0</v>
      </c>
    </row>
    <row r="51" spans="1:16" ht="15.75" thickBot="1" x14ac:dyDescent="0.3">
      <c r="A51" s="183"/>
      <c r="B51" s="118" t="s">
        <v>17</v>
      </c>
      <c r="C51" s="5" t="s">
        <v>10</v>
      </c>
      <c r="D51" s="90">
        <v>420000</v>
      </c>
      <c r="E51" s="90"/>
      <c r="F51" s="111"/>
      <c r="G51" s="111"/>
      <c r="H51" s="90"/>
      <c r="I51" s="90"/>
      <c r="J51" s="90"/>
      <c r="K51" s="90"/>
      <c r="L51" s="87"/>
      <c r="M51" s="87"/>
      <c r="N51" s="87">
        <f t="shared" si="2"/>
        <v>420000</v>
      </c>
      <c r="O51" s="126">
        <v>318205</v>
      </c>
      <c r="P51" s="22">
        <f t="shared" si="1"/>
        <v>101795</v>
      </c>
    </row>
    <row r="52" spans="1:16" ht="15.75" thickTop="1" x14ac:dyDescent="0.25">
      <c r="A52" s="214" t="s">
        <v>27</v>
      </c>
      <c r="B52" s="208" t="s">
        <v>5</v>
      </c>
      <c r="C52" s="10" t="s">
        <v>6</v>
      </c>
      <c r="D52" s="88">
        <v>1063967</v>
      </c>
      <c r="E52" s="88"/>
      <c r="F52" s="88"/>
      <c r="G52" s="88"/>
      <c r="H52" s="88"/>
      <c r="I52" s="88"/>
      <c r="J52" s="88"/>
      <c r="K52" s="88"/>
      <c r="L52" s="89"/>
      <c r="M52" s="89"/>
      <c r="N52" s="89">
        <f t="shared" si="2"/>
        <v>1063967</v>
      </c>
      <c r="O52" s="124">
        <v>707682</v>
      </c>
      <c r="P52" s="16">
        <f t="shared" si="1"/>
        <v>356285</v>
      </c>
    </row>
    <row r="53" spans="1:16" x14ac:dyDescent="0.25">
      <c r="A53" s="182"/>
      <c r="B53" s="184"/>
      <c r="C53" s="2" t="s">
        <v>7</v>
      </c>
      <c r="D53" s="24">
        <v>347113</v>
      </c>
      <c r="E53" s="24"/>
      <c r="F53" s="24"/>
      <c r="G53" s="24"/>
      <c r="H53" s="24"/>
      <c r="I53" s="24"/>
      <c r="J53" s="24"/>
      <c r="K53" s="24"/>
      <c r="L53" s="24"/>
      <c r="M53" s="24"/>
      <c r="N53" s="24">
        <f t="shared" si="2"/>
        <v>347113</v>
      </c>
      <c r="O53" s="33">
        <v>347113</v>
      </c>
      <c r="P53" s="14">
        <f t="shared" si="1"/>
        <v>0</v>
      </c>
    </row>
    <row r="54" spans="1:16" ht="15.75" thickBot="1" x14ac:dyDescent="0.3">
      <c r="A54" s="212"/>
      <c r="B54" s="117" t="s">
        <v>17</v>
      </c>
      <c r="C54" s="9" t="s">
        <v>10</v>
      </c>
      <c r="D54" s="87">
        <v>500000</v>
      </c>
      <c r="E54" s="87"/>
      <c r="F54" s="87"/>
      <c r="G54" s="87"/>
      <c r="H54" s="87"/>
      <c r="I54" s="87"/>
      <c r="J54" s="87">
        <v>100000</v>
      </c>
      <c r="K54" s="87"/>
      <c r="L54" s="87"/>
      <c r="M54" s="87"/>
      <c r="N54" s="87">
        <f t="shared" si="2"/>
        <v>600000</v>
      </c>
      <c r="O54" s="123">
        <v>419109</v>
      </c>
      <c r="P54" s="22">
        <f t="shared" si="1"/>
        <v>180891</v>
      </c>
    </row>
    <row r="55" spans="1:16" ht="15.75" thickTop="1" x14ac:dyDescent="0.25">
      <c r="A55" s="195" t="s">
        <v>28</v>
      </c>
      <c r="B55" s="197" t="s">
        <v>5</v>
      </c>
      <c r="C55" s="8" t="s">
        <v>6</v>
      </c>
      <c r="D55" s="89">
        <v>0</v>
      </c>
      <c r="E55" s="89"/>
      <c r="F55" s="89"/>
      <c r="G55" s="89"/>
      <c r="H55" s="89"/>
      <c r="I55" s="89"/>
      <c r="J55" s="89"/>
      <c r="K55" s="89"/>
      <c r="L55" s="89"/>
      <c r="M55" s="89"/>
      <c r="N55" s="89">
        <f t="shared" si="2"/>
        <v>0</v>
      </c>
      <c r="O55" s="125">
        <v>0</v>
      </c>
      <c r="P55" s="16">
        <f t="shared" si="1"/>
        <v>0</v>
      </c>
    </row>
    <row r="56" spans="1:16" x14ac:dyDescent="0.25">
      <c r="A56" s="182"/>
      <c r="B56" s="184"/>
      <c r="C56" s="2" t="s">
        <v>7</v>
      </c>
      <c r="D56" s="24">
        <v>885466</v>
      </c>
      <c r="E56" s="24"/>
      <c r="F56" s="24"/>
      <c r="G56" s="24"/>
      <c r="H56" s="24"/>
      <c r="I56" s="24"/>
      <c r="J56" s="24"/>
      <c r="K56" s="24"/>
      <c r="L56" s="24"/>
      <c r="M56" s="24"/>
      <c r="N56" s="24">
        <f t="shared" si="2"/>
        <v>885466</v>
      </c>
      <c r="O56" s="33">
        <v>885466</v>
      </c>
      <c r="P56" s="14">
        <f t="shared" si="1"/>
        <v>0</v>
      </c>
    </row>
    <row r="57" spans="1:16" ht="15.75" thickBot="1" x14ac:dyDescent="0.3">
      <c r="A57" s="183"/>
      <c r="B57" s="114" t="s">
        <v>17</v>
      </c>
      <c r="C57" s="5" t="s">
        <v>10</v>
      </c>
      <c r="D57" s="90">
        <v>500000</v>
      </c>
      <c r="E57" s="90"/>
      <c r="F57" s="90"/>
      <c r="G57" s="90"/>
      <c r="H57" s="90"/>
      <c r="I57" s="90"/>
      <c r="J57" s="90">
        <v>50000</v>
      </c>
      <c r="K57" s="90"/>
      <c r="L57" s="87"/>
      <c r="M57" s="87"/>
      <c r="N57" s="87">
        <f t="shared" si="2"/>
        <v>550000</v>
      </c>
      <c r="O57" s="126">
        <v>392810</v>
      </c>
      <c r="P57" s="15">
        <f t="shared" si="1"/>
        <v>157190</v>
      </c>
    </row>
    <row r="58" spans="1:16" ht="15.75" thickTop="1" x14ac:dyDescent="0.25">
      <c r="A58" s="214" t="s">
        <v>29</v>
      </c>
      <c r="B58" s="208" t="s">
        <v>23</v>
      </c>
      <c r="C58" s="10" t="s">
        <v>6</v>
      </c>
      <c r="D58" s="88">
        <v>258803</v>
      </c>
      <c r="E58" s="88"/>
      <c r="F58" s="88"/>
      <c r="G58" s="88"/>
      <c r="H58" s="88"/>
      <c r="I58" s="88">
        <v>-129401</v>
      </c>
      <c r="J58" s="88"/>
      <c r="K58" s="88"/>
      <c r="L58" s="89"/>
      <c r="M58" s="89"/>
      <c r="N58" s="89">
        <f t="shared" si="2"/>
        <v>129402</v>
      </c>
      <c r="O58" s="124">
        <v>129402</v>
      </c>
      <c r="P58" s="16">
        <f t="shared" si="1"/>
        <v>0</v>
      </c>
    </row>
    <row r="59" spans="1:16" x14ac:dyDescent="0.25">
      <c r="A59" s="195"/>
      <c r="B59" s="197"/>
      <c r="C59" s="8" t="s">
        <v>133</v>
      </c>
      <c r="D59" s="89">
        <v>0</v>
      </c>
      <c r="E59" s="89"/>
      <c r="F59" s="89"/>
      <c r="G59" s="89"/>
      <c r="H59" s="89"/>
      <c r="I59" s="89"/>
      <c r="J59" s="89"/>
      <c r="K59" s="89"/>
      <c r="L59" s="89"/>
      <c r="M59" s="89"/>
      <c r="N59" s="24">
        <f t="shared" si="2"/>
        <v>0</v>
      </c>
      <c r="O59" s="125">
        <v>0</v>
      </c>
      <c r="P59" s="14">
        <f t="shared" si="1"/>
        <v>0</v>
      </c>
    </row>
    <row r="60" spans="1:16" x14ac:dyDescent="0.25">
      <c r="A60" s="182"/>
      <c r="B60" s="184"/>
      <c r="C60" s="2" t="s">
        <v>7</v>
      </c>
      <c r="D60" s="24">
        <v>338512</v>
      </c>
      <c r="E60" s="24"/>
      <c r="F60" s="24"/>
      <c r="G60" s="24"/>
      <c r="H60" s="24"/>
      <c r="I60" s="24"/>
      <c r="J60" s="24"/>
      <c r="K60" s="24"/>
      <c r="L60" s="24"/>
      <c r="M60" s="24"/>
      <c r="N60" s="24">
        <f t="shared" si="2"/>
        <v>338512</v>
      </c>
      <c r="O60" s="33">
        <v>338512</v>
      </c>
      <c r="P60" s="14">
        <f t="shared" si="1"/>
        <v>0</v>
      </c>
    </row>
    <row r="61" spans="1:16" x14ac:dyDescent="0.25">
      <c r="A61" s="183"/>
      <c r="B61" s="115" t="s">
        <v>17</v>
      </c>
      <c r="C61" s="2" t="s">
        <v>10</v>
      </c>
      <c r="D61" s="24">
        <v>600000</v>
      </c>
      <c r="E61" s="90"/>
      <c r="F61" s="90"/>
      <c r="G61" s="90"/>
      <c r="H61" s="90"/>
      <c r="I61" s="90"/>
      <c r="J61" s="90">
        <v>50000</v>
      </c>
      <c r="K61" s="90"/>
      <c r="L61" s="90"/>
      <c r="M61" s="90"/>
      <c r="N61" s="24">
        <f t="shared" si="2"/>
        <v>650000</v>
      </c>
      <c r="O61" s="126">
        <v>440990</v>
      </c>
      <c r="P61" s="21">
        <f t="shared" si="1"/>
        <v>209010</v>
      </c>
    </row>
    <row r="62" spans="1:16" x14ac:dyDescent="0.25">
      <c r="A62" s="183"/>
      <c r="B62" s="185" t="s">
        <v>20</v>
      </c>
      <c r="C62" s="31" t="s">
        <v>18</v>
      </c>
      <c r="D62" s="90">
        <v>0</v>
      </c>
      <c r="E62" s="90"/>
      <c r="F62" s="90"/>
      <c r="G62" s="90"/>
      <c r="H62" s="90"/>
      <c r="I62" s="90"/>
      <c r="J62" s="90"/>
      <c r="K62" s="90"/>
      <c r="L62" s="90"/>
      <c r="M62" s="90"/>
      <c r="N62" s="24">
        <f t="shared" si="2"/>
        <v>0</v>
      </c>
      <c r="O62" s="126">
        <v>0</v>
      </c>
      <c r="P62" s="17">
        <f t="shared" si="1"/>
        <v>0</v>
      </c>
    </row>
    <row r="63" spans="1:16" x14ac:dyDescent="0.25">
      <c r="A63" s="183"/>
      <c r="B63" s="196"/>
      <c r="C63" s="31" t="s">
        <v>13</v>
      </c>
      <c r="D63" s="90">
        <v>0</v>
      </c>
      <c r="E63" s="90"/>
      <c r="F63" s="90"/>
      <c r="G63" s="90"/>
      <c r="H63" s="90"/>
      <c r="I63" s="90"/>
      <c r="J63" s="90"/>
      <c r="K63" s="90"/>
      <c r="L63" s="90"/>
      <c r="M63" s="90"/>
      <c r="N63" s="24">
        <f t="shared" si="2"/>
        <v>0</v>
      </c>
      <c r="O63" s="126">
        <v>0</v>
      </c>
      <c r="P63" s="46">
        <f t="shared" si="1"/>
        <v>0</v>
      </c>
    </row>
    <row r="64" spans="1:16" ht="15.75" thickBot="1" x14ac:dyDescent="0.3">
      <c r="A64" s="212"/>
      <c r="B64" s="213"/>
      <c r="C64" s="9" t="s">
        <v>10</v>
      </c>
      <c r="D64" s="87">
        <v>25000</v>
      </c>
      <c r="E64" s="87"/>
      <c r="F64" s="87"/>
      <c r="G64" s="87"/>
      <c r="H64" s="87"/>
      <c r="I64" s="87"/>
      <c r="J64" s="87"/>
      <c r="K64" s="87"/>
      <c r="L64" s="87"/>
      <c r="M64" s="87"/>
      <c r="N64" s="87">
        <f t="shared" si="2"/>
        <v>25000</v>
      </c>
      <c r="O64" s="123">
        <v>19065</v>
      </c>
      <c r="P64" s="22">
        <f t="shared" si="1"/>
        <v>5935</v>
      </c>
    </row>
    <row r="65" spans="1:17" ht="15.75" thickTop="1" x14ac:dyDescent="0.25">
      <c r="A65" s="195" t="s">
        <v>30</v>
      </c>
      <c r="B65" s="197" t="s">
        <v>5</v>
      </c>
      <c r="C65" s="8" t="s">
        <v>6</v>
      </c>
      <c r="D65" s="89">
        <v>0</v>
      </c>
      <c r="E65" s="89"/>
      <c r="F65" s="89"/>
      <c r="G65" s="89"/>
      <c r="H65" s="89"/>
      <c r="I65" s="89"/>
      <c r="J65" s="89"/>
      <c r="K65" s="89"/>
      <c r="L65" s="89"/>
      <c r="M65" s="89"/>
      <c r="N65" s="89">
        <f t="shared" si="2"/>
        <v>0</v>
      </c>
      <c r="O65" s="125">
        <v>0</v>
      </c>
      <c r="P65" s="16">
        <f t="shared" si="1"/>
        <v>0</v>
      </c>
    </row>
    <row r="66" spans="1:17" x14ac:dyDescent="0.25">
      <c r="A66" s="195"/>
      <c r="B66" s="197"/>
      <c r="C66" s="8" t="s">
        <v>133</v>
      </c>
      <c r="D66" s="89">
        <v>0</v>
      </c>
      <c r="E66" s="89"/>
      <c r="F66" s="89"/>
      <c r="G66" s="89"/>
      <c r="H66" s="89"/>
      <c r="I66" s="89"/>
      <c r="J66" s="89"/>
      <c r="K66" s="89"/>
      <c r="L66" s="89"/>
      <c r="M66" s="89"/>
      <c r="N66" s="24">
        <f t="shared" si="2"/>
        <v>0</v>
      </c>
      <c r="O66" s="125">
        <v>0</v>
      </c>
      <c r="P66" s="14">
        <f t="shared" si="1"/>
        <v>0</v>
      </c>
    </row>
    <row r="67" spans="1:17" x14ac:dyDescent="0.25">
      <c r="A67" s="182"/>
      <c r="B67" s="184"/>
      <c r="C67" s="2" t="s">
        <v>7</v>
      </c>
      <c r="D67" s="24">
        <v>606251</v>
      </c>
      <c r="E67" s="24"/>
      <c r="F67" s="24"/>
      <c r="G67" s="24"/>
      <c r="H67" s="24"/>
      <c r="I67" s="24"/>
      <c r="J67" s="24"/>
      <c r="K67" s="24"/>
      <c r="L67" s="24"/>
      <c r="M67" s="24"/>
      <c r="N67" s="24">
        <f t="shared" si="2"/>
        <v>606251</v>
      </c>
      <c r="O67" s="33">
        <v>606251</v>
      </c>
      <c r="P67" s="14">
        <f t="shared" si="1"/>
        <v>0</v>
      </c>
    </row>
    <row r="68" spans="1:17" x14ac:dyDescent="0.25">
      <c r="A68" s="182"/>
      <c r="B68" s="4" t="s">
        <v>17</v>
      </c>
      <c r="C68" s="2" t="s">
        <v>10</v>
      </c>
      <c r="D68" s="24">
        <v>630000</v>
      </c>
      <c r="E68" s="24"/>
      <c r="F68" s="24"/>
      <c r="G68" s="24"/>
      <c r="H68" s="24"/>
      <c r="I68" s="24"/>
      <c r="J68" s="24">
        <v>50000</v>
      </c>
      <c r="K68" s="24"/>
      <c r="L68" s="24"/>
      <c r="M68" s="24"/>
      <c r="N68" s="24">
        <f t="shared" si="2"/>
        <v>680000</v>
      </c>
      <c r="O68" s="33">
        <v>469750</v>
      </c>
      <c r="P68" s="21">
        <f t="shared" si="1"/>
        <v>210250</v>
      </c>
    </row>
    <row r="69" spans="1:17" ht="15.75" thickBot="1" x14ac:dyDescent="0.3">
      <c r="A69" s="183"/>
      <c r="B69" s="118" t="s">
        <v>20</v>
      </c>
      <c r="C69" s="5" t="s">
        <v>10</v>
      </c>
      <c r="D69" s="90">
        <v>100000</v>
      </c>
      <c r="E69" s="90"/>
      <c r="F69" s="90"/>
      <c r="G69" s="90"/>
      <c r="H69" s="90"/>
      <c r="I69" s="90"/>
      <c r="J69" s="90">
        <v>10000</v>
      </c>
      <c r="K69" s="90"/>
      <c r="L69" s="87"/>
      <c r="M69" s="87"/>
      <c r="N69" s="87">
        <f t="shared" si="2"/>
        <v>110000</v>
      </c>
      <c r="O69" s="126">
        <v>77495</v>
      </c>
      <c r="P69" s="15">
        <f t="shared" si="1"/>
        <v>32505</v>
      </c>
    </row>
    <row r="70" spans="1:17" ht="15.75" thickTop="1" x14ac:dyDescent="0.25">
      <c r="A70" s="214" t="s">
        <v>31</v>
      </c>
      <c r="B70" s="208" t="s">
        <v>5</v>
      </c>
      <c r="C70" s="10" t="s">
        <v>6</v>
      </c>
      <c r="D70" s="88">
        <v>1202431</v>
      </c>
      <c r="E70" s="88"/>
      <c r="F70" s="88"/>
      <c r="G70" s="88">
        <v>-33232</v>
      </c>
      <c r="H70" s="88"/>
      <c r="I70" s="88"/>
      <c r="J70" s="88"/>
      <c r="K70" s="88"/>
      <c r="L70" s="89"/>
      <c r="M70" s="89"/>
      <c r="N70" s="89">
        <f>D70+E70+F70+H70+I70+K70+J70+L70+M70+G70</f>
        <v>1169199</v>
      </c>
      <c r="O70" s="124">
        <v>758734</v>
      </c>
      <c r="P70" s="16">
        <f t="shared" si="1"/>
        <v>410465</v>
      </c>
    </row>
    <row r="71" spans="1:17" x14ac:dyDescent="0.25">
      <c r="A71" s="182"/>
      <c r="B71" s="184"/>
      <c r="C71" s="2" t="s">
        <v>7</v>
      </c>
      <c r="D71" s="24">
        <v>68564</v>
      </c>
      <c r="E71" s="24"/>
      <c r="F71" s="24"/>
      <c r="G71" s="24"/>
      <c r="H71" s="24"/>
      <c r="I71" s="24"/>
      <c r="J71" s="24"/>
      <c r="K71" s="24"/>
      <c r="L71" s="24"/>
      <c r="M71" s="24"/>
      <c r="N71" s="24">
        <f t="shared" ref="N70:N103" si="3">D71+E71+F71+H71+I71+K71+J71+L71+M71</f>
        <v>68564</v>
      </c>
      <c r="O71" s="33">
        <v>68564</v>
      </c>
      <c r="P71" s="14">
        <f t="shared" si="1"/>
        <v>0</v>
      </c>
    </row>
    <row r="72" spans="1:17" ht="15.75" thickBot="1" x14ac:dyDescent="0.3">
      <c r="A72" s="212"/>
      <c r="B72" s="117" t="s">
        <v>17</v>
      </c>
      <c r="C72" s="9" t="s">
        <v>10</v>
      </c>
      <c r="D72" s="87">
        <v>750000</v>
      </c>
      <c r="E72" s="87"/>
      <c r="F72" s="87"/>
      <c r="G72" s="87"/>
      <c r="H72" s="87"/>
      <c r="I72" s="87"/>
      <c r="J72" s="87">
        <v>300000</v>
      </c>
      <c r="K72" s="87"/>
      <c r="L72" s="87"/>
      <c r="M72" s="87"/>
      <c r="N72" s="87">
        <f t="shared" si="3"/>
        <v>1050000</v>
      </c>
      <c r="O72" s="123">
        <v>709880</v>
      </c>
      <c r="P72" s="15">
        <f t="shared" si="1"/>
        <v>340120</v>
      </c>
    </row>
    <row r="73" spans="1:17" ht="15.75" thickTop="1" x14ac:dyDescent="0.25">
      <c r="A73" s="214" t="s">
        <v>32</v>
      </c>
      <c r="B73" s="208" t="s">
        <v>5</v>
      </c>
      <c r="C73" s="10" t="s">
        <v>6</v>
      </c>
      <c r="D73" s="88">
        <v>0</v>
      </c>
      <c r="E73" s="88"/>
      <c r="F73" s="88"/>
      <c r="G73" s="88"/>
      <c r="H73" s="88"/>
      <c r="I73" s="88"/>
      <c r="J73" s="89"/>
      <c r="K73" s="89"/>
      <c r="L73" s="89"/>
      <c r="M73" s="89"/>
      <c r="N73" s="89">
        <f t="shared" si="3"/>
        <v>0</v>
      </c>
      <c r="O73" s="124">
        <v>0</v>
      </c>
      <c r="P73" s="16">
        <f t="shared" ref="P73:P145" si="4">N73-O73</f>
        <v>0</v>
      </c>
    </row>
    <row r="74" spans="1:17" x14ac:dyDescent="0.25">
      <c r="A74" s="182"/>
      <c r="B74" s="184"/>
      <c r="C74" s="2" t="s">
        <v>7</v>
      </c>
      <c r="D74" s="24">
        <v>1027979</v>
      </c>
      <c r="E74" s="24"/>
      <c r="F74" s="24"/>
      <c r="G74" s="24"/>
      <c r="H74" s="24"/>
      <c r="I74" s="24"/>
      <c r="J74" s="24"/>
      <c r="K74" s="24"/>
      <c r="L74" s="24"/>
      <c r="M74" s="24"/>
      <c r="N74" s="24">
        <f t="shared" si="3"/>
        <v>1027979</v>
      </c>
      <c r="O74" s="33">
        <v>1027979</v>
      </c>
      <c r="P74" s="14">
        <f t="shared" si="4"/>
        <v>0</v>
      </c>
    </row>
    <row r="75" spans="1:17" s="52" customFormat="1" x14ac:dyDescent="0.25">
      <c r="A75" s="182"/>
      <c r="B75" s="82" t="s">
        <v>17</v>
      </c>
      <c r="C75" s="79" t="s">
        <v>10</v>
      </c>
      <c r="D75" s="50">
        <v>600000</v>
      </c>
      <c r="E75" s="51">
        <v>-6350</v>
      </c>
      <c r="F75" s="50"/>
      <c r="G75" s="50"/>
      <c r="H75" s="50"/>
      <c r="I75" s="50"/>
      <c r="J75" s="50">
        <v>80000</v>
      </c>
      <c r="K75" s="50"/>
      <c r="L75" s="50"/>
      <c r="M75" s="50"/>
      <c r="N75" s="24">
        <f t="shared" si="3"/>
        <v>673650</v>
      </c>
      <c r="O75" s="33">
        <v>484703</v>
      </c>
      <c r="P75" s="33">
        <f t="shared" si="4"/>
        <v>188947</v>
      </c>
      <c r="Q75" s="80"/>
    </row>
    <row r="76" spans="1:17" s="169" customFormat="1" x14ac:dyDescent="0.25">
      <c r="A76" s="183"/>
      <c r="B76" s="215" t="s">
        <v>20</v>
      </c>
      <c r="C76" s="167" t="s">
        <v>18</v>
      </c>
      <c r="D76" s="166">
        <v>0</v>
      </c>
      <c r="E76" s="166">
        <v>5000</v>
      </c>
      <c r="F76" s="166"/>
      <c r="G76" s="166"/>
      <c r="H76" s="166"/>
      <c r="I76" s="166"/>
      <c r="J76" s="166"/>
      <c r="K76" s="166"/>
      <c r="L76" s="166"/>
      <c r="M76" s="166"/>
      <c r="N76" s="28">
        <f t="shared" si="3"/>
        <v>5000</v>
      </c>
      <c r="O76" s="47">
        <v>5000</v>
      </c>
      <c r="P76" s="47">
        <f t="shared" si="4"/>
        <v>0</v>
      </c>
      <c r="Q76" s="168"/>
    </row>
    <row r="77" spans="1:17" s="169" customFormat="1" x14ac:dyDescent="0.25">
      <c r="A77" s="183"/>
      <c r="B77" s="216"/>
      <c r="C77" s="167" t="s">
        <v>13</v>
      </c>
      <c r="D77" s="166">
        <v>0</v>
      </c>
      <c r="E77" s="166">
        <v>1350</v>
      </c>
      <c r="F77" s="166"/>
      <c r="G77" s="166"/>
      <c r="H77" s="166"/>
      <c r="I77" s="166"/>
      <c r="J77" s="166"/>
      <c r="K77" s="166"/>
      <c r="L77" s="166"/>
      <c r="M77" s="166"/>
      <c r="N77" s="28">
        <f>D77+E77+F77+H77+I77+K77+J77+L77+M77</f>
        <v>1350</v>
      </c>
      <c r="O77" s="47">
        <v>1350</v>
      </c>
      <c r="P77" s="47">
        <f t="shared" si="4"/>
        <v>0</v>
      </c>
      <c r="Q77" s="168"/>
    </row>
    <row r="78" spans="1:17" s="52" customFormat="1" ht="15.75" thickBot="1" x14ac:dyDescent="0.3">
      <c r="A78" s="212"/>
      <c r="B78" s="217"/>
      <c r="C78" s="83" t="s">
        <v>10</v>
      </c>
      <c r="D78" s="91">
        <v>40000</v>
      </c>
      <c r="E78" s="112"/>
      <c r="F78" s="91"/>
      <c r="G78" s="91"/>
      <c r="H78" s="91"/>
      <c r="I78" s="91"/>
      <c r="J78" s="91"/>
      <c r="K78" s="91"/>
      <c r="L78" s="91"/>
      <c r="M78" s="91"/>
      <c r="N78" s="87">
        <f>D78+E78+F78+H78+I78+K78+J78+L78+M78</f>
        <v>40000</v>
      </c>
      <c r="O78" s="123">
        <v>21145</v>
      </c>
      <c r="P78" s="84">
        <f t="shared" si="4"/>
        <v>18855</v>
      </c>
      <c r="Q78" s="80"/>
    </row>
    <row r="79" spans="1:17" ht="15.75" thickTop="1" x14ac:dyDescent="0.25">
      <c r="A79" s="195" t="s">
        <v>33</v>
      </c>
      <c r="B79" s="197" t="s">
        <v>5</v>
      </c>
      <c r="C79" s="8" t="s">
        <v>6</v>
      </c>
      <c r="D79" s="89">
        <v>1135967</v>
      </c>
      <c r="E79" s="89"/>
      <c r="F79" s="89"/>
      <c r="G79" s="89"/>
      <c r="H79" s="89"/>
      <c r="I79" s="89"/>
      <c r="J79" s="89"/>
      <c r="K79" s="89"/>
      <c r="L79" s="89"/>
      <c r="M79" s="89"/>
      <c r="N79" s="89">
        <f t="shared" si="3"/>
        <v>1135967</v>
      </c>
      <c r="O79" s="125">
        <v>516027</v>
      </c>
      <c r="P79" s="16">
        <f t="shared" si="4"/>
        <v>619940</v>
      </c>
    </row>
    <row r="80" spans="1:17" x14ac:dyDescent="0.25">
      <c r="A80" s="182"/>
      <c r="B80" s="184"/>
      <c r="C80" s="2" t="s">
        <v>7</v>
      </c>
      <c r="D80" s="24">
        <v>291448</v>
      </c>
      <c r="E80" s="24"/>
      <c r="F80" s="24"/>
      <c r="G80" s="24"/>
      <c r="H80" s="24"/>
      <c r="I80" s="24"/>
      <c r="J80" s="24"/>
      <c r="K80" s="24"/>
      <c r="L80" s="24"/>
      <c r="M80" s="24"/>
      <c r="N80" s="24">
        <f t="shared" si="3"/>
        <v>291448</v>
      </c>
      <c r="O80" s="33">
        <v>291448</v>
      </c>
      <c r="P80" s="14">
        <f t="shared" si="4"/>
        <v>0</v>
      </c>
    </row>
    <row r="81" spans="1:17" x14ac:dyDescent="0.25">
      <c r="A81" s="182"/>
      <c r="B81" s="115" t="s">
        <v>17</v>
      </c>
      <c r="C81" s="2" t="s">
        <v>10</v>
      </c>
      <c r="D81" s="24">
        <v>569060</v>
      </c>
      <c r="E81" s="24"/>
      <c r="F81" s="24"/>
      <c r="G81" s="24"/>
      <c r="H81" s="24"/>
      <c r="I81" s="24"/>
      <c r="J81" s="24">
        <v>120000</v>
      </c>
      <c r="K81" s="24"/>
      <c r="L81" s="24"/>
      <c r="M81" s="24"/>
      <c r="N81" s="24">
        <f t="shared" si="3"/>
        <v>689060</v>
      </c>
      <c r="O81" s="33">
        <v>505137</v>
      </c>
      <c r="P81" s="14">
        <f t="shared" si="4"/>
        <v>183923</v>
      </c>
    </row>
    <row r="82" spans="1:17" x14ac:dyDescent="0.25">
      <c r="A82" s="183"/>
      <c r="B82" s="185" t="s">
        <v>20</v>
      </c>
      <c r="C82" s="5" t="s">
        <v>18</v>
      </c>
      <c r="D82" s="90">
        <v>0</v>
      </c>
      <c r="E82" s="90"/>
      <c r="F82" s="90"/>
      <c r="G82" s="90"/>
      <c r="H82" s="90"/>
      <c r="I82" s="90"/>
      <c r="J82" s="90"/>
      <c r="K82" s="90"/>
      <c r="L82" s="90"/>
      <c r="M82" s="90"/>
      <c r="N82" s="24">
        <f t="shared" si="3"/>
        <v>0</v>
      </c>
      <c r="O82" s="126">
        <v>0</v>
      </c>
      <c r="P82" s="14">
        <f t="shared" si="4"/>
        <v>0</v>
      </c>
    </row>
    <row r="83" spans="1:17" x14ac:dyDescent="0.25">
      <c r="A83" s="183"/>
      <c r="B83" s="196"/>
      <c r="C83" s="5" t="s">
        <v>10</v>
      </c>
      <c r="D83" s="90">
        <v>30940</v>
      </c>
      <c r="E83" s="90"/>
      <c r="F83" s="90"/>
      <c r="G83" s="90"/>
      <c r="H83" s="90"/>
      <c r="I83" s="90"/>
      <c r="J83" s="90"/>
      <c r="K83" s="90"/>
      <c r="L83" s="90"/>
      <c r="M83" s="90"/>
      <c r="N83" s="24">
        <f t="shared" si="3"/>
        <v>30940</v>
      </c>
      <c r="O83" s="126">
        <v>22410</v>
      </c>
      <c r="P83" s="21">
        <f t="shared" si="4"/>
        <v>8530</v>
      </c>
    </row>
    <row r="84" spans="1:17" ht="15.75" thickBot="1" x14ac:dyDescent="0.3">
      <c r="A84" s="183"/>
      <c r="B84" s="213"/>
      <c r="C84" s="5" t="s">
        <v>13</v>
      </c>
      <c r="D84" s="90">
        <v>0</v>
      </c>
      <c r="E84" s="90"/>
      <c r="F84" s="90"/>
      <c r="G84" s="90"/>
      <c r="H84" s="90"/>
      <c r="I84" s="90"/>
      <c r="J84" s="90"/>
      <c r="K84" s="90"/>
      <c r="L84" s="87"/>
      <c r="M84" s="87"/>
      <c r="N84" s="87">
        <f t="shared" si="3"/>
        <v>0</v>
      </c>
      <c r="O84" s="126">
        <v>0</v>
      </c>
      <c r="P84" s="15">
        <f t="shared" si="4"/>
        <v>0</v>
      </c>
    </row>
    <row r="85" spans="1:17" ht="15.75" thickTop="1" x14ac:dyDescent="0.25">
      <c r="A85" s="205" t="s">
        <v>34</v>
      </c>
      <c r="B85" s="208" t="s">
        <v>5</v>
      </c>
      <c r="C85" s="10" t="s">
        <v>6</v>
      </c>
      <c r="D85" s="88">
        <v>0</v>
      </c>
      <c r="E85" s="88"/>
      <c r="F85" s="88"/>
      <c r="G85" s="88"/>
      <c r="H85" s="88"/>
      <c r="I85" s="88"/>
      <c r="J85" s="88"/>
      <c r="K85" s="88"/>
      <c r="L85" s="89"/>
      <c r="M85" s="89"/>
      <c r="N85" s="89">
        <f t="shared" si="3"/>
        <v>0</v>
      </c>
      <c r="O85" s="124">
        <v>0</v>
      </c>
      <c r="P85" s="16">
        <f t="shared" si="4"/>
        <v>0</v>
      </c>
    </row>
    <row r="86" spans="1:17" x14ac:dyDescent="0.25">
      <c r="A86" s="206"/>
      <c r="B86" s="184"/>
      <c r="C86" s="2" t="s">
        <v>7</v>
      </c>
      <c r="D86" s="24">
        <v>574939</v>
      </c>
      <c r="E86" s="24"/>
      <c r="F86" s="24"/>
      <c r="G86" s="24"/>
      <c r="H86" s="24"/>
      <c r="I86" s="24"/>
      <c r="J86" s="24"/>
      <c r="K86" s="24"/>
      <c r="L86" s="24"/>
      <c r="M86" s="24"/>
      <c r="N86" s="24">
        <f t="shared" si="3"/>
        <v>574939</v>
      </c>
      <c r="O86" s="33">
        <v>574939</v>
      </c>
      <c r="P86" s="14">
        <f t="shared" si="4"/>
        <v>0</v>
      </c>
    </row>
    <row r="87" spans="1:17" ht="15.75" thickBot="1" x14ac:dyDescent="0.3">
      <c r="A87" s="207"/>
      <c r="B87" s="11" t="s">
        <v>17</v>
      </c>
      <c r="C87" s="9" t="s">
        <v>10</v>
      </c>
      <c r="D87" s="87">
        <v>0</v>
      </c>
      <c r="E87" s="87"/>
      <c r="F87" s="87"/>
      <c r="G87" s="87"/>
      <c r="H87" s="87"/>
      <c r="I87" s="87"/>
      <c r="J87" s="87"/>
      <c r="K87" s="87"/>
      <c r="L87" s="87"/>
      <c r="M87" s="87"/>
      <c r="N87" s="87">
        <f t="shared" si="3"/>
        <v>0</v>
      </c>
      <c r="O87" s="123">
        <v>0</v>
      </c>
      <c r="P87" s="15">
        <f t="shared" si="4"/>
        <v>0</v>
      </c>
    </row>
    <row r="88" spans="1:17" ht="15.75" thickTop="1" x14ac:dyDescent="0.25">
      <c r="A88" s="198" t="s">
        <v>35</v>
      </c>
      <c r="B88" s="197" t="s">
        <v>5</v>
      </c>
      <c r="C88" s="8" t="s">
        <v>6</v>
      </c>
      <c r="D88" s="89">
        <v>1063967</v>
      </c>
      <c r="E88" s="89"/>
      <c r="F88" s="89"/>
      <c r="G88" s="89"/>
      <c r="H88" s="89"/>
      <c r="I88" s="89"/>
      <c r="J88" s="89"/>
      <c r="K88" s="92"/>
      <c r="L88" s="92"/>
      <c r="M88" s="92"/>
      <c r="N88" s="89">
        <f t="shared" si="3"/>
        <v>1063967</v>
      </c>
      <c r="O88" s="125">
        <v>707682</v>
      </c>
      <c r="P88" s="16">
        <f t="shared" si="4"/>
        <v>356285</v>
      </c>
    </row>
    <row r="89" spans="1:17" x14ac:dyDescent="0.25">
      <c r="A89" s="194"/>
      <c r="B89" s="197"/>
      <c r="C89" s="8" t="s">
        <v>133</v>
      </c>
      <c r="D89" s="89">
        <v>0</v>
      </c>
      <c r="E89" s="89"/>
      <c r="F89" s="89"/>
      <c r="G89" s="89"/>
      <c r="H89" s="89"/>
      <c r="I89" s="89"/>
      <c r="J89" s="89"/>
      <c r="K89" s="89"/>
      <c r="L89" s="89"/>
      <c r="M89" s="89"/>
      <c r="N89" s="24">
        <f t="shared" si="3"/>
        <v>0</v>
      </c>
      <c r="O89" s="125">
        <v>0</v>
      </c>
      <c r="P89" s="14">
        <f t="shared" si="4"/>
        <v>0</v>
      </c>
    </row>
    <row r="90" spans="1:17" x14ac:dyDescent="0.25">
      <c r="A90" s="194"/>
      <c r="B90" s="184"/>
      <c r="C90" s="2" t="s">
        <v>7</v>
      </c>
      <c r="D90" s="24">
        <v>873713</v>
      </c>
      <c r="E90" s="24"/>
      <c r="F90" s="24"/>
      <c r="G90" s="24"/>
      <c r="H90" s="24"/>
      <c r="I90" s="24"/>
      <c r="J90" s="24"/>
      <c r="K90" s="24"/>
      <c r="L90" s="24"/>
      <c r="M90" s="24"/>
      <c r="N90" s="24">
        <f t="shared" si="3"/>
        <v>873713</v>
      </c>
      <c r="O90" s="33">
        <v>873713</v>
      </c>
      <c r="P90" s="14">
        <f t="shared" si="4"/>
        <v>0</v>
      </c>
    </row>
    <row r="91" spans="1:17" x14ac:dyDescent="0.25">
      <c r="A91" s="194"/>
      <c r="B91" s="4" t="s">
        <v>17</v>
      </c>
      <c r="C91" s="2" t="s">
        <v>10</v>
      </c>
      <c r="D91" s="24">
        <v>890000</v>
      </c>
      <c r="E91" s="24"/>
      <c r="F91" s="24"/>
      <c r="G91" s="24"/>
      <c r="H91" s="24"/>
      <c r="I91" s="24"/>
      <c r="J91" s="24">
        <v>100000</v>
      </c>
      <c r="K91" s="24"/>
      <c r="L91" s="24"/>
      <c r="M91" s="24"/>
      <c r="N91" s="24">
        <f t="shared" si="3"/>
        <v>990000</v>
      </c>
      <c r="O91" s="33">
        <v>713605</v>
      </c>
      <c r="P91" s="21">
        <f t="shared" si="4"/>
        <v>276395</v>
      </c>
    </row>
    <row r="92" spans="1:17" s="19" customFormat="1" x14ac:dyDescent="0.25">
      <c r="A92" s="194"/>
      <c r="B92" s="209" t="s">
        <v>20</v>
      </c>
      <c r="C92" s="31" t="s">
        <v>18</v>
      </c>
      <c r="D92" s="111">
        <v>0</v>
      </c>
      <c r="E92" s="111">
        <v>5000</v>
      </c>
      <c r="F92" s="111"/>
      <c r="G92" s="111"/>
      <c r="H92" s="111"/>
      <c r="I92" s="111"/>
      <c r="J92" s="111"/>
      <c r="K92" s="111"/>
      <c r="L92" s="111"/>
      <c r="M92" s="111"/>
      <c r="N92" s="28">
        <f t="shared" si="3"/>
        <v>5000</v>
      </c>
      <c r="O92" s="47">
        <v>5000</v>
      </c>
      <c r="P92" s="21">
        <f t="shared" si="4"/>
        <v>0</v>
      </c>
      <c r="Q92" s="53"/>
    </row>
    <row r="93" spans="1:17" s="19" customFormat="1" x14ac:dyDescent="0.25">
      <c r="A93" s="194"/>
      <c r="B93" s="210"/>
      <c r="C93" s="31" t="s">
        <v>10</v>
      </c>
      <c r="D93" s="111">
        <v>52000</v>
      </c>
      <c r="E93" s="111">
        <v>-6350</v>
      </c>
      <c r="F93" s="111"/>
      <c r="G93" s="111"/>
      <c r="H93" s="111"/>
      <c r="I93" s="111"/>
      <c r="J93" s="111"/>
      <c r="K93" s="111"/>
      <c r="L93" s="111"/>
      <c r="M93" s="111"/>
      <c r="N93" s="28">
        <f t="shared" si="3"/>
        <v>45650</v>
      </c>
      <c r="O93" s="47">
        <v>33980</v>
      </c>
      <c r="P93" s="32">
        <f t="shared" si="4"/>
        <v>11670</v>
      </c>
      <c r="Q93" s="53"/>
    </row>
    <row r="94" spans="1:17" s="19" customFormat="1" ht="15.75" thickBot="1" x14ac:dyDescent="0.3">
      <c r="A94" s="199"/>
      <c r="B94" s="211"/>
      <c r="C94" s="170" t="s">
        <v>13</v>
      </c>
      <c r="D94" s="171">
        <v>0</v>
      </c>
      <c r="E94" s="171">
        <v>1350</v>
      </c>
      <c r="F94" s="171"/>
      <c r="G94" s="171"/>
      <c r="H94" s="171"/>
      <c r="I94" s="171"/>
      <c r="J94" s="171"/>
      <c r="K94" s="171"/>
      <c r="L94" s="171"/>
      <c r="M94" s="171"/>
      <c r="N94" s="171">
        <f t="shared" si="3"/>
        <v>1350</v>
      </c>
      <c r="O94" s="84">
        <v>1350</v>
      </c>
      <c r="P94" s="22">
        <f t="shared" si="4"/>
        <v>0</v>
      </c>
      <c r="Q94" s="53"/>
    </row>
    <row r="95" spans="1:17" ht="15.75" thickTop="1" x14ac:dyDescent="0.25">
      <c r="A95" s="195" t="s">
        <v>36</v>
      </c>
      <c r="B95" s="197" t="s">
        <v>5</v>
      </c>
      <c r="C95" s="8" t="s">
        <v>6</v>
      </c>
      <c r="D95" s="89">
        <v>3830814</v>
      </c>
      <c r="E95" s="89"/>
      <c r="F95" s="89"/>
      <c r="G95" s="89">
        <v>-429000</v>
      </c>
      <c r="H95" s="89"/>
      <c r="I95" s="89">
        <v>-1115400</v>
      </c>
      <c r="J95" s="89"/>
      <c r="K95" s="89"/>
      <c r="L95" s="89"/>
      <c r="M95" s="89"/>
      <c r="N95" s="89">
        <f>D95+E95+F95+H95+I95+K95+J95+L95+M95+G95</f>
        <v>2286414</v>
      </c>
      <c r="O95" s="125">
        <v>1181587</v>
      </c>
      <c r="P95" s="16">
        <f t="shared" si="4"/>
        <v>1104827</v>
      </c>
    </row>
    <row r="96" spans="1:17" x14ac:dyDescent="0.25">
      <c r="A96" s="182"/>
      <c r="B96" s="184"/>
      <c r="C96" s="2" t="s">
        <v>7</v>
      </c>
      <c r="D96" s="24">
        <v>0</v>
      </c>
      <c r="E96" s="24"/>
      <c r="F96" s="24"/>
      <c r="G96" s="24"/>
      <c r="H96" s="24"/>
      <c r="I96" s="24"/>
      <c r="J96" s="24"/>
      <c r="K96" s="24"/>
      <c r="L96" s="24"/>
      <c r="M96" s="24"/>
      <c r="N96" s="24">
        <f t="shared" si="3"/>
        <v>0</v>
      </c>
      <c r="O96" s="33">
        <v>0</v>
      </c>
      <c r="P96" s="14">
        <f t="shared" si="4"/>
        <v>0</v>
      </c>
    </row>
    <row r="97" spans="1:16" x14ac:dyDescent="0.25">
      <c r="A97" s="182"/>
      <c r="B97" s="185" t="s">
        <v>17</v>
      </c>
      <c r="C97" s="30" t="s">
        <v>18</v>
      </c>
      <c r="D97" s="24">
        <v>0</v>
      </c>
      <c r="E97" s="24"/>
      <c r="F97" s="24"/>
      <c r="G97" s="24"/>
      <c r="H97" s="24"/>
      <c r="I97" s="24"/>
      <c r="J97" s="24"/>
      <c r="K97" s="24"/>
      <c r="L97" s="24"/>
      <c r="M97" s="24"/>
      <c r="N97" s="24">
        <f t="shared" si="3"/>
        <v>0</v>
      </c>
      <c r="O97" s="33">
        <v>0</v>
      </c>
      <c r="P97" s="14">
        <f t="shared" si="4"/>
        <v>0</v>
      </c>
    </row>
    <row r="98" spans="1:16" x14ac:dyDescent="0.25">
      <c r="A98" s="182"/>
      <c r="B98" s="196"/>
      <c r="C98" s="2" t="s">
        <v>10</v>
      </c>
      <c r="D98" s="24">
        <v>1000000</v>
      </c>
      <c r="E98" s="24"/>
      <c r="F98" s="24"/>
      <c r="G98" s="24"/>
      <c r="H98" s="24"/>
      <c r="I98" s="24"/>
      <c r="J98" s="24">
        <v>200000</v>
      </c>
      <c r="K98" s="24"/>
      <c r="L98" s="24"/>
      <c r="M98" s="24"/>
      <c r="N98" s="24">
        <f t="shared" si="3"/>
        <v>1200000</v>
      </c>
      <c r="O98" s="33">
        <v>841680</v>
      </c>
      <c r="P98" s="14">
        <f t="shared" si="4"/>
        <v>358320</v>
      </c>
    </row>
    <row r="99" spans="1:16" x14ac:dyDescent="0.25">
      <c r="A99" s="183"/>
      <c r="B99" s="197"/>
      <c r="C99" s="31" t="s">
        <v>13</v>
      </c>
      <c r="D99" s="90">
        <v>0</v>
      </c>
      <c r="E99" s="90"/>
      <c r="F99" s="90"/>
      <c r="G99" s="90"/>
      <c r="H99" s="90"/>
      <c r="I99" s="90"/>
      <c r="J99" s="90"/>
      <c r="K99" s="90"/>
      <c r="L99" s="90"/>
      <c r="M99" s="90"/>
      <c r="N99" s="24">
        <f t="shared" si="3"/>
        <v>0</v>
      </c>
      <c r="O99" s="126">
        <v>0</v>
      </c>
      <c r="P99" s="17">
        <f t="shared" si="4"/>
        <v>0</v>
      </c>
    </row>
    <row r="100" spans="1:16" x14ac:dyDescent="0.25">
      <c r="A100" s="183"/>
      <c r="B100" s="185" t="s">
        <v>20</v>
      </c>
      <c r="C100" s="31" t="s">
        <v>18</v>
      </c>
      <c r="D100" s="90">
        <v>20000</v>
      </c>
      <c r="E100" s="90"/>
      <c r="F100" s="90"/>
      <c r="G100" s="90"/>
      <c r="H100" s="90"/>
      <c r="I100" s="90"/>
      <c r="J100" s="90"/>
      <c r="K100" s="90"/>
      <c r="L100" s="90"/>
      <c r="M100" s="90"/>
      <c r="N100" s="24">
        <f t="shared" si="3"/>
        <v>20000</v>
      </c>
      <c r="O100" s="126">
        <v>12000</v>
      </c>
      <c r="P100" s="46">
        <f t="shared" si="4"/>
        <v>8000</v>
      </c>
    </row>
    <row r="101" spans="1:16" x14ac:dyDescent="0.25">
      <c r="A101" s="183"/>
      <c r="B101" s="196"/>
      <c r="C101" s="31" t="s">
        <v>13</v>
      </c>
      <c r="D101" s="90">
        <v>5400</v>
      </c>
      <c r="E101" s="90"/>
      <c r="F101" s="90"/>
      <c r="G101" s="90"/>
      <c r="H101" s="90"/>
      <c r="I101" s="90"/>
      <c r="J101" s="90"/>
      <c r="K101" s="90"/>
      <c r="L101" s="90"/>
      <c r="M101" s="90"/>
      <c r="N101" s="24">
        <f t="shared" si="3"/>
        <v>5400</v>
      </c>
      <c r="O101" s="126">
        <v>3240</v>
      </c>
      <c r="P101" s="46">
        <f t="shared" si="4"/>
        <v>2160</v>
      </c>
    </row>
    <row r="102" spans="1:16" ht="15.75" thickBot="1" x14ac:dyDescent="0.3">
      <c r="A102" s="212"/>
      <c r="B102" s="213"/>
      <c r="C102" s="9" t="s">
        <v>10</v>
      </c>
      <c r="D102" s="87">
        <v>470000</v>
      </c>
      <c r="E102" s="87"/>
      <c r="F102" s="87"/>
      <c r="G102" s="87"/>
      <c r="H102" s="87"/>
      <c r="I102" s="87"/>
      <c r="J102" s="87"/>
      <c r="K102" s="87"/>
      <c r="L102" s="87"/>
      <c r="M102" s="87"/>
      <c r="N102" s="87">
        <f t="shared" si="3"/>
        <v>470000</v>
      </c>
      <c r="O102" s="123">
        <v>342470</v>
      </c>
      <c r="P102" s="22">
        <f t="shared" si="4"/>
        <v>127530</v>
      </c>
    </row>
    <row r="103" spans="1:16" ht="15.75" thickTop="1" x14ac:dyDescent="0.25">
      <c r="A103" s="198" t="s">
        <v>37</v>
      </c>
      <c r="B103" s="200" t="s">
        <v>5</v>
      </c>
      <c r="C103" s="10" t="s">
        <v>6</v>
      </c>
      <c r="D103" s="88">
        <v>19201</v>
      </c>
      <c r="E103" s="88"/>
      <c r="F103" s="88"/>
      <c r="G103" s="88"/>
      <c r="H103" s="88"/>
      <c r="I103" s="88">
        <v>-9600</v>
      </c>
      <c r="J103" s="89"/>
      <c r="K103" s="89"/>
      <c r="L103" s="89"/>
      <c r="M103" s="89"/>
      <c r="N103" s="89">
        <f t="shared" si="3"/>
        <v>9601</v>
      </c>
      <c r="O103" s="124">
        <v>9601</v>
      </c>
      <c r="P103" s="16">
        <f t="shared" si="4"/>
        <v>0</v>
      </c>
    </row>
    <row r="104" spans="1:16" x14ac:dyDescent="0.25">
      <c r="A104" s="194"/>
      <c r="B104" s="197"/>
      <c r="C104" s="8" t="s">
        <v>7</v>
      </c>
      <c r="D104" s="89">
        <v>64589</v>
      </c>
      <c r="E104" s="89"/>
      <c r="F104" s="89"/>
      <c r="G104" s="89"/>
      <c r="H104" s="89"/>
      <c r="I104" s="89"/>
      <c r="J104" s="89"/>
      <c r="K104" s="89"/>
      <c r="L104" s="89"/>
      <c r="M104" s="89"/>
      <c r="N104" s="24">
        <f t="shared" ref="N104:N106" si="5">D104+E104+F104+H104+I104+K104+J104+L104+M104</f>
        <v>64589</v>
      </c>
      <c r="O104" s="125">
        <v>64589</v>
      </c>
      <c r="P104" s="14">
        <f t="shared" si="4"/>
        <v>0</v>
      </c>
    </row>
    <row r="105" spans="1:16" x14ac:dyDescent="0.25">
      <c r="A105" s="194"/>
      <c r="B105" s="116" t="s">
        <v>20</v>
      </c>
      <c r="C105" s="29" t="s">
        <v>10</v>
      </c>
      <c r="D105" s="93">
        <v>20000</v>
      </c>
      <c r="E105" s="93">
        <f>25000+10000</f>
        <v>35000</v>
      </c>
      <c r="F105" s="93"/>
      <c r="G105" s="93"/>
      <c r="H105" s="93"/>
      <c r="I105" s="93"/>
      <c r="J105" s="93"/>
      <c r="K105" s="93"/>
      <c r="L105" s="93"/>
      <c r="M105" s="93"/>
      <c r="N105" s="24">
        <f t="shared" si="5"/>
        <v>55000</v>
      </c>
      <c r="O105" s="127">
        <v>33500</v>
      </c>
      <c r="P105" s="47">
        <f t="shared" si="4"/>
        <v>21500</v>
      </c>
    </row>
    <row r="106" spans="1:16" ht="15.75" thickBot="1" x14ac:dyDescent="0.3">
      <c r="A106" s="199"/>
      <c r="B106" s="117" t="s">
        <v>17</v>
      </c>
      <c r="C106" s="9" t="s">
        <v>10</v>
      </c>
      <c r="D106" s="87">
        <v>240000</v>
      </c>
      <c r="E106" s="87">
        <f>-25000-10000</f>
        <v>-35000</v>
      </c>
      <c r="F106" s="87"/>
      <c r="G106" s="87"/>
      <c r="H106" s="87"/>
      <c r="I106" s="87"/>
      <c r="J106" s="87"/>
      <c r="K106" s="87"/>
      <c r="L106" s="87"/>
      <c r="M106" s="87"/>
      <c r="N106" s="87">
        <f t="shared" si="5"/>
        <v>205000</v>
      </c>
      <c r="O106" s="123">
        <v>153945</v>
      </c>
      <c r="P106" s="15">
        <f t="shared" si="4"/>
        <v>51055</v>
      </c>
    </row>
    <row r="107" spans="1:16" ht="34.5" customHeight="1" thickTop="1" x14ac:dyDescent="0.25">
      <c r="A107" s="201" t="s">
        <v>114</v>
      </c>
      <c r="B107" s="202"/>
      <c r="C107" s="203"/>
      <c r="D107" s="94">
        <f>SUM(D6:D106)</f>
        <v>294381858</v>
      </c>
      <c r="E107" s="94">
        <f t="shared" ref="E107:P107" si="6">SUM(E6:E106)</f>
        <v>0</v>
      </c>
      <c r="F107" s="94">
        <f t="shared" si="6"/>
        <v>4794000</v>
      </c>
      <c r="G107" s="94">
        <f t="shared" si="6"/>
        <v>-1774232</v>
      </c>
      <c r="H107" s="94">
        <f t="shared" si="6"/>
        <v>14192000</v>
      </c>
      <c r="I107" s="94">
        <f>SUM(I6:I106)</f>
        <v>-7372015</v>
      </c>
      <c r="J107" s="94">
        <f t="shared" si="6"/>
        <v>1595000</v>
      </c>
      <c r="K107" s="94">
        <f t="shared" si="6"/>
        <v>0</v>
      </c>
      <c r="L107" s="94">
        <f t="shared" si="6"/>
        <v>0</v>
      </c>
      <c r="M107" s="94">
        <f t="shared" si="6"/>
        <v>0</v>
      </c>
      <c r="N107" s="94">
        <f>D107+E107+F107+H107+I107+K107+J107+L107+M107+G107</f>
        <v>305816611</v>
      </c>
      <c r="O107" s="128">
        <f>SUM(O6:O106)</f>
        <v>187769970</v>
      </c>
      <c r="P107" s="65">
        <f t="shared" si="6"/>
        <v>118046641</v>
      </c>
    </row>
    <row r="108" spans="1:16" x14ac:dyDescent="0.25">
      <c r="A108" s="204" t="s">
        <v>135</v>
      </c>
      <c r="B108" s="184" t="s">
        <v>38</v>
      </c>
      <c r="C108" s="2" t="s">
        <v>39</v>
      </c>
      <c r="D108" s="24">
        <v>1996283</v>
      </c>
      <c r="E108" s="24"/>
      <c r="F108" s="24"/>
      <c r="G108" s="24"/>
      <c r="H108" s="24"/>
      <c r="I108" s="24"/>
      <c r="J108" s="24"/>
      <c r="K108" s="24"/>
      <c r="L108" s="24"/>
      <c r="M108" s="24"/>
      <c r="N108" s="24">
        <f>D108+E108+F108+H108+I108+K108+J108</f>
        <v>1996283</v>
      </c>
      <c r="O108" s="33">
        <v>242048</v>
      </c>
      <c r="P108" s="14">
        <f t="shared" si="4"/>
        <v>1754235</v>
      </c>
    </row>
    <row r="109" spans="1:16" x14ac:dyDescent="0.25">
      <c r="A109" s="204"/>
      <c r="B109" s="184"/>
      <c r="C109" s="2" t="s">
        <v>50</v>
      </c>
      <c r="D109" s="24">
        <v>176303</v>
      </c>
      <c r="E109" s="24"/>
      <c r="F109" s="24"/>
      <c r="G109" s="24"/>
      <c r="H109" s="24"/>
      <c r="I109" s="24"/>
      <c r="J109" s="24"/>
      <c r="K109" s="24"/>
      <c r="L109" s="24"/>
      <c r="M109" s="24"/>
      <c r="N109" s="24">
        <f>D109+E109+F109+H109+I109+K109+J109</f>
        <v>176303</v>
      </c>
      <c r="O109" s="33">
        <v>7104</v>
      </c>
      <c r="P109" s="21">
        <f t="shared" si="4"/>
        <v>169199</v>
      </c>
    </row>
    <row r="110" spans="1:16" x14ac:dyDescent="0.25">
      <c r="A110" s="204"/>
      <c r="B110" s="184"/>
      <c r="C110" s="6" t="s">
        <v>40</v>
      </c>
      <c r="D110" s="95">
        <f>SUM(D108:D109)</f>
        <v>2172586</v>
      </c>
      <c r="E110" s="95">
        <f t="shared" ref="E110:P110" si="7">SUM(E108:E109)</f>
        <v>0</v>
      </c>
      <c r="F110" s="95">
        <f t="shared" si="7"/>
        <v>0</v>
      </c>
      <c r="G110" s="95"/>
      <c r="H110" s="95">
        <f t="shared" si="7"/>
        <v>0</v>
      </c>
      <c r="I110" s="95">
        <f t="shared" si="7"/>
        <v>0</v>
      </c>
      <c r="J110" s="95">
        <f t="shared" si="7"/>
        <v>0</v>
      </c>
      <c r="K110" s="95">
        <f t="shared" si="7"/>
        <v>0</v>
      </c>
      <c r="L110" s="95">
        <f t="shared" si="7"/>
        <v>0</v>
      </c>
      <c r="M110" s="95">
        <f t="shared" si="7"/>
        <v>0</v>
      </c>
      <c r="N110" s="95">
        <f>SUM(N108:N109)</f>
        <v>2172586</v>
      </c>
      <c r="O110" s="49">
        <f t="shared" si="7"/>
        <v>249152</v>
      </c>
      <c r="P110" s="18">
        <f t="shared" si="7"/>
        <v>1923434</v>
      </c>
    </row>
    <row r="111" spans="1:16" x14ac:dyDescent="0.25">
      <c r="A111" s="204"/>
      <c r="B111" s="184"/>
      <c r="C111" s="57" t="s">
        <v>41</v>
      </c>
      <c r="D111" s="96">
        <v>190101</v>
      </c>
      <c r="E111" s="96"/>
      <c r="F111" s="96"/>
      <c r="G111" s="96"/>
      <c r="H111" s="96"/>
      <c r="I111" s="96"/>
      <c r="J111" s="96"/>
      <c r="K111" s="96"/>
      <c r="L111" s="96"/>
      <c r="M111" s="96"/>
      <c r="N111" s="97">
        <f>D111+E111+F111+H111+I111+K111</f>
        <v>190101</v>
      </c>
      <c r="O111" s="129">
        <v>24199</v>
      </c>
      <c r="P111" s="55">
        <f t="shared" si="4"/>
        <v>165902</v>
      </c>
    </row>
    <row r="112" spans="1:16" x14ac:dyDescent="0.25">
      <c r="A112" s="204"/>
      <c r="B112" s="184"/>
      <c r="C112" s="2" t="s">
        <v>42</v>
      </c>
      <c r="D112" s="24">
        <v>0</v>
      </c>
      <c r="E112" s="24"/>
      <c r="F112" s="24"/>
      <c r="G112" s="24"/>
      <c r="H112" s="24"/>
      <c r="I112" s="24"/>
      <c r="J112" s="24"/>
      <c r="K112" s="24"/>
      <c r="L112" s="24"/>
      <c r="M112" s="24"/>
      <c r="N112" s="24">
        <f>D112+E112+F112+H112+I112+K112+J112</f>
        <v>0</v>
      </c>
      <c r="O112" s="33">
        <v>0</v>
      </c>
      <c r="P112" s="32">
        <f t="shared" si="4"/>
        <v>0</v>
      </c>
    </row>
    <row r="113" spans="1:16" x14ac:dyDescent="0.25">
      <c r="A113" s="204"/>
      <c r="B113" s="184"/>
      <c r="C113" s="2" t="s">
        <v>52</v>
      </c>
      <c r="D113" s="24">
        <v>0</v>
      </c>
      <c r="E113" s="24"/>
      <c r="F113" s="24"/>
      <c r="G113" s="24"/>
      <c r="H113" s="24"/>
      <c r="I113" s="24"/>
      <c r="J113" s="24"/>
      <c r="K113" s="24"/>
      <c r="L113" s="24"/>
      <c r="M113" s="24"/>
      <c r="N113" s="24">
        <f>D113+E113+F113+H113+I113+K113+J113</f>
        <v>0</v>
      </c>
      <c r="O113" s="33">
        <v>0</v>
      </c>
      <c r="P113" s="32">
        <f t="shared" si="4"/>
        <v>0</v>
      </c>
    </row>
    <row r="114" spans="1:16" x14ac:dyDescent="0.25">
      <c r="A114" s="204"/>
      <c r="B114" s="184"/>
      <c r="C114" s="2" t="s">
        <v>43</v>
      </c>
      <c r="D114" s="24">
        <v>0</v>
      </c>
      <c r="E114" s="24"/>
      <c r="F114" s="24"/>
      <c r="G114" s="24"/>
      <c r="H114" s="24"/>
      <c r="I114" s="24"/>
      <c r="J114" s="24"/>
      <c r="K114" s="24"/>
      <c r="L114" s="24"/>
      <c r="M114" s="24"/>
      <c r="N114" s="24">
        <f>D114+E114+F114+H114+I114+K114+J114</f>
        <v>0</v>
      </c>
      <c r="O114" s="33">
        <v>0</v>
      </c>
      <c r="P114" s="32">
        <f t="shared" si="4"/>
        <v>0</v>
      </c>
    </row>
    <row r="115" spans="1:16" x14ac:dyDescent="0.25">
      <c r="A115" s="204"/>
      <c r="B115" s="184"/>
      <c r="C115" s="2" t="s">
        <v>44</v>
      </c>
      <c r="D115" s="24">
        <v>0</v>
      </c>
      <c r="E115" s="24"/>
      <c r="F115" s="24"/>
      <c r="G115" s="24"/>
      <c r="H115" s="24"/>
      <c r="I115" s="24"/>
      <c r="J115" s="24"/>
      <c r="K115" s="24"/>
      <c r="L115" s="24"/>
      <c r="M115" s="24"/>
      <c r="N115" s="24">
        <f>D115+E115+F115+H115+I115+K115+J115</f>
        <v>0</v>
      </c>
      <c r="O115" s="33">
        <v>0</v>
      </c>
      <c r="P115" s="32">
        <f t="shared" si="4"/>
        <v>0</v>
      </c>
    </row>
    <row r="116" spans="1:16" x14ac:dyDescent="0.25">
      <c r="A116" s="204"/>
      <c r="B116" s="184"/>
      <c r="C116" s="6" t="s">
        <v>45</v>
      </c>
      <c r="D116" s="95">
        <f>SUM(D112:D115)</f>
        <v>0</v>
      </c>
      <c r="E116" s="95">
        <f t="shared" ref="E116:P116" si="8">SUM(E112:E115)</f>
        <v>0</v>
      </c>
      <c r="F116" s="95">
        <f t="shared" si="8"/>
        <v>0</v>
      </c>
      <c r="G116" s="95"/>
      <c r="H116" s="95">
        <f t="shared" si="8"/>
        <v>0</v>
      </c>
      <c r="I116" s="95">
        <f t="shared" si="8"/>
        <v>0</v>
      </c>
      <c r="J116" s="95">
        <f t="shared" si="8"/>
        <v>0</v>
      </c>
      <c r="K116" s="95">
        <f t="shared" si="8"/>
        <v>0</v>
      </c>
      <c r="L116" s="95">
        <f t="shared" si="8"/>
        <v>0</v>
      </c>
      <c r="M116" s="95">
        <f t="shared" si="8"/>
        <v>0</v>
      </c>
      <c r="N116" s="95">
        <f t="shared" si="8"/>
        <v>0</v>
      </c>
      <c r="O116" s="49">
        <f t="shared" si="8"/>
        <v>0</v>
      </c>
      <c r="P116" s="34">
        <f t="shared" si="8"/>
        <v>0</v>
      </c>
    </row>
    <row r="117" spans="1:16" x14ac:dyDescent="0.25">
      <c r="A117" s="204"/>
      <c r="B117" s="184" t="s">
        <v>9</v>
      </c>
      <c r="C117" s="2" t="s">
        <v>39</v>
      </c>
      <c r="D117" s="24">
        <v>5413896</v>
      </c>
      <c r="E117" s="28"/>
      <c r="F117" s="24"/>
      <c r="G117" s="24"/>
      <c r="H117" s="24"/>
      <c r="I117" s="24"/>
      <c r="J117" s="24"/>
      <c r="K117" s="24"/>
      <c r="L117" s="24"/>
      <c r="M117" s="24"/>
      <c r="N117" s="24">
        <f t="shared" ref="N117:N123" si="9">D117+E117+F117+H117+I117+K117+J117</f>
        <v>5413896</v>
      </c>
      <c r="O117" s="33">
        <v>3530537</v>
      </c>
      <c r="P117" s="14">
        <f t="shared" si="4"/>
        <v>1883359</v>
      </c>
    </row>
    <row r="118" spans="1:16" x14ac:dyDescent="0.25">
      <c r="A118" s="204"/>
      <c r="B118" s="184"/>
      <c r="C118" s="2" t="s">
        <v>46</v>
      </c>
      <c r="D118" s="24">
        <v>200000</v>
      </c>
      <c r="E118" s="24"/>
      <c r="F118" s="24"/>
      <c r="G118" s="24"/>
      <c r="H118" s="24"/>
      <c r="I118" s="24"/>
      <c r="J118" s="24"/>
      <c r="K118" s="24"/>
      <c r="L118" s="24"/>
      <c r="M118" s="24"/>
      <c r="N118" s="24">
        <f t="shared" si="9"/>
        <v>200000</v>
      </c>
      <c r="O118" s="33">
        <v>100000</v>
      </c>
      <c r="P118" s="14">
        <f t="shared" si="4"/>
        <v>100000</v>
      </c>
    </row>
    <row r="119" spans="1:16" x14ac:dyDescent="0.25">
      <c r="A119" s="204"/>
      <c r="B119" s="184"/>
      <c r="C119" s="2" t="s">
        <v>47</v>
      </c>
      <c r="D119" s="24">
        <v>10000</v>
      </c>
      <c r="E119" s="24"/>
      <c r="F119" s="24"/>
      <c r="G119" s="24"/>
      <c r="H119" s="24"/>
      <c r="I119" s="24"/>
      <c r="J119" s="24"/>
      <c r="K119" s="24"/>
      <c r="L119" s="24"/>
      <c r="M119" s="24"/>
      <c r="N119" s="24">
        <f t="shared" si="9"/>
        <v>10000</v>
      </c>
      <c r="O119" s="33">
        <v>0</v>
      </c>
      <c r="P119" s="14">
        <f t="shared" si="4"/>
        <v>10000</v>
      </c>
    </row>
    <row r="120" spans="1:16" x14ac:dyDescent="0.25">
      <c r="A120" s="204"/>
      <c r="B120" s="184"/>
      <c r="C120" s="2" t="s">
        <v>48</v>
      </c>
      <c r="D120" s="24">
        <v>0</v>
      </c>
      <c r="E120" s="24"/>
      <c r="F120" s="24"/>
      <c r="G120" s="24"/>
      <c r="H120" s="24"/>
      <c r="I120" s="24"/>
      <c r="J120" s="24"/>
      <c r="K120" s="24"/>
      <c r="L120" s="24"/>
      <c r="M120" s="24"/>
      <c r="N120" s="24">
        <f t="shared" si="9"/>
        <v>0</v>
      </c>
      <c r="O120" s="33">
        <v>0</v>
      </c>
      <c r="P120" s="14">
        <f t="shared" si="4"/>
        <v>0</v>
      </c>
    </row>
    <row r="121" spans="1:16" x14ac:dyDescent="0.25">
      <c r="A121" s="204"/>
      <c r="B121" s="184"/>
      <c r="C121" s="2" t="s">
        <v>49</v>
      </c>
      <c r="D121" s="24">
        <v>24000</v>
      </c>
      <c r="E121" s="24"/>
      <c r="F121" s="24"/>
      <c r="G121" s="24"/>
      <c r="H121" s="24"/>
      <c r="I121" s="24"/>
      <c r="J121" s="24"/>
      <c r="K121" s="24"/>
      <c r="L121" s="24"/>
      <c r="M121" s="24"/>
      <c r="N121" s="24">
        <f t="shared" si="9"/>
        <v>24000</v>
      </c>
      <c r="O121" s="33">
        <v>12000</v>
      </c>
      <c r="P121" s="14">
        <f t="shared" si="4"/>
        <v>12000</v>
      </c>
    </row>
    <row r="122" spans="1:16" x14ac:dyDescent="0.25">
      <c r="A122" s="204"/>
      <c r="B122" s="184"/>
      <c r="C122" s="2" t="s">
        <v>50</v>
      </c>
      <c r="D122" s="24">
        <v>0</v>
      </c>
      <c r="E122" s="24"/>
      <c r="F122" s="24"/>
      <c r="G122" s="24"/>
      <c r="H122" s="24"/>
      <c r="I122" s="24"/>
      <c r="J122" s="24"/>
      <c r="K122" s="24"/>
      <c r="L122" s="24"/>
      <c r="M122" s="24"/>
      <c r="N122" s="24">
        <f t="shared" si="9"/>
        <v>0</v>
      </c>
      <c r="O122" s="33">
        <v>0</v>
      </c>
      <c r="P122" s="14">
        <f t="shared" si="4"/>
        <v>0</v>
      </c>
    </row>
    <row r="123" spans="1:16" x14ac:dyDescent="0.25">
      <c r="A123" s="204"/>
      <c r="B123" s="184"/>
      <c r="C123" s="2" t="s">
        <v>51</v>
      </c>
      <c r="D123" s="24">
        <v>0</v>
      </c>
      <c r="E123" s="24"/>
      <c r="F123" s="24"/>
      <c r="G123" s="24"/>
      <c r="H123" s="24"/>
      <c r="I123" s="24"/>
      <c r="J123" s="24"/>
      <c r="K123" s="24"/>
      <c r="L123" s="24"/>
      <c r="M123" s="24"/>
      <c r="N123" s="24">
        <f t="shared" si="9"/>
        <v>0</v>
      </c>
      <c r="O123" s="33">
        <v>0</v>
      </c>
      <c r="P123" s="14">
        <f t="shared" si="4"/>
        <v>0</v>
      </c>
    </row>
    <row r="124" spans="1:16" x14ac:dyDescent="0.25">
      <c r="A124" s="204"/>
      <c r="B124" s="184"/>
      <c r="C124" s="6" t="s">
        <v>40</v>
      </c>
      <c r="D124" s="95">
        <f>SUM(D117:D123)</f>
        <v>5647896</v>
      </c>
      <c r="E124" s="95">
        <f t="shared" ref="E124:P124" si="10">SUM(E117:E123)</f>
        <v>0</v>
      </c>
      <c r="F124" s="95">
        <f t="shared" si="10"/>
        <v>0</v>
      </c>
      <c r="G124" s="95"/>
      <c r="H124" s="95">
        <f t="shared" si="10"/>
        <v>0</v>
      </c>
      <c r="I124" s="95">
        <f t="shared" si="10"/>
        <v>0</v>
      </c>
      <c r="J124" s="95">
        <f t="shared" si="10"/>
        <v>0</v>
      </c>
      <c r="K124" s="95">
        <f t="shared" si="10"/>
        <v>0</v>
      </c>
      <c r="L124" s="95">
        <f t="shared" si="10"/>
        <v>0</v>
      </c>
      <c r="M124" s="95">
        <f t="shared" si="10"/>
        <v>0</v>
      </c>
      <c r="N124" s="95">
        <f t="shared" si="10"/>
        <v>5647896</v>
      </c>
      <c r="O124" s="49">
        <f t="shared" si="10"/>
        <v>3642537</v>
      </c>
      <c r="P124" s="26">
        <f t="shared" si="10"/>
        <v>2005359</v>
      </c>
    </row>
    <row r="125" spans="1:16" x14ac:dyDescent="0.25">
      <c r="A125" s="204"/>
      <c r="B125" s="184"/>
      <c r="C125" s="57" t="s">
        <v>41</v>
      </c>
      <c r="D125" s="96">
        <v>1020875</v>
      </c>
      <c r="E125" s="96"/>
      <c r="F125" s="96"/>
      <c r="G125" s="96"/>
      <c r="H125" s="96"/>
      <c r="I125" s="96"/>
      <c r="J125" s="96"/>
      <c r="K125" s="96"/>
      <c r="L125" s="96"/>
      <c r="M125" s="96"/>
      <c r="N125" s="97">
        <f>D125+E125+F125+H125+I125+K125</f>
        <v>1020875</v>
      </c>
      <c r="O125" s="129">
        <v>630676</v>
      </c>
      <c r="P125" s="55">
        <f t="shared" si="4"/>
        <v>390199</v>
      </c>
    </row>
    <row r="126" spans="1:16" x14ac:dyDescent="0.25">
      <c r="A126" s="204"/>
      <c r="B126" s="184"/>
      <c r="C126" s="2" t="s">
        <v>42</v>
      </c>
      <c r="D126" s="24">
        <v>102875</v>
      </c>
      <c r="E126" s="24">
        <v>-102875</v>
      </c>
      <c r="F126" s="24"/>
      <c r="G126" s="24"/>
      <c r="H126" s="24">
        <v>175197</v>
      </c>
      <c r="I126" s="24">
        <v>-175197</v>
      </c>
      <c r="J126" s="24"/>
      <c r="K126" s="24"/>
      <c r="L126" s="24"/>
      <c r="M126" s="24"/>
      <c r="N126" s="24">
        <f t="shared" ref="N126:N136" si="11">D126+E126+F126+H126+I126+K126+J126</f>
        <v>0</v>
      </c>
      <c r="O126" s="33">
        <v>0</v>
      </c>
      <c r="P126" s="14">
        <f t="shared" si="4"/>
        <v>0</v>
      </c>
    </row>
    <row r="127" spans="1:16" x14ac:dyDescent="0.25">
      <c r="A127" s="204"/>
      <c r="B127" s="184"/>
      <c r="C127" s="2" t="s">
        <v>52</v>
      </c>
      <c r="D127" s="24">
        <v>130000</v>
      </c>
      <c r="E127" s="24"/>
      <c r="F127" s="24"/>
      <c r="G127" s="24"/>
      <c r="H127" s="24">
        <v>175197</v>
      </c>
      <c r="I127" s="24">
        <v>-175197</v>
      </c>
      <c r="J127" s="24"/>
      <c r="K127" s="24"/>
      <c r="L127" s="24"/>
      <c r="M127" s="24"/>
      <c r="N127" s="24">
        <f t="shared" si="11"/>
        <v>130000</v>
      </c>
      <c r="O127" s="33">
        <v>0</v>
      </c>
      <c r="P127" s="14">
        <f t="shared" si="4"/>
        <v>130000</v>
      </c>
    </row>
    <row r="128" spans="1:16" x14ac:dyDescent="0.25">
      <c r="A128" s="204"/>
      <c r="B128" s="184"/>
      <c r="C128" s="2" t="s">
        <v>53</v>
      </c>
      <c r="D128" s="24">
        <v>66594</v>
      </c>
      <c r="E128" s="24"/>
      <c r="F128" s="24"/>
      <c r="G128" s="24"/>
      <c r="H128" s="24"/>
      <c r="I128" s="24"/>
      <c r="J128" s="24"/>
      <c r="K128" s="24"/>
      <c r="L128" s="24"/>
      <c r="M128" s="24"/>
      <c r="N128" s="24">
        <f t="shared" si="11"/>
        <v>66594</v>
      </c>
      <c r="O128" s="33">
        <v>44392</v>
      </c>
      <c r="P128" s="21">
        <f t="shared" si="4"/>
        <v>22202</v>
      </c>
    </row>
    <row r="129" spans="1:17" x14ac:dyDescent="0.25">
      <c r="A129" s="204"/>
      <c r="B129" s="184"/>
      <c r="C129" s="2" t="s">
        <v>54</v>
      </c>
      <c r="D129" s="24">
        <v>58891</v>
      </c>
      <c r="E129" s="24"/>
      <c r="F129" s="24"/>
      <c r="G129" s="24"/>
      <c r="H129" s="24"/>
      <c r="I129" s="24"/>
      <c r="J129" s="24"/>
      <c r="K129" s="24"/>
      <c r="L129" s="24"/>
      <c r="M129" s="24"/>
      <c r="N129" s="24">
        <f t="shared" si="11"/>
        <v>58891</v>
      </c>
      <c r="O129" s="33">
        <v>40074</v>
      </c>
      <c r="P129" s="21">
        <f t="shared" si="4"/>
        <v>18817</v>
      </c>
    </row>
    <row r="130" spans="1:17" x14ac:dyDescent="0.25">
      <c r="A130" s="204"/>
      <c r="B130" s="184"/>
      <c r="C130" s="2" t="s">
        <v>55</v>
      </c>
      <c r="D130" s="24">
        <v>745250</v>
      </c>
      <c r="E130" s="24"/>
      <c r="F130" s="24"/>
      <c r="G130" s="24"/>
      <c r="H130" s="24"/>
      <c r="I130" s="24"/>
      <c r="J130" s="24"/>
      <c r="K130" s="24"/>
      <c r="L130" s="24"/>
      <c r="M130" s="24"/>
      <c r="N130" s="24">
        <f t="shared" si="11"/>
        <v>745250</v>
      </c>
      <c r="O130" s="33">
        <v>508066</v>
      </c>
      <c r="P130" s="21">
        <f t="shared" si="4"/>
        <v>237184</v>
      </c>
    </row>
    <row r="131" spans="1:17" x14ac:dyDescent="0.25">
      <c r="A131" s="204"/>
      <c r="B131" s="184"/>
      <c r="C131" s="2" t="s">
        <v>56</v>
      </c>
      <c r="D131" s="24">
        <v>13000</v>
      </c>
      <c r="E131" s="24"/>
      <c r="F131" s="24"/>
      <c r="G131" s="24"/>
      <c r="H131" s="24"/>
      <c r="I131" s="24"/>
      <c r="J131" s="24"/>
      <c r="K131" s="24"/>
      <c r="L131" s="24"/>
      <c r="M131" s="24"/>
      <c r="N131" s="24">
        <f t="shared" si="11"/>
        <v>13000</v>
      </c>
      <c r="O131" s="33">
        <v>0</v>
      </c>
      <c r="P131" s="21">
        <f t="shared" si="4"/>
        <v>13000</v>
      </c>
    </row>
    <row r="132" spans="1:17" x14ac:dyDescent="0.25">
      <c r="A132" s="204"/>
      <c r="B132" s="184"/>
      <c r="C132" s="2" t="s">
        <v>43</v>
      </c>
      <c r="D132" s="24">
        <v>25400</v>
      </c>
      <c r="E132" s="24"/>
      <c r="F132" s="24"/>
      <c r="G132" s="24"/>
      <c r="H132" s="24"/>
      <c r="I132" s="24"/>
      <c r="J132" s="24"/>
      <c r="K132" s="24"/>
      <c r="L132" s="24"/>
      <c r="M132" s="24"/>
      <c r="N132" s="24">
        <f t="shared" si="11"/>
        <v>25400</v>
      </c>
      <c r="O132" s="33">
        <v>6700</v>
      </c>
      <c r="P132" s="21">
        <f t="shared" si="4"/>
        <v>18700</v>
      </c>
    </row>
    <row r="133" spans="1:17" x14ac:dyDescent="0.25">
      <c r="A133" s="204"/>
      <c r="B133" s="184"/>
      <c r="C133" s="2" t="s">
        <v>57</v>
      </c>
      <c r="D133" s="24">
        <v>38595</v>
      </c>
      <c r="E133" s="24"/>
      <c r="F133" s="24"/>
      <c r="G133" s="24"/>
      <c r="H133" s="24"/>
      <c r="I133" s="24"/>
      <c r="J133" s="24"/>
      <c r="K133" s="24"/>
      <c r="L133" s="24"/>
      <c r="M133" s="24"/>
      <c r="N133" s="24">
        <f t="shared" si="11"/>
        <v>38595</v>
      </c>
      <c r="O133" s="33">
        <v>14157</v>
      </c>
      <c r="P133" s="21">
        <f t="shared" si="4"/>
        <v>24438</v>
      </c>
    </row>
    <row r="134" spans="1:17" x14ac:dyDescent="0.25">
      <c r="A134" s="204"/>
      <c r="B134" s="184"/>
      <c r="C134" s="2" t="s">
        <v>58</v>
      </c>
      <c r="D134" s="24">
        <v>60000</v>
      </c>
      <c r="E134" s="24"/>
      <c r="F134" s="24"/>
      <c r="G134" s="24"/>
      <c r="H134" s="24"/>
      <c r="I134" s="24"/>
      <c r="J134" s="24"/>
      <c r="K134" s="24"/>
      <c r="L134" s="24"/>
      <c r="M134" s="24"/>
      <c r="N134" s="24">
        <f t="shared" si="11"/>
        <v>60000</v>
      </c>
      <c r="O134" s="33">
        <v>10710</v>
      </c>
      <c r="P134" s="21">
        <f t="shared" si="4"/>
        <v>49290</v>
      </c>
    </row>
    <row r="135" spans="1:17" x14ac:dyDescent="0.25">
      <c r="A135" s="204"/>
      <c r="B135" s="184"/>
      <c r="C135" s="2" t="s">
        <v>44</v>
      </c>
      <c r="D135" s="24">
        <v>195862</v>
      </c>
      <c r="E135" s="24"/>
      <c r="F135" s="24"/>
      <c r="G135" s="24"/>
      <c r="H135" s="24">
        <v>95106</v>
      </c>
      <c r="I135" s="24">
        <v>-95106</v>
      </c>
      <c r="J135" s="24"/>
      <c r="K135" s="24"/>
      <c r="L135" s="24"/>
      <c r="M135" s="24"/>
      <c r="N135" s="24">
        <f t="shared" si="11"/>
        <v>195862</v>
      </c>
      <c r="O135" s="33">
        <v>73166</v>
      </c>
      <c r="P135" s="14">
        <f t="shared" si="4"/>
        <v>122696</v>
      </c>
    </row>
    <row r="136" spans="1:17" x14ac:dyDescent="0.25">
      <c r="A136" s="204"/>
      <c r="B136" s="184"/>
      <c r="C136" s="2" t="s">
        <v>59</v>
      </c>
      <c r="D136" s="24">
        <v>0</v>
      </c>
      <c r="E136" s="24"/>
      <c r="F136" s="24"/>
      <c r="G136" s="24"/>
      <c r="H136" s="24"/>
      <c r="I136" s="24"/>
      <c r="J136" s="24"/>
      <c r="K136" s="24"/>
      <c r="L136" s="24"/>
      <c r="M136" s="24"/>
      <c r="N136" s="24">
        <f t="shared" si="11"/>
        <v>0</v>
      </c>
      <c r="O136" s="33">
        <v>0</v>
      </c>
      <c r="P136" s="14">
        <f t="shared" si="4"/>
        <v>0</v>
      </c>
    </row>
    <row r="137" spans="1:17" x14ac:dyDescent="0.25">
      <c r="A137" s="204"/>
      <c r="B137" s="184"/>
      <c r="C137" s="6" t="s">
        <v>45</v>
      </c>
      <c r="D137" s="95">
        <f>SUM(D126:D136)</f>
        <v>1436467</v>
      </c>
      <c r="E137" s="95">
        <f t="shared" ref="E137:P137" si="12">SUM(E126:E136)</f>
        <v>-102875</v>
      </c>
      <c r="F137" s="95">
        <f t="shared" si="12"/>
        <v>0</v>
      </c>
      <c r="G137" s="95"/>
      <c r="H137" s="95">
        <f t="shared" si="12"/>
        <v>445500</v>
      </c>
      <c r="I137" s="95">
        <f t="shared" si="12"/>
        <v>-445500</v>
      </c>
      <c r="J137" s="95">
        <f t="shared" si="12"/>
        <v>0</v>
      </c>
      <c r="K137" s="95">
        <f t="shared" si="12"/>
        <v>0</v>
      </c>
      <c r="L137" s="95">
        <f t="shared" si="12"/>
        <v>0</v>
      </c>
      <c r="M137" s="95">
        <f t="shared" si="12"/>
        <v>0</v>
      </c>
      <c r="N137" s="95">
        <f t="shared" si="12"/>
        <v>1333592</v>
      </c>
      <c r="O137" s="49">
        <f t="shared" si="12"/>
        <v>697265</v>
      </c>
      <c r="P137" s="26">
        <f t="shared" si="12"/>
        <v>636327</v>
      </c>
    </row>
    <row r="138" spans="1:17" x14ac:dyDescent="0.25">
      <c r="A138" s="204"/>
      <c r="B138" s="184" t="s">
        <v>11</v>
      </c>
      <c r="C138" s="2" t="s">
        <v>39</v>
      </c>
      <c r="D138" s="24">
        <v>6367828</v>
      </c>
      <c r="E138" s="28"/>
      <c r="F138" s="24">
        <v>0</v>
      </c>
      <c r="G138" s="24"/>
      <c r="H138" s="24"/>
      <c r="I138" s="24"/>
      <c r="J138" s="24"/>
      <c r="K138" s="24"/>
      <c r="L138" s="24"/>
      <c r="M138" s="24"/>
      <c r="N138" s="24">
        <f>D138+E138+F138+H138+I138+K138+J138+L138+M138</f>
        <v>6367828</v>
      </c>
      <c r="O138" s="33">
        <v>3830932</v>
      </c>
      <c r="P138" s="21">
        <f t="shared" si="4"/>
        <v>2536896</v>
      </c>
    </row>
    <row r="139" spans="1:17" x14ac:dyDescent="0.25">
      <c r="A139" s="204"/>
      <c r="B139" s="184"/>
      <c r="C139" s="2" t="s">
        <v>46</v>
      </c>
      <c r="D139" s="24">
        <v>275000</v>
      </c>
      <c r="E139" s="24"/>
      <c r="F139" s="24"/>
      <c r="G139" s="24"/>
      <c r="H139" s="24"/>
      <c r="I139" s="24"/>
      <c r="J139" s="24"/>
      <c r="K139" s="24"/>
      <c r="L139" s="24"/>
      <c r="M139" s="24"/>
      <c r="N139" s="24">
        <f>D139+E139+F139+H139+I139+K139+J139</f>
        <v>275000</v>
      </c>
      <c r="O139" s="33">
        <v>120833</v>
      </c>
      <c r="P139" s="21">
        <f t="shared" si="4"/>
        <v>154167</v>
      </c>
    </row>
    <row r="140" spans="1:17" x14ac:dyDescent="0.25">
      <c r="A140" s="204"/>
      <c r="B140" s="184"/>
      <c r="C140" s="2" t="s">
        <v>47</v>
      </c>
      <c r="D140" s="24">
        <v>15000</v>
      </c>
      <c r="E140" s="24"/>
      <c r="F140" s="24"/>
      <c r="G140" s="24"/>
      <c r="H140" s="24"/>
      <c r="I140" s="24"/>
      <c r="J140" s="24"/>
      <c r="K140" s="24"/>
      <c r="L140" s="24"/>
      <c r="M140" s="24"/>
      <c r="N140" s="24">
        <f>D140+E140+F140+H140+I140+K140+J140</f>
        <v>15000</v>
      </c>
      <c r="O140" s="33">
        <v>0</v>
      </c>
      <c r="P140" s="21">
        <f t="shared" si="4"/>
        <v>15000</v>
      </c>
    </row>
    <row r="141" spans="1:17" x14ac:dyDescent="0.25">
      <c r="A141" s="204"/>
      <c r="B141" s="184"/>
      <c r="C141" s="2" t="s">
        <v>48</v>
      </c>
      <c r="D141" s="24">
        <v>0</v>
      </c>
      <c r="E141" s="24"/>
      <c r="F141" s="24"/>
      <c r="G141" s="24"/>
      <c r="H141" s="24"/>
      <c r="I141" s="24"/>
      <c r="J141" s="24"/>
      <c r="K141" s="24"/>
      <c r="L141" s="24"/>
      <c r="M141" s="24"/>
      <c r="N141" s="24">
        <f>D141+E141+F141+H141+I141+K141+J141</f>
        <v>0</v>
      </c>
      <c r="O141" s="33">
        <v>0</v>
      </c>
      <c r="P141" s="21">
        <f t="shared" si="4"/>
        <v>0</v>
      </c>
    </row>
    <row r="142" spans="1:17" x14ac:dyDescent="0.25">
      <c r="A142" s="204"/>
      <c r="B142" s="184"/>
      <c r="C142" s="2" t="s">
        <v>49</v>
      </c>
      <c r="D142" s="24">
        <v>36000</v>
      </c>
      <c r="E142" s="24"/>
      <c r="F142" s="24"/>
      <c r="G142" s="24"/>
      <c r="H142" s="24"/>
      <c r="I142" s="24"/>
      <c r="J142" s="24"/>
      <c r="K142" s="24"/>
      <c r="L142" s="24"/>
      <c r="M142" s="24"/>
      <c r="N142" s="24">
        <f>D142+E142+F142+H142+I142+K142+J142</f>
        <v>36000</v>
      </c>
      <c r="O142" s="33">
        <v>16000</v>
      </c>
      <c r="P142" s="21">
        <f>N142-O142</f>
        <v>20000</v>
      </c>
    </row>
    <row r="143" spans="1:17" s="52" customFormat="1" x14ac:dyDescent="0.25">
      <c r="A143" s="204"/>
      <c r="B143" s="184"/>
      <c r="C143" s="81" t="s">
        <v>50</v>
      </c>
      <c r="D143" s="50">
        <v>0</v>
      </c>
      <c r="E143" s="51"/>
      <c r="F143" s="50"/>
      <c r="G143" s="50"/>
      <c r="H143" s="50"/>
      <c r="I143" s="50"/>
      <c r="J143" s="50"/>
      <c r="K143" s="50"/>
      <c r="L143" s="50"/>
      <c r="M143" s="50"/>
      <c r="N143" s="50">
        <f>D143+E143+F143+H143+I143+K143+J143</f>
        <v>0</v>
      </c>
      <c r="O143" s="33">
        <v>0</v>
      </c>
      <c r="P143" s="32">
        <f t="shared" si="4"/>
        <v>0</v>
      </c>
      <c r="Q143" s="80"/>
    </row>
    <row r="144" spans="1:17" x14ac:dyDescent="0.25">
      <c r="A144" s="204"/>
      <c r="B144" s="184"/>
      <c r="C144" s="6" t="s">
        <v>40</v>
      </c>
      <c r="D144" s="95">
        <f>SUM(D138:D143)</f>
        <v>6693828</v>
      </c>
      <c r="E144" s="95">
        <f t="shared" ref="E144:M144" si="13">SUM(E138:E143)</f>
        <v>0</v>
      </c>
      <c r="F144" s="95">
        <f t="shared" si="13"/>
        <v>0</v>
      </c>
      <c r="G144" s="95"/>
      <c r="H144" s="95">
        <f t="shared" si="13"/>
        <v>0</v>
      </c>
      <c r="I144" s="95">
        <f t="shared" si="13"/>
        <v>0</v>
      </c>
      <c r="J144" s="95">
        <f t="shared" si="13"/>
        <v>0</v>
      </c>
      <c r="K144" s="95">
        <f t="shared" si="13"/>
        <v>0</v>
      </c>
      <c r="L144" s="95">
        <f t="shared" si="13"/>
        <v>0</v>
      </c>
      <c r="M144" s="95">
        <f t="shared" si="13"/>
        <v>0</v>
      </c>
      <c r="N144" s="95">
        <f>SUM(N138:N143)</f>
        <v>6693828</v>
      </c>
      <c r="O144" s="49">
        <f>SUM(O138:O143)</f>
        <v>3967765</v>
      </c>
      <c r="P144" s="26">
        <f>SUM(P138:P143)</f>
        <v>2726063</v>
      </c>
    </row>
    <row r="145" spans="1:17" x14ac:dyDescent="0.25">
      <c r="A145" s="204"/>
      <c r="B145" s="184"/>
      <c r="C145" s="57" t="s">
        <v>41</v>
      </c>
      <c r="D145" s="96">
        <v>1214588</v>
      </c>
      <c r="E145" s="96"/>
      <c r="F145" s="96"/>
      <c r="G145" s="96"/>
      <c r="H145" s="96"/>
      <c r="I145" s="96"/>
      <c r="J145" s="96"/>
      <c r="K145" s="96"/>
      <c r="L145" s="96"/>
      <c r="M145" s="96"/>
      <c r="N145" s="97">
        <f>D145+E145+F145+H145+I145+K145</f>
        <v>1214588</v>
      </c>
      <c r="O145" s="129">
        <v>681966</v>
      </c>
      <c r="P145" s="55">
        <f t="shared" si="4"/>
        <v>532622</v>
      </c>
    </row>
    <row r="146" spans="1:17" x14ac:dyDescent="0.25">
      <c r="A146" s="204"/>
      <c r="B146" s="184"/>
      <c r="C146" s="2" t="s">
        <v>42</v>
      </c>
      <c r="D146" s="24">
        <v>50000</v>
      </c>
      <c r="E146" s="24">
        <v>-50000</v>
      </c>
      <c r="F146" s="24"/>
      <c r="G146" s="24"/>
      <c r="H146" s="24">
        <v>167598</v>
      </c>
      <c r="I146" s="24">
        <v>-167598</v>
      </c>
      <c r="J146" s="24"/>
      <c r="K146" s="24"/>
      <c r="L146" s="24"/>
      <c r="M146" s="24"/>
      <c r="N146" s="24">
        <f t="shared" ref="N146:N158" si="14">D146+E146+F146+H146+I146+K146+J146</f>
        <v>0</v>
      </c>
      <c r="O146" s="33">
        <v>0</v>
      </c>
      <c r="P146" s="14">
        <f t="shared" ref="P146:P158" si="15">N146-O146</f>
        <v>0</v>
      </c>
    </row>
    <row r="147" spans="1:17" s="52" customFormat="1" x14ac:dyDescent="0.25">
      <c r="A147" s="204"/>
      <c r="B147" s="184"/>
      <c r="C147" s="79" t="s">
        <v>52</v>
      </c>
      <c r="D147" s="50">
        <v>270000</v>
      </c>
      <c r="E147" s="51"/>
      <c r="F147" s="50"/>
      <c r="G147" s="50"/>
      <c r="H147" s="50">
        <v>167598</v>
      </c>
      <c r="I147" s="50">
        <v>-167598</v>
      </c>
      <c r="J147" s="50"/>
      <c r="K147" s="50"/>
      <c r="L147" s="50"/>
      <c r="M147" s="50"/>
      <c r="N147" s="50">
        <f t="shared" si="14"/>
        <v>270000</v>
      </c>
      <c r="O147" s="32">
        <v>48125</v>
      </c>
      <c r="P147" s="32">
        <f t="shared" si="15"/>
        <v>221875</v>
      </c>
      <c r="Q147" s="80"/>
    </row>
    <row r="148" spans="1:17" x14ac:dyDescent="0.25">
      <c r="A148" s="204"/>
      <c r="B148" s="184"/>
      <c r="C148" s="2" t="s">
        <v>53</v>
      </c>
      <c r="D148" s="24">
        <v>54486</v>
      </c>
      <c r="E148" s="24"/>
      <c r="F148" s="24"/>
      <c r="G148" s="24"/>
      <c r="H148" s="24"/>
      <c r="I148" s="24"/>
      <c r="J148" s="24"/>
      <c r="K148" s="24"/>
      <c r="L148" s="24"/>
      <c r="M148" s="24"/>
      <c r="N148" s="24">
        <f t="shared" si="14"/>
        <v>54486</v>
      </c>
      <c r="O148" s="33">
        <v>36328</v>
      </c>
      <c r="P148" s="21">
        <f t="shared" si="15"/>
        <v>18158</v>
      </c>
    </row>
    <row r="149" spans="1:17" x14ac:dyDescent="0.25">
      <c r="A149" s="204"/>
      <c r="B149" s="184"/>
      <c r="C149" s="2" t="s">
        <v>54</v>
      </c>
      <c r="D149" s="24">
        <v>48185</v>
      </c>
      <c r="E149" s="24"/>
      <c r="F149" s="24"/>
      <c r="G149" s="24"/>
      <c r="H149" s="24"/>
      <c r="I149" s="24"/>
      <c r="J149" s="24"/>
      <c r="K149" s="24"/>
      <c r="L149" s="24"/>
      <c r="M149" s="24"/>
      <c r="N149" s="24">
        <f t="shared" si="14"/>
        <v>48185</v>
      </c>
      <c r="O149" s="33">
        <v>31747</v>
      </c>
      <c r="P149" s="21">
        <f t="shared" si="15"/>
        <v>16438</v>
      </c>
    </row>
    <row r="150" spans="1:17" x14ac:dyDescent="0.25">
      <c r="A150" s="204"/>
      <c r="B150" s="184"/>
      <c r="C150" s="2" t="s">
        <v>55</v>
      </c>
      <c r="D150" s="24">
        <v>609750</v>
      </c>
      <c r="E150" s="24"/>
      <c r="F150" s="24"/>
      <c r="G150" s="24"/>
      <c r="H150" s="24"/>
      <c r="I150" s="24"/>
      <c r="J150" s="24"/>
      <c r="K150" s="24"/>
      <c r="L150" s="24"/>
      <c r="M150" s="24"/>
      <c r="N150" s="24">
        <f t="shared" si="14"/>
        <v>609750</v>
      </c>
      <c r="O150" s="33">
        <v>416319</v>
      </c>
      <c r="P150" s="21">
        <f t="shared" si="15"/>
        <v>193431</v>
      </c>
    </row>
    <row r="151" spans="1:17" x14ac:dyDescent="0.25">
      <c r="A151" s="204"/>
      <c r="B151" s="184"/>
      <c r="C151" s="2" t="s">
        <v>60</v>
      </c>
      <c r="D151" s="24">
        <v>1186570</v>
      </c>
      <c r="E151" s="24"/>
      <c r="F151" s="24"/>
      <c r="G151" s="24"/>
      <c r="H151" s="24"/>
      <c r="I151" s="24"/>
      <c r="J151" s="24"/>
      <c r="K151" s="24"/>
      <c r="L151" s="24"/>
      <c r="M151" s="24"/>
      <c r="N151" s="24">
        <f t="shared" si="14"/>
        <v>1186570</v>
      </c>
      <c r="O151" s="33">
        <v>449232</v>
      </c>
      <c r="P151" s="21">
        <f t="shared" si="15"/>
        <v>737338</v>
      </c>
    </row>
    <row r="152" spans="1:17" x14ac:dyDescent="0.25">
      <c r="A152" s="204"/>
      <c r="B152" s="184"/>
      <c r="C152" s="2" t="s">
        <v>61</v>
      </c>
      <c r="D152" s="24">
        <v>891960</v>
      </c>
      <c r="E152" s="24"/>
      <c r="F152" s="24"/>
      <c r="G152" s="24"/>
      <c r="H152" s="24"/>
      <c r="I152" s="24"/>
      <c r="J152" s="24"/>
      <c r="K152" s="24"/>
      <c r="L152" s="24"/>
      <c r="M152" s="24"/>
      <c r="N152" s="24">
        <f t="shared" si="14"/>
        <v>891960</v>
      </c>
      <c r="O152" s="33">
        <v>594640</v>
      </c>
      <c r="P152" s="21">
        <f t="shared" si="15"/>
        <v>297320</v>
      </c>
    </row>
    <row r="153" spans="1:17" x14ac:dyDescent="0.25">
      <c r="A153" s="204"/>
      <c r="B153" s="184"/>
      <c r="C153" s="2" t="s">
        <v>56</v>
      </c>
      <c r="D153" s="24">
        <v>37000</v>
      </c>
      <c r="E153" s="24"/>
      <c r="F153" s="24"/>
      <c r="G153" s="24"/>
      <c r="H153" s="24"/>
      <c r="I153" s="24"/>
      <c r="J153" s="24"/>
      <c r="K153" s="24"/>
      <c r="L153" s="24"/>
      <c r="M153" s="24"/>
      <c r="N153" s="24">
        <f t="shared" si="14"/>
        <v>37000</v>
      </c>
      <c r="O153" s="33">
        <v>0</v>
      </c>
      <c r="P153" s="21">
        <f t="shared" si="15"/>
        <v>37000</v>
      </c>
    </row>
    <row r="154" spans="1:17" x14ac:dyDescent="0.25">
      <c r="A154" s="204"/>
      <c r="B154" s="184"/>
      <c r="C154" s="2" t="s">
        <v>43</v>
      </c>
      <c r="D154" s="24">
        <v>16000</v>
      </c>
      <c r="E154" s="24"/>
      <c r="F154" s="24"/>
      <c r="G154" s="24"/>
      <c r="H154" s="24"/>
      <c r="I154" s="24"/>
      <c r="J154" s="24"/>
      <c r="K154" s="24"/>
      <c r="L154" s="24"/>
      <c r="M154" s="24"/>
      <c r="N154" s="24">
        <f t="shared" si="14"/>
        <v>16000</v>
      </c>
      <c r="O154" s="33">
        <v>11400</v>
      </c>
      <c r="P154" s="21">
        <f t="shared" si="15"/>
        <v>4600</v>
      </c>
    </row>
    <row r="155" spans="1:17" x14ac:dyDescent="0.25">
      <c r="A155" s="204"/>
      <c r="B155" s="184"/>
      <c r="C155" s="2" t="s">
        <v>57</v>
      </c>
      <c r="D155" s="24">
        <v>34305</v>
      </c>
      <c r="E155" s="24"/>
      <c r="F155" s="24"/>
      <c r="G155" s="24"/>
      <c r="H155" s="24"/>
      <c r="I155" s="24"/>
      <c r="J155" s="24"/>
      <c r="K155" s="24"/>
      <c r="L155" s="24"/>
      <c r="M155" s="24"/>
      <c r="N155" s="24">
        <f t="shared" si="14"/>
        <v>34305</v>
      </c>
      <c r="O155" s="33">
        <v>19869</v>
      </c>
      <c r="P155" s="21">
        <f t="shared" si="15"/>
        <v>14436</v>
      </c>
    </row>
    <row r="156" spans="1:17" x14ac:dyDescent="0.25">
      <c r="A156" s="204"/>
      <c r="B156" s="184"/>
      <c r="C156" s="2" t="s">
        <v>58</v>
      </c>
      <c r="D156" s="24">
        <v>0</v>
      </c>
      <c r="E156" s="24"/>
      <c r="F156" s="24"/>
      <c r="G156" s="24"/>
      <c r="H156" s="24"/>
      <c r="I156" s="24"/>
      <c r="J156" s="24"/>
      <c r="K156" s="24"/>
      <c r="L156" s="24"/>
      <c r="M156" s="24"/>
      <c r="N156" s="24">
        <f t="shared" si="14"/>
        <v>0</v>
      </c>
      <c r="O156" s="33">
        <v>0</v>
      </c>
      <c r="P156" s="14">
        <f t="shared" si="15"/>
        <v>0</v>
      </c>
    </row>
    <row r="157" spans="1:17" x14ac:dyDescent="0.25">
      <c r="A157" s="204"/>
      <c r="B157" s="184"/>
      <c r="C157" s="2" t="s">
        <v>44</v>
      </c>
      <c r="D157" s="24">
        <v>796285</v>
      </c>
      <c r="E157" s="24"/>
      <c r="F157" s="24"/>
      <c r="G157" s="24"/>
      <c r="H157" s="24">
        <v>90504</v>
      </c>
      <c r="I157" s="24">
        <v>-90504</v>
      </c>
      <c r="J157" s="24"/>
      <c r="K157" s="24"/>
      <c r="L157" s="24"/>
      <c r="M157" s="24"/>
      <c r="N157" s="24">
        <f t="shared" si="14"/>
        <v>796285</v>
      </c>
      <c r="O157" s="33">
        <v>364937</v>
      </c>
      <c r="P157" s="14">
        <f t="shared" si="15"/>
        <v>431348</v>
      </c>
    </row>
    <row r="158" spans="1:17" x14ac:dyDescent="0.25">
      <c r="A158" s="204"/>
      <c r="B158" s="184"/>
      <c r="C158" s="2" t="s">
        <v>59</v>
      </c>
      <c r="D158" s="24">
        <v>100000</v>
      </c>
      <c r="E158" s="24"/>
      <c r="F158" s="24"/>
      <c r="G158" s="24"/>
      <c r="H158" s="24"/>
      <c r="I158" s="24"/>
      <c r="J158" s="24"/>
      <c r="K158" s="24"/>
      <c r="L158" s="24"/>
      <c r="M158" s="24"/>
      <c r="N158" s="24">
        <f t="shared" si="14"/>
        <v>100000</v>
      </c>
      <c r="O158" s="33">
        <v>0</v>
      </c>
      <c r="P158" s="14">
        <f t="shared" si="15"/>
        <v>100000</v>
      </c>
    </row>
    <row r="159" spans="1:17" x14ac:dyDescent="0.25">
      <c r="A159" s="204"/>
      <c r="B159" s="184"/>
      <c r="C159" s="6" t="s">
        <v>45</v>
      </c>
      <c r="D159" s="95">
        <f>SUM(D146:D158)</f>
        <v>4094541</v>
      </c>
      <c r="E159" s="95">
        <f t="shared" ref="E159:P159" si="16">SUM(E146:E158)</f>
        <v>-50000</v>
      </c>
      <c r="F159" s="95">
        <f t="shared" si="16"/>
        <v>0</v>
      </c>
      <c r="G159" s="95"/>
      <c r="H159" s="95">
        <f t="shared" si="16"/>
        <v>425700</v>
      </c>
      <c r="I159" s="95">
        <f t="shared" si="16"/>
        <v>-425700</v>
      </c>
      <c r="J159" s="95">
        <f t="shared" si="16"/>
        <v>0</v>
      </c>
      <c r="K159" s="95">
        <f t="shared" si="16"/>
        <v>0</v>
      </c>
      <c r="L159" s="95">
        <f t="shared" si="16"/>
        <v>0</v>
      </c>
      <c r="M159" s="95">
        <f t="shared" si="16"/>
        <v>0</v>
      </c>
      <c r="N159" s="95">
        <f t="shared" si="16"/>
        <v>4044541</v>
      </c>
      <c r="O159" s="49">
        <f t="shared" si="16"/>
        <v>1972597</v>
      </c>
      <c r="P159" s="26">
        <f t="shared" si="16"/>
        <v>2071944</v>
      </c>
    </row>
    <row r="160" spans="1:17" x14ac:dyDescent="0.25">
      <c r="A160" s="204"/>
      <c r="B160" s="184" t="s">
        <v>12</v>
      </c>
      <c r="C160" s="2" t="s">
        <v>39</v>
      </c>
      <c r="D160" s="24">
        <v>19848108</v>
      </c>
      <c r="E160" s="24"/>
      <c r="F160" s="24"/>
      <c r="G160" s="24"/>
      <c r="H160" s="24"/>
      <c r="I160" s="24"/>
      <c r="J160" s="24"/>
      <c r="K160" s="24"/>
      <c r="L160" s="24"/>
      <c r="M160" s="24"/>
      <c r="N160" s="24">
        <f t="shared" ref="N160:N165" si="17">D160+E160+F160+H160+I160+K160+J160</f>
        <v>19848108</v>
      </c>
      <c r="O160" s="33">
        <v>11352097</v>
      </c>
      <c r="P160" s="14">
        <f t="shared" ref="P160:P165" si="18">N160-O160</f>
        <v>8496011</v>
      </c>
    </row>
    <row r="161" spans="1:17" x14ac:dyDescent="0.25">
      <c r="A161" s="204"/>
      <c r="B161" s="184"/>
      <c r="C161" s="2" t="s">
        <v>46</v>
      </c>
      <c r="D161" s="24">
        <v>600000</v>
      </c>
      <c r="E161" s="24"/>
      <c r="F161" s="24"/>
      <c r="G161" s="24"/>
      <c r="H161" s="24"/>
      <c r="I161" s="24"/>
      <c r="J161" s="24"/>
      <c r="K161" s="24"/>
      <c r="L161" s="24"/>
      <c r="M161" s="24"/>
      <c r="N161" s="24">
        <f t="shared" si="17"/>
        <v>600000</v>
      </c>
      <c r="O161" s="33">
        <v>220492</v>
      </c>
      <c r="P161" s="14">
        <f t="shared" si="18"/>
        <v>379508</v>
      </c>
    </row>
    <row r="162" spans="1:17" x14ac:dyDescent="0.25">
      <c r="A162" s="204"/>
      <c r="B162" s="184"/>
      <c r="C162" s="2" t="s">
        <v>47</v>
      </c>
      <c r="D162" s="24">
        <v>30000</v>
      </c>
      <c r="E162" s="24">
        <v>102650</v>
      </c>
      <c r="F162" s="24"/>
      <c r="G162" s="24"/>
      <c r="H162" s="24"/>
      <c r="I162" s="24"/>
      <c r="J162" s="24"/>
      <c r="K162" s="24"/>
      <c r="L162" s="24"/>
      <c r="M162" s="24"/>
      <c r="N162" s="24">
        <f t="shared" si="17"/>
        <v>132650</v>
      </c>
      <c r="O162" s="33">
        <v>132650</v>
      </c>
      <c r="P162" s="14">
        <f t="shared" si="18"/>
        <v>0</v>
      </c>
    </row>
    <row r="163" spans="1:17" x14ac:dyDescent="0.25">
      <c r="A163" s="204"/>
      <c r="B163" s="184"/>
      <c r="C163" s="2" t="s">
        <v>48</v>
      </c>
      <c r="D163" s="24">
        <v>136000</v>
      </c>
      <c r="E163" s="24"/>
      <c r="F163" s="24"/>
      <c r="G163" s="24"/>
      <c r="H163" s="24"/>
      <c r="I163" s="24"/>
      <c r="J163" s="24"/>
      <c r="K163" s="24"/>
      <c r="L163" s="24"/>
      <c r="M163" s="24"/>
      <c r="N163" s="24">
        <f t="shared" si="17"/>
        <v>136000</v>
      </c>
      <c r="O163" s="33">
        <v>6480</v>
      </c>
      <c r="P163" s="14">
        <f t="shared" si="18"/>
        <v>129520</v>
      </c>
    </row>
    <row r="164" spans="1:17" x14ac:dyDescent="0.25">
      <c r="A164" s="204"/>
      <c r="B164" s="184"/>
      <c r="C164" s="2" t="s">
        <v>49</v>
      </c>
      <c r="D164" s="24">
        <v>72000</v>
      </c>
      <c r="E164" s="24"/>
      <c r="F164" s="24"/>
      <c r="G164" s="24"/>
      <c r="H164" s="24"/>
      <c r="I164" s="24"/>
      <c r="J164" s="24"/>
      <c r="K164" s="24"/>
      <c r="L164" s="24"/>
      <c r="M164" s="24"/>
      <c r="N164" s="24">
        <f t="shared" si="17"/>
        <v>72000</v>
      </c>
      <c r="O164" s="33">
        <v>28000</v>
      </c>
      <c r="P164" s="14">
        <f t="shared" si="18"/>
        <v>44000</v>
      </c>
    </row>
    <row r="165" spans="1:17" s="52" customFormat="1" x14ac:dyDescent="0.25">
      <c r="A165" s="204"/>
      <c r="B165" s="184"/>
      <c r="C165" s="79" t="s">
        <v>50</v>
      </c>
      <c r="D165" s="50">
        <v>0</v>
      </c>
      <c r="E165" s="51"/>
      <c r="F165" s="50"/>
      <c r="G165" s="50"/>
      <c r="H165" s="50"/>
      <c r="I165" s="50"/>
      <c r="J165" s="50"/>
      <c r="K165" s="50"/>
      <c r="L165" s="50"/>
      <c r="M165" s="50"/>
      <c r="N165" s="50">
        <f t="shared" si="17"/>
        <v>0</v>
      </c>
      <c r="O165" s="33">
        <v>0</v>
      </c>
      <c r="P165" s="32">
        <f t="shared" si="18"/>
        <v>0</v>
      </c>
      <c r="Q165" s="80"/>
    </row>
    <row r="166" spans="1:17" x14ac:dyDescent="0.25">
      <c r="A166" s="204"/>
      <c r="B166" s="184"/>
      <c r="C166" s="6" t="s">
        <v>40</v>
      </c>
      <c r="D166" s="95">
        <f>SUM(D160:D165)</f>
        <v>20686108</v>
      </c>
      <c r="E166" s="95">
        <f t="shared" ref="E166:P166" si="19">SUM(E160:E165)</f>
        <v>102650</v>
      </c>
      <c r="F166" s="95">
        <f t="shared" si="19"/>
        <v>0</v>
      </c>
      <c r="G166" s="95"/>
      <c r="H166" s="95">
        <f t="shared" si="19"/>
        <v>0</v>
      </c>
      <c r="I166" s="95">
        <f t="shared" si="19"/>
        <v>0</v>
      </c>
      <c r="J166" s="95">
        <f t="shared" si="19"/>
        <v>0</v>
      </c>
      <c r="K166" s="95">
        <f t="shared" si="19"/>
        <v>0</v>
      </c>
      <c r="L166" s="95">
        <f t="shared" si="19"/>
        <v>0</v>
      </c>
      <c r="M166" s="95">
        <f t="shared" si="19"/>
        <v>0</v>
      </c>
      <c r="N166" s="95">
        <f t="shared" si="19"/>
        <v>20788758</v>
      </c>
      <c r="O166" s="49">
        <f t="shared" si="19"/>
        <v>11739719</v>
      </c>
      <c r="P166" s="26">
        <f t="shared" si="19"/>
        <v>9049039</v>
      </c>
    </row>
    <row r="167" spans="1:17" x14ac:dyDescent="0.25">
      <c r="A167" s="204"/>
      <c r="B167" s="184"/>
      <c r="C167" s="57" t="s">
        <v>41</v>
      </c>
      <c r="D167" s="96">
        <v>3692196</v>
      </c>
      <c r="E167" s="96"/>
      <c r="F167" s="96"/>
      <c r="G167" s="96"/>
      <c r="H167" s="96"/>
      <c r="I167" s="96"/>
      <c r="J167" s="96"/>
      <c r="K167" s="96"/>
      <c r="L167" s="96"/>
      <c r="M167" s="96"/>
      <c r="N167" s="97">
        <f>D167+E167+F167+H167+I167+K167</f>
        <v>3692196</v>
      </c>
      <c r="O167" s="129">
        <v>2020804</v>
      </c>
      <c r="P167" s="55">
        <f t="shared" ref="P167:P180" si="20">N167-O167</f>
        <v>1671392</v>
      </c>
    </row>
    <row r="168" spans="1:17" x14ac:dyDescent="0.25">
      <c r="A168" s="204"/>
      <c r="B168" s="184"/>
      <c r="C168" s="2" t="s">
        <v>42</v>
      </c>
      <c r="D168" s="24">
        <v>25063</v>
      </c>
      <c r="E168" s="24">
        <v>274937</v>
      </c>
      <c r="F168" s="24"/>
      <c r="G168" s="24"/>
      <c r="H168" s="24">
        <v>665197</v>
      </c>
      <c r="I168" s="24">
        <v>-665197</v>
      </c>
      <c r="J168" s="24"/>
      <c r="K168" s="24"/>
      <c r="L168" s="24"/>
      <c r="M168" s="24"/>
      <c r="N168" s="24">
        <f t="shared" ref="N168:N180" si="21">D168+E168+F168+H168+I168+K168+J168</f>
        <v>300000</v>
      </c>
      <c r="O168" s="33">
        <v>300000</v>
      </c>
      <c r="P168" s="14">
        <f t="shared" si="20"/>
        <v>0</v>
      </c>
    </row>
    <row r="169" spans="1:17" x14ac:dyDescent="0.25">
      <c r="A169" s="204"/>
      <c r="B169" s="184"/>
      <c r="C169" s="2" t="s">
        <v>52</v>
      </c>
      <c r="D169" s="24">
        <v>230310</v>
      </c>
      <c r="E169" s="24">
        <f>-44849-32125-95169</f>
        <v>-172143</v>
      </c>
      <c r="F169" s="24"/>
      <c r="G169" s="24"/>
      <c r="H169" s="24"/>
      <c r="I169" s="24"/>
      <c r="J169" s="24"/>
      <c r="K169" s="24"/>
      <c r="L169" s="24"/>
      <c r="M169" s="24"/>
      <c r="N169" s="24">
        <f t="shared" si="21"/>
        <v>58167</v>
      </c>
      <c r="O169" s="33">
        <v>0</v>
      </c>
      <c r="P169" s="21">
        <f t="shared" si="20"/>
        <v>58167</v>
      </c>
    </row>
    <row r="170" spans="1:17" x14ac:dyDescent="0.25">
      <c r="A170" s="204"/>
      <c r="B170" s="184"/>
      <c r="C170" s="2" t="s">
        <v>53</v>
      </c>
      <c r="D170" s="24">
        <v>134280</v>
      </c>
      <c r="E170" s="24"/>
      <c r="F170" s="24"/>
      <c r="G170" s="24"/>
      <c r="H170" s="24"/>
      <c r="I170" s="24"/>
      <c r="J170" s="24"/>
      <c r="K170" s="24"/>
      <c r="L170" s="24"/>
      <c r="M170" s="24"/>
      <c r="N170" s="24">
        <f t="shared" si="21"/>
        <v>134280</v>
      </c>
      <c r="O170" s="33">
        <v>85593</v>
      </c>
      <c r="P170" s="14">
        <f t="shared" si="20"/>
        <v>48687</v>
      </c>
    </row>
    <row r="171" spans="1:17" x14ac:dyDescent="0.25">
      <c r="A171" s="204"/>
      <c r="B171" s="184"/>
      <c r="C171" s="2" t="s">
        <v>54</v>
      </c>
      <c r="D171" s="24">
        <v>90000</v>
      </c>
      <c r="E171" s="24"/>
      <c r="F171" s="24"/>
      <c r="G171" s="24"/>
      <c r="H171" s="24"/>
      <c r="I171" s="24"/>
      <c r="J171" s="24"/>
      <c r="K171" s="24"/>
      <c r="L171" s="24"/>
      <c r="M171" s="24"/>
      <c r="N171" s="24">
        <f t="shared" si="21"/>
        <v>90000</v>
      </c>
      <c r="O171" s="33">
        <v>75774</v>
      </c>
      <c r="P171" s="14">
        <f t="shared" si="20"/>
        <v>14226</v>
      </c>
    </row>
    <row r="172" spans="1:17" x14ac:dyDescent="0.25">
      <c r="A172" s="204"/>
      <c r="B172" s="184"/>
      <c r="C172" s="2" t="s">
        <v>55</v>
      </c>
      <c r="D172" s="24">
        <v>2763244</v>
      </c>
      <c r="E172" s="24"/>
      <c r="F172" s="24"/>
      <c r="G172" s="24"/>
      <c r="H172" s="24"/>
      <c r="I172" s="24"/>
      <c r="J172" s="24"/>
      <c r="K172" s="24"/>
      <c r="L172" s="24"/>
      <c r="M172" s="24"/>
      <c r="N172" s="24">
        <f t="shared" si="21"/>
        <v>2763244</v>
      </c>
      <c r="O172" s="33">
        <v>1135404</v>
      </c>
      <c r="P172" s="14">
        <f t="shared" si="20"/>
        <v>1627840</v>
      </c>
    </row>
    <row r="173" spans="1:17" x14ac:dyDescent="0.25">
      <c r="A173" s="204"/>
      <c r="B173" s="184"/>
      <c r="C173" s="2" t="s">
        <v>61</v>
      </c>
      <c r="D173" s="24">
        <v>0</v>
      </c>
      <c r="E173" s="24"/>
      <c r="F173" s="24"/>
      <c r="G173" s="24"/>
      <c r="H173" s="24"/>
      <c r="I173" s="24"/>
      <c r="J173" s="24"/>
      <c r="K173" s="24"/>
      <c r="L173" s="24"/>
      <c r="M173" s="24"/>
      <c r="N173" s="24">
        <f t="shared" si="21"/>
        <v>0</v>
      </c>
      <c r="O173" s="33">
        <v>0</v>
      </c>
      <c r="P173" s="14">
        <f t="shared" si="20"/>
        <v>0</v>
      </c>
    </row>
    <row r="174" spans="1:17" x14ac:dyDescent="0.25">
      <c r="A174" s="204"/>
      <c r="B174" s="184"/>
      <c r="C174" s="2" t="s">
        <v>56</v>
      </c>
      <c r="D174" s="24">
        <v>455102</v>
      </c>
      <c r="E174" s="24">
        <f>-10916-16000-4672-18558</f>
        <v>-50146</v>
      </c>
      <c r="F174" s="24"/>
      <c r="G174" s="24"/>
      <c r="H174" s="24"/>
      <c r="I174" s="24"/>
      <c r="J174" s="24"/>
      <c r="K174" s="24"/>
      <c r="L174" s="24"/>
      <c r="M174" s="24"/>
      <c r="N174" s="24">
        <f t="shared" si="21"/>
        <v>404956</v>
      </c>
      <c r="O174" s="33">
        <v>0</v>
      </c>
      <c r="P174" s="14">
        <f t="shared" si="20"/>
        <v>404956</v>
      </c>
    </row>
    <row r="175" spans="1:17" x14ac:dyDescent="0.25">
      <c r="A175" s="204"/>
      <c r="B175" s="184"/>
      <c r="C175" s="2" t="s">
        <v>43</v>
      </c>
      <c r="D175" s="24">
        <v>1005000</v>
      </c>
      <c r="E175" s="24"/>
      <c r="F175" s="24"/>
      <c r="G175" s="24"/>
      <c r="H175" s="24"/>
      <c r="I175" s="24"/>
      <c r="J175" s="24"/>
      <c r="K175" s="24"/>
      <c r="L175" s="24"/>
      <c r="M175" s="24"/>
      <c r="N175" s="24">
        <f t="shared" si="21"/>
        <v>1005000</v>
      </c>
      <c r="O175" s="33">
        <v>421900</v>
      </c>
      <c r="P175" s="14">
        <f t="shared" si="20"/>
        <v>583100</v>
      </c>
    </row>
    <row r="176" spans="1:17" x14ac:dyDescent="0.25">
      <c r="A176" s="204"/>
      <c r="B176" s="184"/>
      <c r="C176" s="2" t="s">
        <v>57</v>
      </c>
      <c r="D176" s="24">
        <v>4878800</v>
      </c>
      <c r="E176" s="24">
        <v>-229580</v>
      </c>
      <c r="F176" s="24"/>
      <c r="G176" s="24"/>
      <c r="H176" s="24"/>
      <c r="I176" s="24"/>
      <c r="J176" s="24"/>
      <c r="K176" s="24"/>
      <c r="L176" s="24"/>
      <c r="M176" s="24"/>
      <c r="N176" s="24">
        <f t="shared" si="21"/>
        <v>4649220</v>
      </c>
      <c r="O176" s="33">
        <v>1246683</v>
      </c>
      <c r="P176" s="21">
        <f t="shared" si="20"/>
        <v>3402537</v>
      </c>
    </row>
    <row r="177" spans="1:17" x14ac:dyDescent="0.25">
      <c r="A177" s="204"/>
      <c r="B177" s="184"/>
      <c r="C177" s="2" t="s">
        <v>58</v>
      </c>
      <c r="D177" s="24">
        <v>0</v>
      </c>
      <c r="E177" s="24"/>
      <c r="F177" s="24"/>
      <c r="G177" s="24"/>
      <c r="H177" s="24"/>
      <c r="I177" s="24"/>
      <c r="J177" s="24"/>
      <c r="K177" s="24"/>
      <c r="L177" s="24"/>
      <c r="M177" s="24"/>
      <c r="N177" s="24">
        <f t="shared" si="21"/>
        <v>0</v>
      </c>
      <c r="O177" s="33">
        <v>0</v>
      </c>
      <c r="P177" s="14">
        <f t="shared" si="20"/>
        <v>0</v>
      </c>
    </row>
    <row r="178" spans="1:17" x14ac:dyDescent="0.25">
      <c r="A178" s="204"/>
      <c r="B178" s="184"/>
      <c r="C178" s="2" t="s">
        <v>186</v>
      </c>
      <c r="D178" s="24">
        <v>0</v>
      </c>
      <c r="E178" s="24">
        <v>180772</v>
      </c>
      <c r="F178" s="24"/>
      <c r="G178" s="24"/>
      <c r="H178" s="24"/>
      <c r="I178" s="24"/>
      <c r="J178" s="24"/>
      <c r="K178" s="24"/>
      <c r="L178" s="24"/>
      <c r="M178" s="24"/>
      <c r="N178" s="24">
        <f t="shared" si="21"/>
        <v>180772</v>
      </c>
      <c r="O178" s="33">
        <v>90386</v>
      </c>
      <c r="P178" s="14">
        <f t="shared" si="20"/>
        <v>90386</v>
      </c>
    </row>
    <row r="179" spans="1:17" x14ac:dyDescent="0.25">
      <c r="A179" s="204"/>
      <c r="B179" s="184"/>
      <c r="C179" s="2" t="s">
        <v>44</v>
      </c>
      <c r="D179" s="24">
        <v>2310194</v>
      </c>
      <c r="E179" s="24">
        <v>48808</v>
      </c>
      <c r="F179" s="24"/>
      <c r="G179" s="24"/>
      <c r="H179" s="24">
        <v>179603</v>
      </c>
      <c r="I179" s="24">
        <v>-179603</v>
      </c>
      <c r="J179" s="24"/>
      <c r="K179" s="24"/>
      <c r="L179" s="24"/>
      <c r="M179" s="24"/>
      <c r="N179" s="24">
        <f t="shared" si="21"/>
        <v>2359002</v>
      </c>
      <c r="O179" s="33">
        <v>416857</v>
      </c>
      <c r="P179" s="14">
        <f t="shared" si="20"/>
        <v>1942145</v>
      </c>
    </row>
    <row r="180" spans="1:17" x14ac:dyDescent="0.25">
      <c r="A180" s="204"/>
      <c r="B180" s="184"/>
      <c r="C180" s="2" t="s">
        <v>59</v>
      </c>
      <c r="D180" s="24">
        <v>1000</v>
      </c>
      <c r="E180" s="24"/>
      <c r="F180" s="24"/>
      <c r="G180" s="24"/>
      <c r="H180" s="24"/>
      <c r="I180" s="24"/>
      <c r="J180" s="24"/>
      <c r="K180" s="24"/>
      <c r="L180" s="24"/>
      <c r="M180" s="24"/>
      <c r="N180" s="24">
        <f t="shared" si="21"/>
        <v>1000</v>
      </c>
      <c r="O180" s="33">
        <v>0</v>
      </c>
      <c r="P180" s="14">
        <f t="shared" si="20"/>
        <v>1000</v>
      </c>
    </row>
    <row r="181" spans="1:17" x14ac:dyDescent="0.25">
      <c r="A181" s="204"/>
      <c r="B181" s="184"/>
      <c r="C181" s="6" t="s">
        <v>45</v>
      </c>
      <c r="D181" s="95">
        <f>SUM(D168:D180)</f>
        <v>11892993</v>
      </c>
      <c r="E181" s="95">
        <f t="shared" ref="E181:P181" si="22">SUM(E168:E180)</f>
        <v>52648</v>
      </c>
      <c r="F181" s="95">
        <f t="shared" si="22"/>
        <v>0</v>
      </c>
      <c r="G181" s="95"/>
      <c r="H181" s="95">
        <f t="shared" si="22"/>
        <v>844800</v>
      </c>
      <c r="I181" s="95">
        <f t="shared" si="22"/>
        <v>-844800</v>
      </c>
      <c r="J181" s="95">
        <f t="shared" si="22"/>
        <v>0</v>
      </c>
      <c r="K181" s="95">
        <f t="shared" si="22"/>
        <v>0</v>
      </c>
      <c r="L181" s="95">
        <f t="shared" si="22"/>
        <v>0</v>
      </c>
      <c r="M181" s="95">
        <f t="shared" si="22"/>
        <v>0</v>
      </c>
      <c r="N181" s="95">
        <f t="shared" si="22"/>
        <v>11945641</v>
      </c>
      <c r="O181" s="49">
        <f t="shared" si="22"/>
        <v>3772597</v>
      </c>
      <c r="P181" s="26">
        <f t="shared" si="22"/>
        <v>8173044</v>
      </c>
    </row>
    <row r="182" spans="1:17" x14ac:dyDescent="0.25">
      <c r="A182" s="204"/>
      <c r="B182" s="184" t="s">
        <v>15</v>
      </c>
      <c r="C182" s="2" t="s">
        <v>39</v>
      </c>
      <c r="D182" s="24">
        <v>3916858</v>
      </c>
      <c r="E182" s="24"/>
      <c r="F182" s="24"/>
      <c r="G182" s="24"/>
      <c r="H182" s="24"/>
      <c r="I182" s="24"/>
      <c r="J182" s="24"/>
      <c r="K182" s="24"/>
      <c r="L182" s="24"/>
      <c r="M182" s="24"/>
      <c r="N182" s="24">
        <f>D182+E182+F182+H182+I182+K182+J182</f>
        <v>3916858</v>
      </c>
      <c r="O182" s="33">
        <v>2645948</v>
      </c>
      <c r="P182" s="21">
        <f t="shared" ref="P182:P186" si="23">N182-O182</f>
        <v>1270910</v>
      </c>
    </row>
    <row r="183" spans="1:17" x14ac:dyDescent="0.25">
      <c r="A183" s="204"/>
      <c r="B183" s="184"/>
      <c r="C183" s="2" t="s">
        <v>46</v>
      </c>
      <c r="D183" s="24">
        <v>150000</v>
      </c>
      <c r="E183" s="24"/>
      <c r="F183" s="24"/>
      <c r="G183" s="24"/>
      <c r="H183" s="24"/>
      <c r="I183" s="24"/>
      <c r="J183" s="24"/>
      <c r="K183" s="24"/>
      <c r="L183" s="24"/>
      <c r="M183" s="24"/>
      <c r="N183" s="24">
        <f>D183+E183+F183+H183+I183+K183+J183</f>
        <v>150000</v>
      </c>
      <c r="O183" s="33">
        <v>75000</v>
      </c>
      <c r="P183" s="14">
        <f t="shared" si="23"/>
        <v>75000</v>
      </c>
    </row>
    <row r="184" spans="1:17" x14ac:dyDescent="0.25">
      <c r="A184" s="204"/>
      <c r="B184" s="184"/>
      <c r="C184" s="2" t="s">
        <v>47</v>
      </c>
      <c r="D184" s="24">
        <v>10000</v>
      </c>
      <c r="E184" s="24"/>
      <c r="F184" s="24"/>
      <c r="G184" s="24"/>
      <c r="H184" s="24"/>
      <c r="I184" s="24"/>
      <c r="J184" s="24"/>
      <c r="K184" s="24"/>
      <c r="L184" s="24"/>
      <c r="M184" s="24"/>
      <c r="N184" s="24">
        <f>D184+E184+F184+H184+I184+K184+J184</f>
        <v>10000</v>
      </c>
      <c r="O184" s="33">
        <v>0</v>
      </c>
      <c r="P184" s="14">
        <f t="shared" si="23"/>
        <v>10000</v>
      </c>
    </row>
    <row r="185" spans="1:17" x14ac:dyDescent="0.25">
      <c r="A185" s="204"/>
      <c r="B185" s="184"/>
      <c r="C185" s="2" t="s">
        <v>49</v>
      </c>
      <c r="D185" s="24">
        <v>24000</v>
      </c>
      <c r="E185" s="24"/>
      <c r="F185" s="24"/>
      <c r="G185" s="24"/>
      <c r="H185" s="24"/>
      <c r="I185" s="24"/>
      <c r="J185" s="24"/>
      <c r="K185" s="24"/>
      <c r="L185" s="24"/>
      <c r="M185" s="24"/>
      <c r="N185" s="24">
        <f>D185+E185+F185+H185+I185+K185+J185</f>
        <v>24000</v>
      </c>
      <c r="O185" s="33">
        <v>12000</v>
      </c>
      <c r="P185" s="14">
        <f t="shared" si="23"/>
        <v>12000</v>
      </c>
    </row>
    <row r="186" spans="1:17" x14ac:dyDescent="0.25">
      <c r="A186" s="204"/>
      <c r="B186" s="184"/>
      <c r="C186" s="2" t="s">
        <v>50</v>
      </c>
      <c r="D186" s="24">
        <v>124006</v>
      </c>
      <c r="E186" s="24"/>
      <c r="F186" s="24"/>
      <c r="G186" s="24"/>
      <c r="H186" s="24"/>
      <c r="I186" s="24"/>
      <c r="J186" s="24"/>
      <c r="K186" s="24"/>
      <c r="L186" s="24"/>
      <c r="M186" s="24"/>
      <c r="N186" s="24">
        <f>D186+E186+F186+H186+I186+K186+J186</f>
        <v>124006</v>
      </c>
      <c r="O186" s="33">
        <v>21560</v>
      </c>
      <c r="P186" s="14">
        <f t="shared" si="23"/>
        <v>102446</v>
      </c>
    </row>
    <row r="187" spans="1:17" x14ac:dyDescent="0.25">
      <c r="A187" s="204"/>
      <c r="B187" s="184"/>
      <c r="C187" s="6" t="s">
        <v>40</v>
      </c>
      <c r="D187" s="95">
        <f>SUM(D182:D186)</f>
        <v>4224864</v>
      </c>
      <c r="E187" s="95">
        <f t="shared" ref="E187:P187" si="24">SUM(E182:E186)</f>
        <v>0</v>
      </c>
      <c r="F187" s="95">
        <f t="shared" si="24"/>
        <v>0</v>
      </c>
      <c r="G187" s="95"/>
      <c r="H187" s="95">
        <f t="shared" si="24"/>
        <v>0</v>
      </c>
      <c r="I187" s="95">
        <f t="shared" si="24"/>
        <v>0</v>
      </c>
      <c r="J187" s="95">
        <f t="shared" si="24"/>
        <v>0</v>
      </c>
      <c r="K187" s="95">
        <f t="shared" si="24"/>
        <v>0</v>
      </c>
      <c r="L187" s="95">
        <f t="shared" si="24"/>
        <v>0</v>
      </c>
      <c r="M187" s="95">
        <f t="shared" si="24"/>
        <v>0</v>
      </c>
      <c r="N187" s="95">
        <f t="shared" si="24"/>
        <v>4224864</v>
      </c>
      <c r="O187" s="49">
        <f t="shared" si="24"/>
        <v>2754508</v>
      </c>
      <c r="P187" s="26">
        <f t="shared" si="24"/>
        <v>1470356</v>
      </c>
    </row>
    <row r="188" spans="1:17" x14ac:dyDescent="0.25">
      <c r="A188" s="204"/>
      <c r="B188" s="184"/>
      <c r="C188" s="57" t="s">
        <v>41</v>
      </c>
      <c r="D188" s="96">
        <v>750476</v>
      </c>
      <c r="E188" s="96"/>
      <c r="F188" s="96">
        <v>0</v>
      </c>
      <c r="G188" s="96"/>
      <c r="H188" s="96"/>
      <c r="I188" s="96"/>
      <c r="J188" s="96"/>
      <c r="K188" s="96"/>
      <c r="L188" s="96"/>
      <c r="M188" s="96"/>
      <c r="N188" s="97">
        <f>D188+E188+F188+H188+I188+K188</f>
        <v>750476</v>
      </c>
      <c r="O188" s="129">
        <v>473406</v>
      </c>
      <c r="P188" s="55">
        <f t="shared" ref="P188:P195" si="25">N188-O188</f>
        <v>277070</v>
      </c>
    </row>
    <row r="189" spans="1:17" s="138" customFormat="1" x14ac:dyDescent="0.25">
      <c r="A189" s="204"/>
      <c r="B189" s="184"/>
      <c r="C189" s="135" t="s">
        <v>42</v>
      </c>
      <c r="D189" s="136">
        <v>44937</v>
      </c>
      <c r="E189" s="136">
        <v>-44937</v>
      </c>
      <c r="F189" s="136">
        <v>675591</v>
      </c>
      <c r="G189" s="136">
        <v>-675591</v>
      </c>
      <c r="H189" s="136"/>
      <c r="I189" s="136"/>
      <c r="J189" s="136"/>
      <c r="K189" s="136"/>
      <c r="L189" s="136"/>
      <c r="M189" s="136"/>
      <c r="N189" s="24">
        <f>D189+E189+F189+H189+I189+K189+J189+G189</f>
        <v>0</v>
      </c>
      <c r="O189" s="130">
        <v>0</v>
      </c>
      <c r="P189" s="21">
        <f t="shared" si="25"/>
        <v>0</v>
      </c>
      <c r="Q189" s="137"/>
    </row>
    <row r="190" spans="1:17" x14ac:dyDescent="0.25">
      <c r="A190" s="204"/>
      <c r="B190" s="184"/>
      <c r="C190" s="2" t="s">
        <v>52</v>
      </c>
      <c r="D190" s="24">
        <v>189690</v>
      </c>
      <c r="E190" s="24">
        <f>44849+95169</f>
        <v>140018</v>
      </c>
      <c r="F190" s="24"/>
      <c r="G190" s="24"/>
      <c r="H190" s="24">
        <v>65354</v>
      </c>
      <c r="I190" s="24">
        <v>-65354</v>
      </c>
      <c r="J190" s="24"/>
      <c r="K190" s="24"/>
      <c r="L190" s="24"/>
      <c r="M190" s="24"/>
      <c r="N190" s="24">
        <f t="shared" ref="N189:N195" si="26">D190+E190+F190+H190+I190+K190+J190</f>
        <v>329708</v>
      </c>
      <c r="O190" s="33">
        <v>329708</v>
      </c>
      <c r="P190" s="21">
        <f t="shared" si="25"/>
        <v>0</v>
      </c>
    </row>
    <row r="191" spans="1:17" x14ac:dyDescent="0.25">
      <c r="A191" s="204"/>
      <c r="B191" s="184"/>
      <c r="C191" s="2" t="s">
        <v>60</v>
      </c>
      <c r="D191" s="24">
        <v>10992891</v>
      </c>
      <c r="E191" s="24">
        <v>-30000</v>
      </c>
      <c r="F191" s="28"/>
      <c r="G191" s="28"/>
      <c r="H191" s="28"/>
      <c r="I191" s="24"/>
      <c r="J191" s="24"/>
      <c r="K191" s="24"/>
      <c r="L191" s="24"/>
      <c r="M191" s="24"/>
      <c r="N191" s="24">
        <f t="shared" si="26"/>
        <v>10962891</v>
      </c>
      <c r="O191" s="33">
        <v>6781740</v>
      </c>
      <c r="P191" s="14">
        <f t="shared" si="25"/>
        <v>4181151</v>
      </c>
    </row>
    <row r="192" spans="1:17" x14ac:dyDescent="0.25">
      <c r="A192" s="204"/>
      <c r="B192" s="184"/>
      <c r="C192" s="2" t="s">
        <v>43</v>
      </c>
      <c r="D192" s="24">
        <v>15200</v>
      </c>
      <c r="E192" s="24"/>
      <c r="F192" s="28"/>
      <c r="G192" s="28"/>
      <c r="H192" s="28"/>
      <c r="I192" s="24"/>
      <c r="J192" s="24"/>
      <c r="K192" s="24"/>
      <c r="L192" s="24"/>
      <c r="M192" s="24"/>
      <c r="N192" s="24">
        <f t="shared" si="26"/>
        <v>15200</v>
      </c>
      <c r="O192" s="33">
        <v>6800</v>
      </c>
      <c r="P192" s="21">
        <f t="shared" si="25"/>
        <v>8400</v>
      </c>
    </row>
    <row r="193" spans="1:17" x14ac:dyDescent="0.25">
      <c r="A193" s="204"/>
      <c r="B193" s="184"/>
      <c r="C193" s="2" t="s">
        <v>57</v>
      </c>
      <c r="D193" s="24">
        <v>58000</v>
      </c>
      <c r="E193" s="24"/>
      <c r="F193" s="28"/>
      <c r="G193" s="28"/>
      <c r="H193" s="28"/>
      <c r="I193" s="24"/>
      <c r="J193" s="24"/>
      <c r="K193" s="24"/>
      <c r="L193" s="24"/>
      <c r="M193" s="24"/>
      <c r="N193" s="24">
        <f t="shared" si="26"/>
        <v>58000</v>
      </c>
      <c r="O193" s="33">
        <v>33407</v>
      </c>
      <c r="P193" s="14">
        <f t="shared" si="25"/>
        <v>24593</v>
      </c>
    </row>
    <row r="194" spans="1:17" x14ac:dyDescent="0.25">
      <c r="A194" s="204"/>
      <c r="B194" s="184"/>
      <c r="C194" s="2" t="s">
        <v>44</v>
      </c>
      <c r="D194" s="24">
        <v>3000537</v>
      </c>
      <c r="E194" s="24">
        <f>-33937-2502</f>
        <v>-36439</v>
      </c>
      <c r="F194" s="28">
        <v>182409</v>
      </c>
      <c r="G194" s="28">
        <v>-182409</v>
      </c>
      <c r="H194" s="28">
        <v>17646</v>
      </c>
      <c r="I194" s="24">
        <v>-17646</v>
      </c>
      <c r="J194" s="24"/>
      <c r="K194" s="24"/>
      <c r="L194" s="24"/>
      <c r="M194" s="24"/>
      <c r="N194" s="24">
        <f>D194+E194+F194+H194+I194+K194+J194+G194</f>
        <v>2964098</v>
      </c>
      <c r="O194" s="33">
        <v>1929112</v>
      </c>
      <c r="P194" s="14">
        <f t="shared" si="25"/>
        <v>1034986</v>
      </c>
    </row>
    <row r="195" spans="1:17" x14ac:dyDescent="0.25">
      <c r="A195" s="204"/>
      <c r="B195" s="184"/>
      <c r="C195" s="2" t="s">
        <v>145</v>
      </c>
      <c r="D195" s="24">
        <v>0</v>
      </c>
      <c r="E195" s="24"/>
      <c r="F195" s="28"/>
      <c r="G195" s="28"/>
      <c r="H195" s="28"/>
      <c r="I195" s="24"/>
      <c r="J195" s="24"/>
      <c r="K195" s="24"/>
      <c r="L195" s="24"/>
      <c r="M195" s="24"/>
      <c r="N195" s="24">
        <f t="shared" si="26"/>
        <v>0</v>
      </c>
      <c r="O195" s="33">
        <v>0</v>
      </c>
      <c r="P195" s="14">
        <f t="shared" si="25"/>
        <v>0</v>
      </c>
    </row>
    <row r="196" spans="1:17" x14ac:dyDescent="0.25">
      <c r="A196" s="204"/>
      <c r="B196" s="184"/>
      <c r="C196" s="6" t="s">
        <v>45</v>
      </c>
      <c r="D196" s="49">
        <f t="shared" ref="D196:N196" si="27">SUM(D189:D195)</f>
        <v>14301255</v>
      </c>
      <c r="E196" s="49">
        <f t="shared" si="27"/>
        <v>28642</v>
      </c>
      <c r="F196" s="49">
        <f t="shared" si="27"/>
        <v>858000</v>
      </c>
      <c r="G196" s="49">
        <f t="shared" si="27"/>
        <v>-858000</v>
      </c>
      <c r="H196" s="49">
        <f t="shared" si="27"/>
        <v>83000</v>
      </c>
      <c r="I196" s="49">
        <f t="shared" si="27"/>
        <v>-83000</v>
      </c>
      <c r="J196" s="49">
        <f t="shared" si="27"/>
        <v>0</v>
      </c>
      <c r="K196" s="49">
        <f t="shared" si="27"/>
        <v>0</v>
      </c>
      <c r="L196" s="49">
        <f t="shared" si="27"/>
        <v>0</v>
      </c>
      <c r="M196" s="49">
        <f t="shared" si="27"/>
        <v>0</v>
      </c>
      <c r="N196" s="49">
        <f t="shared" si="27"/>
        <v>14329897</v>
      </c>
      <c r="O196" s="49">
        <f>SUM(O189:O195)</f>
        <v>9080767</v>
      </c>
      <c r="P196" s="49">
        <f>SUM(P189:P195)</f>
        <v>5249130</v>
      </c>
    </row>
    <row r="197" spans="1:17" x14ac:dyDescent="0.25">
      <c r="A197" s="204"/>
      <c r="B197" s="185" t="s">
        <v>17</v>
      </c>
      <c r="C197" s="2" t="s">
        <v>39</v>
      </c>
      <c r="D197" s="24">
        <v>54668482</v>
      </c>
      <c r="E197" s="28">
        <f>-80000-30000-80518</f>
        <v>-190518</v>
      </c>
      <c r="F197" s="24"/>
      <c r="G197" s="24"/>
      <c r="H197" s="24"/>
      <c r="I197" s="24"/>
      <c r="J197" s="24"/>
      <c r="K197" s="24"/>
      <c r="L197" s="24"/>
      <c r="M197" s="24"/>
      <c r="N197" s="24">
        <f t="shared" ref="N197:N204" si="28">D197+E197+F197+H197+I197+K197+J197</f>
        <v>54477964</v>
      </c>
      <c r="O197" s="33">
        <v>32060661</v>
      </c>
      <c r="P197" s="14">
        <f t="shared" ref="P197:P204" si="29">N197-O197</f>
        <v>22417303</v>
      </c>
    </row>
    <row r="198" spans="1:17" x14ac:dyDescent="0.25">
      <c r="A198" s="204"/>
      <c r="B198" s="196"/>
      <c r="C198" s="2" t="s">
        <v>62</v>
      </c>
      <c r="D198" s="24">
        <v>975000</v>
      </c>
      <c r="E198" s="28"/>
      <c r="F198" s="24"/>
      <c r="G198" s="24"/>
      <c r="H198" s="24"/>
      <c r="I198" s="24"/>
      <c r="J198" s="24"/>
      <c r="K198" s="24"/>
      <c r="L198" s="24"/>
      <c r="M198" s="24"/>
      <c r="N198" s="24">
        <f t="shared" si="28"/>
        <v>975000</v>
      </c>
      <c r="O198" s="33">
        <v>975000</v>
      </c>
      <c r="P198" s="14">
        <f t="shared" si="29"/>
        <v>0</v>
      </c>
    </row>
    <row r="199" spans="1:17" x14ac:dyDescent="0.25">
      <c r="A199" s="204"/>
      <c r="B199" s="196"/>
      <c r="C199" s="2" t="s">
        <v>46</v>
      </c>
      <c r="D199" s="24">
        <v>2225000</v>
      </c>
      <c r="E199" s="28"/>
      <c r="F199" s="24"/>
      <c r="G199" s="24"/>
      <c r="H199" s="24"/>
      <c r="I199" s="24"/>
      <c r="J199" s="24"/>
      <c r="K199" s="24"/>
      <c r="L199" s="24"/>
      <c r="M199" s="24"/>
      <c r="N199" s="24">
        <f t="shared" si="28"/>
        <v>2225000</v>
      </c>
      <c r="O199" s="33">
        <v>1017759</v>
      </c>
      <c r="P199" s="14">
        <f t="shared" si="29"/>
        <v>1207241</v>
      </c>
    </row>
    <row r="200" spans="1:17" x14ac:dyDescent="0.25">
      <c r="A200" s="204"/>
      <c r="B200" s="196"/>
      <c r="C200" s="2" t="s">
        <v>47</v>
      </c>
      <c r="D200" s="24">
        <v>115000</v>
      </c>
      <c r="E200" s="28">
        <v>-102650</v>
      </c>
      <c r="F200" s="24"/>
      <c r="G200" s="24"/>
      <c r="H200" s="24"/>
      <c r="I200" s="24"/>
      <c r="J200" s="24"/>
      <c r="K200" s="24"/>
      <c r="L200" s="24"/>
      <c r="M200" s="24"/>
      <c r="N200" s="24">
        <f t="shared" si="28"/>
        <v>12350</v>
      </c>
      <c r="O200" s="33">
        <v>0</v>
      </c>
      <c r="P200" s="14">
        <f t="shared" si="29"/>
        <v>12350</v>
      </c>
    </row>
    <row r="201" spans="1:17" x14ac:dyDescent="0.25">
      <c r="A201" s="204"/>
      <c r="B201" s="196"/>
      <c r="C201" s="2" t="s">
        <v>48</v>
      </c>
      <c r="D201" s="24">
        <v>372000</v>
      </c>
      <c r="E201" s="28"/>
      <c r="F201" s="24"/>
      <c r="G201" s="24"/>
      <c r="H201" s="24"/>
      <c r="I201" s="24"/>
      <c r="J201" s="24"/>
      <c r="K201" s="24"/>
      <c r="L201" s="24"/>
      <c r="M201" s="24"/>
      <c r="N201" s="24">
        <f t="shared" si="28"/>
        <v>372000</v>
      </c>
      <c r="O201" s="33">
        <v>82538</v>
      </c>
      <c r="P201" s="14">
        <f t="shared" si="29"/>
        <v>289462</v>
      </c>
    </row>
    <row r="202" spans="1:17" x14ac:dyDescent="0.25">
      <c r="A202" s="204"/>
      <c r="B202" s="196"/>
      <c r="C202" s="2" t="s">
        <v>49</v>
      </c>
      <c r="D202" s="24">
        <v>268000</v>
      </c>
      <c r="E202" s="28"/>
      <c r="F202" s="24"/>
      <c r="G202" s="24"/>
      <c r="H202" s="24"/>
      <c r="I202" s="24"/>
      <c r="J202" s="24"/>
      <c r="K202" s="24"/>
      <c r="L202" s="24"/>
      <c r="M202" s="24"/>
      <c r="N202" s="24">
        <f t="shared" si="28"/>
        <v>268000</v>
      </c>
      <c r="O202" s="33">
        <v>122000</v>
      </c>
      <c r="P202" s="14">
        <f t="shared" si="29"/>
        <v>146000</v>
      </c>
    </row>
    <row r="203" spans="1:17" x14ac:dyDescent="0.25">
      <c r="A203" s="204"/>
      <c r="B203" s="196"/>
      <c r="C203" s="2" t="s">
        <v>50</v>
      </c>
      <c r="D203" s="24">
        <v>1348999</v>
      </c>
      <c r="E203" s="28">
        <f>80000+30000+80518</f>
        <v>190518</v>
      </c>
      <c r="F203" s="28"/>
      <c r="G203" s="28"/>
      <c r="H203" s="24"/>
      <c r="I203" s="24"/>
      <c r="J203" s="24"/>
      <c r="K203" s="24"/>
      <c r="L203" s="24"/>
      <c r="M203" s="24"/>
      <c r="N203" s="24">
        <f t="shared" si="28"/>
        <v>1539517</v>
      </c>
      <c r="O203" s="33">
        <v>853632</v>
      </c>
      <c r="P203" s="21">
        <f t="shared" si="29"/>
        <v>685885</v>
      </c>
    </row>
    <row r="204" spans="1:17" x14ac:dyDescent="0.25">
      <c r="A204" s="204"/>
      <c r="B204" s="196"/>
      <c r="C204" s="2" t="s">
        <v>51</v>
      </c>
      <c r="D204" s="24">
        <v>80000</v>
      </c>
      <c r="E204" s="24"/>
      <c r="F204" s="24"/>
      <c r="G204" s="24"/>
      <c r="H204" s="24"/>
      <c r="I204" s="24"/>
      <c r="J204" s="24"/>
      <c r="K204" s="24"/>
      <c r="L204" s="24"/>
      <c r="M204" s="24"/>
      <c r="N204" s="24">
        <f t="shared" si="28"/>
        <v>80000</v>
      </c>
      <c r="O204" s="33">
        <v>0</v>
      </c>
      <c r="P204" s="14">
        <f t="shared" si="29"/>
        <v>80000</v>
      </c>
    </row>
    <row r="205" spans="1:17" x14ac:dyDescent="0.25">
      <c r="A205" s="204"/>
      <c r="B205" s="196"/>
      <c r="C205" s="6" t="s">
        <v>40</v>
      </c>
      <c r="D205" s="95">
        <f>SUM(D197:D204)</f>
        <v>60052481</v>
      </c>
      <c r="E205" s="95">
        <f t="shared" ref="E205:P205" si="30">SUM(E197:E204)</f>
        <v>-102650</v>
      </c>
      <c r="F205" s="95">
        <f t="shared" si="30"/>
        <v>0</v>
      </c>
      <c r="G205" s="95"/>
      <c r="H205" s="95">
        <f t="shared" si="30"/>
        <v>0</v>
      </c>
      <c r="I205" s="95">
        <f t="shared" si="30"/>
        <v>0</v>
      </c>
      <c r="J205" s="95">
        <f t="shared" si="30"/>
        <v>0</v>
      </c>
      <c r="K205" s="95">
        <f t="shared" si="30"/>
        <v>0</v>
      </c>
      <c r="L205" s="95">
        <f t="shared" si="30"/>
        <v>0</v>
      </c>
      <c r="M205" s="95">
        <f t="shared" si="30"/>
        <v>0</v>
      </c>
      <c r="N205" s="95">
        <f t="shared" si="30"/>
        <v>59949831</v>
      </c>
      <c r="O205" s="49">
        <f t="shared" si="30"/>
        <v>35111590</v>
      </c>
      <c r="P205" s="26">
        <f t="shared" si="30"/>
        <v>24838241</v>
      </c>
    </row>
    <row r="206" spans="1:17" x14ac:dyDescent="0.25">
      <c r="A206" s="204"/>
      <c r="B206" s="196"/>
      <c r="C206" s="57" t="s">
        <v>41</v>
      </c>
      <c r="D206" s="96">
        <v>10607889</v>
      </c>
      <c r="E206" s="96"/>
      <c r="F206" s="96"/>
      <c r="G206" s="96"/>
      <c r="H206" s="96"/>
      <c r="I206" s="96"/>
      <c r="J206" s="96"/>
      <c r="K206" s="96"/>
      <c r="L206" s="96"/>
      <c r="M206" s="96"/>
      <c r="N206" s="97">
        <f>D206+E206+F206+H206+I206+K206</f>
        <v>10607889</v>
      </c>
      <c r="O206" s="129">
        <v>6061291</v>
      </c>
      <c r="P206" s="55">
        <f t="shared" ref="P206:P219" si="31">N206-O206</f>
        <v>4546598</v>
      </c>
    </row>
    <row r="207" spans="1:17" x14ac:dyDescent="0.25">
      <c r="A207" s="204"/>
      <c r="B207" s="196"/>
      <c r="C207" s="2" t="s">
        <v>42</v>
      </c>
      <c r="D207" s="24">
        <v>117125</v>
      </c>
      <c r="E207" s="24"/>
      <c r="F207" s="24"/>
      <c r="G207" s="24"/>
      <c r="H207" s="24"/>
      <c r="I207" s="24"/>
      <c r="J207" s="24"/>
      <c r="K207" s="24"/>
      <c r="L207" s="24"/>
      <c r="M207" s="24"/>
      <c r="N207" s="24">
        <f t="shared" ref="N207:N219" si="32">D207+E207+F207+H207+I207+K207+J207</f>
        <v>117125</v>
      </c>
      <c r="O207" s="33">
        <v>117125</v>
      </c>
      <c r="P207" s="21">
        <f t="shared" si="31"/>
        <v>0</v>
      </c>
    </row>
    <row r="208" spans="1:17" s="52" customFormat="1" x14ac:dyDescent="0.25">
      <c r="A208" s="204"/>
      <c r="B208" s="196"/>
      <c r="C208" s="79" t="s">
        <v>52</v>
      </c>
      <c r="D208" s="50">
        <v>70000</v>
      </c>
      <c r="E208" s="51">
        <f>-950-2000</f>
        <v>-2950</v>
      </c>
      <c r="F208" s="50"/>
      <c r="G208" s="50"/>
      <c r="H208" s="50"/>
      <c r="I208" s="50"/>
      <c r="J208" s="50"/>
      <c r="K208" s="50"/>
      <c r="L208" s="50"/>
      <c r="M208" s="50"/>
      <c r="N208" s="50">
        <f t="shared" si="32"/>
        <v>67050</v>
      </c>
      <c r="O208" s="33">
        <v>65795</v>
      </c>
      <c r="P208" s="32">
        <f t="shared" si="31"/>
        <v>1255</v>
      </c>
      <c r="Q208" s="80"/>
    </row>
    <row r="209" spans="1:17" x14ac:dyDescent="0.25">
      <c r="A209" s="204"/>
      <c r="B209" s="196"/>
      <c r="C209" s="2" t="s">
        <v>53</v>
      </c>
      <c r="D209" s="24">
        <v>108700</v>
      </c>
      <c r="E209" s="28">
        <f>950+2000</f>
        <v>2950</v>
      </c>
      <c r="F209" s="24"/>
      <c r="G209" s="24"/>
      <c r="H209" s="24"/>
      <c r="I209" s="24"/>
      <c r="J209" s="24"/>
      <c r="K209" s="24"/>
      <c r="L209" s="24"/>
      <c r="M209" s="24"/>
      <c r="N209" s="24">
        <f t="shared" si="32"/>
        <v>111650</v>
      </c>
      <c r="O209" s="33">
        <v>75690</v>
      </c>
      <c r="P209" s="21">
        <f t="shared" si="31"/>
        <v>35960</v>
      </c>
    </row>
    <row r="210" spans="1:17" x14ac:dyDescent="0.25">
      <c r="A210" s="204"/>
      <c r="B210" s="196"/>
      <c r="C210" s="2" t="s">
        <v>54</v>
      </c>
      <c r="D210" s="24">
        <v>308012</v>
      </c>
      <c r="E210" s="24"/>
      <c r="F210" s="24"/>
      <c r="G210" s="24"/>
      <c r="H210" s="24"/>
      <c r="I210" s="24"/>
      <c r="J210" s="24"/>
      <c r="K210" s="24"/>
      <c r="L210" s="24"/>
      <c r="M210" s="24"/>
      <c r="N210" s="24">
        <f t="shared" si="32"/>
        <v>308012</v>
      </c>
      <c r="O210" s="33">
        <v>149943</v>
      </c>
      <c r="P210" s="21">
        <f t="shared" si="31"/>
        <v>158069</v>
      </c>
    </row>
    <row r="211" spans="1:17" x14ac:dyDescent="0.25">
      <c r="A211" s="204"/>
      <c r="B211" s="196"/>
      <c r="C211" s="2" t="s">
        <v>55</v>
      </c>
      <c r="D211" s="24">
        <v>542726</v>
      </c>
      <c r="E211" s="24">
        <f>5000+50000</f>
        <v>55000</v>
      </c>
      <c r="F211" s="24"/>
      <c r="G211" s="24"/>
      <c r="H211" s="24"/>
      <c r="I211" s="24"/>
      <c r="J211" s="24"/>
      <c r="K211" s="24"/>
      <c r="L211" s="24"/>
      <c r="M211" s="24"/>
      <c r="N211" s="24">
        <f t="shared" si="32"/>
        <v>597726</v>
      </c>
      <c r="O211" s="33">
        <v>261145</v>
      </c>
      <c r="P211" s="21">
        <f t="shared" si="31"/>
        <v>336581</v>
      </c>
    </row>
    <row r="212" spans="1:17" x14ac:dyDescent="0.25">
      <c r="A212" s="204"/>
      <c r="B212" s="196"/>
      <c r="C212" s="2" t="s">
        <v>60</v>
      </c>
      <c r="D212" s="24">
        <v>42210</v>
      </c>
      <c r="E212" s="24">
        <v>30000</v>
      </c>
      <c r="F212" s="24"/>
      <c r="G212" s="24"/>
      <c r="H212" s="24"/>
      <c r="I212" s="24"/>
      <c r="J212" s="24"/>
      <c r="K212" s="24"/>
      <c r="L212" s="24"/>
      <c r="M212" s="24"/>
      <c r="N212" s="24">
        <f t="shared" si="32"/>
        <v>72210</v>
      </c>
      <c r="O212" s="33">
        <v>42210</v>
      </c>
      <c r="P212" s="21">
        <f t="shared" si="31"/>
        <v>30000</v>
      </c>
    </row>
    <row r="213" spans="1:17" x14ac:dyDescent="0.25">
      <c r="A213" s="204"/>
      <c r="B213" s="196"/>
      <c r="C213" s="2" t="s">
        <v>56</v>
      </c>
      <c r="D213" s="24">
        <v>1512369</v>
      </c>
      <c r="E213" s="24">
        <f>10916+4672+18558</f>
        <v>34146</v>
      </c>
      <c r="F213" s="24"/>
      <c r="G213" s="24"/>
      <c r="H213" s="24"/>
      <c r="I213" s="24"/>
      <c r="J213" s="24"/>
      <c r="K213" s="24"/>
      <c r="L213" s="24"/>
      <c r="M213" s="24"/>
      <c r="N213" s="24">
        <f t="shared" si="32"/>
        <v>1546515</v>
      </c>
      <c r="O213" s="33">
        <v>1546515</v>
      </c>
      <c r="P213" s="21">
        <f t="shared" si="31"/>
        <v>0</v>
      </c>
    </row>
    <row r="214" spans="1:17" x14ac:dyDescent="0.25">
      <c r="A214" s="204"/>
      <c r="B214" s="196"/>
      <c r="C214" s="2" t="s">
        <v>63</v>
      </c>
      <c r="D214" s="24">
        <v>10000</v>
      </c>
      <c r="E214" s="24">
        <v>1206</v>
      </c>
      <c r="F214" s="24"/>
      <c r="G214" s="24"/>
      <c r="H214" s="24"/>
      <c r="I214" s="24"/>
      <c r="J214" s="24"/>
      <c r="K214" s="24"/>
      <c r="L214" s="24"/>
      <c r="M214" s="24"/>
      <c r="N214" s="24">
        <f t="shared" si="32"/>
        <v>11206</v>
      </c>
      <c r="O214" s="33">
        <v>5532</v>
      </c>
      <c r="P214" s="21">
        <f t="shared" si="31"/>
        <v>5674</v>
      </c>
    </row>
    <row r="215" spans="1:17" x14ac:dyDescent="0.25">
      <c r="A215" s="204"/>
      <c r="B215" s="196"/>
      <c r="C215" s="2" t="s">
        <v>43</v>
      </c>
      <c r="D215" s="24">
        <v>166200</v>
      </c>
      <c r="E215" s="24"/>
      <c r="F215" s="24"/>
      <c r="G215" s="24"/>
      <c r="H215" s="24"/>
      <c r="I215" s="24"/>
      <c r="J215" s="24"/>
      <c r="K215" s="24"/>
      <c r="L215" s="24"/>
      <c r="M215" s="24"/>
      <c r="N215" s="24">
        <f t="shared" si="32"/>
        <v>166200</v>
      </c>
      <c r="O215" s="33">
        <v>78550</v>
      </c>
      <c r="P215" s="21">
        <f t="shared" si="31"/>
        <v>87650</v>
      </c>
    </row>
    <row r="216" spans="1:17" x14ac:dyDescent="0.25">
      <c r="A216" s="204"/>
      <c r="B216" s="196"/>
      <c r="C216" s="2" t="s">
        <v>57</v>
      </c>
      <c r="D216" s="24">
        <v>1177026</v>
      </c>
      <c r="E216" s="24">
        <f>-5000-50000-1206</f>
        <v>-56206</v>
      </c>
      <c r="F216" s="24"/>
      <c r="G216" s="24"/>
      <c r="H216" s="24">
        <v>3377953</v>
      </c>
      <c r="I216" s="24">
        <v>-3377953</v>
      </c>
      <c r="J216" s="24"/>
      <c r="K216" s="24"/>
      <c r="L216" s="24"/>
      <c r="M216" s="24"/>
      <c r="N216" s="24">
        <f t="shared" si="32"/>
        <v>1120820</v>
      </c>
      <c r="O216" s="32">
        <v>932366</v>
      </c>
      <c r="P216" s="21">
        <f t="shared" si="31"/>
        <v>188454</v>
      </c>
    </row>
    <row r="217" spans="1:17" x14ac:dyDescent="0.25">
      <c r="A217" s="204"/>
      <c r="B217" s="196"/>
      <c r="C217" s="2" t="s">
        <v>58</v>
      </c>
      <c r="D217" s="24">
        <v>160000</v>
      </c>
      <c r="E217" s="24"/>
      <c r="F217" s="24"/>
      <c r="G217" s="24"/>
      <c r="H217" s="24"/>
      <c r="I217" s="24"/>
      <c r="J217" s="24"/>
      <c r="K217" s="24"/>
      <c r="L217" s="24"/>
      <c r="M217" s="24"/>
      <c r="N217" s="24">
        <f t="shared" si="32"/>
        <v>160000</v>
      </c>
      <c r="O217" s="33">
        <v>68190</v>
      </c>
      <c r="P217" s="21">
        <f t="shared" si="31"/>
        <v>91810</v>
      </c>
    </row>
    <row r="218" spans="1:17" x14ac:dyDescent="0.25">
      <c r="A218" s="204"/>
      <c r="B218" s="196"/>
      <c r="C218" s="2" t="s">
        <v>44</v>
      </c>
      <c r="D218" s="24">
        <v>529224</v>
      </c>
      <c r="E218" s="24">
        <f>33937+2502</f>
        <v>36439</v>
      </c>
      <c r="F218" s="24"/>
      <c r="G218" s="24"/>
      <c r="H218" s="24">
        <v>912047</v>
      </c>
      <c r="I218" s="24">
        <v>-912047</v>
      </c>
      <c r="J218" s="24"/>
      <c r="K218" s="24"/>
      <c r="L218" s="24"/>
      <c r="M218" s="24"/>
      <c r="N218" s="24">
        <f t="shared" si="32"/>
        <v>565663</v>
      </c>
      <c r="O218" s="33">
        <v>556840</v>
      </c>
      <c r="P218" s="21">
        <f t="shared" si="31"/>
        <v>8823</v>
      </c>
    </row>
    <row r="219" spans="1:17" x14ac:dyDescent="0.25">
      <c r="A219" s="204"/>
      <c r="B219" s="196"/>
      <c r="C219" s="2" t="s">
        <v>59</v>
      </c>
      <c r="D219" s="24">
        <v>13000</v>
      </c>
      <c r="E219" s="24"/>
      <c r="F219" s="28"/>
      <c r="G219" s="28"/>
      <c r="H219" s="24"/>
      <c r="I219" s="24"/>
      <c r="J219" s="24"/>
      <c r="K219" s="24"/>
      <c r="L219" s="24"/>
      <c r="M219" s="24"/>
      <c r="N219" s="24">
        <f t="shared" si="32"/>
        <v>13000</v>
      </c>
      <c r="O219" s="33">
        <v>6094</v>
      </c>
      <c r="P219" s="14">
        <f t="shared" si="31"/>
        <v>6906</v>
      </c>
    </row>
    <row r="220" spans="1:17" x14ac:dyDescent="0.25">
      <c r="A220" s="204"/>
      <c r="B220" s="196"/>
      <c r="C220" s="6" t="s">
        <v>45</v>
      </c>
      <c r="D220" s="18">
        <f>SUM(D207:D219)</f>
        <v>4756592</v>
      </c>
      <c r="E220" s="95">
        <f t="shared" ref="E220:P220" si="33">SUM(E207:E219)</f>
        <v>100585</v>
      </c>
      <c r="F220" s="95">
        <f t="shared" si="33"/>
        <v>0</v>
      </c>
      <c r="G220" s="95"/>
      <c r="H220" s="95">
        <f t="shared" si="33"/>
        <v>4290000</v>
      </c>
      <c r="I220" s="95">
        <f t="shared" si="33"/>
        <v>-4290000</v>
      </c>
      <c r="J220" s="95">
        <f t="shared" si="33"/>
        <v>0</v>
      </c>
      <c r="K220" s="95">
        <f t="shared" si="33"/>
        <v>0</v>
      </c>
      <c r="L220" s="95">
        <f t="shared" si="33"/>
        <v>0</v>
      </c>
      <c r="M220" s="95">
        <f t="shared" si="33"/>
        <v>0</v>
      </c>
      <c r="N220" s="95">
        <f t="shared" si="33"/>
        <v>4857177</v>
      </c>
      <c r="O220" s="49">
        <f t="shared" si="33"/>
        <v>3905995</v>
      </c>
      <c r="P220" s="26">
        <f t="shared" si="33"/>
        <v>951182</v>
      </c>
    </row>
    <row r="221" spans="1:17" s="42" customFormat="1" x14ac:dyDescent="0.25">
      <c r="A221" s="204"/>
      <c r="B221" s="196"/>
      <c r="C221" s="41" t="s">
        <v>143</v>
      </c>
      <c r="D221" s="98">
        <v>0</v>
      </c>
      <c r="E221" s="98"/>
      <c r="F221" s="98"/>
      <c r="G221" s="98"/>
      <c r="H221" s="98"/>
      <c r="I221" s="98"/>
      <c r="J221" s="98"/>
      <c r="K221" s="98"/>
      <c r="L221" s="98"/>
      <c r="M221" s="98"/>
      <c r="N221" s="24">
        <f>D221+E221+F221+H221+I221+K221+J221</f>
        <v>0</v>
      </c>
      <c r="O221" s="130">
        <v>0</v>
      </c>
      <c r="P221" s="14">
        <f t="shared" ref="P221:P223" si="34">N221-O221</f>
        <v>0</v>
      </c>
      <c r="Q221" s="44"/>
    </row>
    <row r="222" spans="1:17" x14ac:dyDescent="0.25">
      <c r="A222" s="204"/>
      <c r="B222" s="196"/>
      <c r="C222" s="2" t="s">
        <v>111</v>
      </c>
      <c r="D222" s="24">
        <v>100000</v>
      </c>
      <c r="E222" s="28"/>
      <c r="F222" s="24"/>
      <c r="G222" s="24"/>
      <c r="H222" s="24"/>
      <c r="I222" s="24"/>
      <c r="J222" s="24"/>
      <c r="K222" s="24"/>
      <c r="L222" s="24"/>
      <c r="M222" s="24"/>
      <c r="N222" s="24">
        <f>D222+E222+F222+H222+I222+K222+J222</f>
        <v>100000</v>
      </c>
      <c r="O222" s="33">
        <v>0</v>
      </c>
      <c r="P222" s="14">
        <f t="shared" si="34"/>
        <v>100000</v>
      </c>
    </row>
    <row r="223" spans="1:17" x14ac:dyDescent="0.25">
      <c r="A223" s="204"/>
      <c r="B223" s="196"/>
      <c r="C223" s="2" t="s">
        <v>112</v>
      </c>
      <c r="D223" s="24">
        <v>27000</v>
      </c>
      <c r="E223" s="24"/>
      <c r="F223" s="24"/>
      <c r="G223" s="24"/>
      <c r="H223" s="24"/>
      <c r="I223" s="24"/>
      <c r="J223" s="24"/>
      <c r="K223" s="24"/>
      <c r="L223" s="24"/>
      <c r="M223" s="24"/>
      <c r="N223" s="24">
        <f>D223+E223+F223+H223+I223+K223+J223</f>
        <v>27000</v>
      </c>
      <c r="O223" s="33">
        <v>0</v>
      </c>
      <c r="P223" s="14">
        <f t="shared" si="34"/>
        <v>27000</v>
      </c>
    </row>
    <row r="224" spans="1:17" x14ac:dyDescent="0.25">
      <c r="A224" s="204"/>
      <c r="B224" s="197"/>
      <c r="C224" s="6" t="s">
        <v>113</v>
      </c>
      <c r="D224" s="95">
        <f>SUM(D221:D223)</f>
        <v>127000</v>
      </c>
      <c r="E224" s="95">
        <f t="shared" ref="E224:P224" si="35">SUM(E221:E223)</f>
        <v>0</v>
      </c>
      <c r="F224" s="95">
        <f t="shared" si="35"/>
        <v>0</v>
      </c>
      <c r="G224" s="95"/>
      <c r="H224" s="95">
        <f t="shared" si="35"/>
        <v>0</v>
      </c>
      <c r="I224" s="95">
        <f t="shared" si="35"/>
        <v>0</v>
      </c>
      <c r="J224" s="95">
        <f t="shared" si="35"/>
        <v>0</v>
      </c>
      <c r="K224" s="95">
        <f t="shared" si="35"/>
        <v>0</v>
      </c>
      <c r="L224" s="95">
        <f t="shared" si="35"/>
        <v>0</v>
      </c>
      <c r="M224" s="95">
        <f t="shared" si="35"/>
        <v>0</v>
      </c>
      <c r="N224" s="95">
        <f t="shared" si="35"/>
        <v>127000</v>
      </c>
      <c r="O224" s="49">
        <f t="shared" si="35"/>
        <v>0</v>
      </c>
      <c r="P224" s="18">
        <f t="shared" si="35"/>
        <v>127000</v>
      </c>
    </row>
    <row r="225" spans="1:16" x14ac:dyDescent="0.25">
      <c r="A225" s="204"/>
      <c r="B225" s="184" t="s">
        <v>20</v>
      </c>
      <c r="C225" s="2" t="s">
        <v>64</v>
      </c>
      <c r="D225" s="24">
        <v>1730000</v>
      </c>
      <c r="E225" s="24"/>
      <c r="F225" s="24"/>
      <c r="G225" s="24"/>
      <c r="H225" s="24"/>
      <c r="I225" s="24"/>
      <c r="J225" s="24"/>
      <c r="K225" s="24"/>
      <c r="L225" s="24"/>
      <c r="M225" s="24"/>
      <c r="N225" s="24">
        <f>D225+E225+F225+H225+I225+K225+J225</f>
        <v>1730000</v>
      </c>
      <c r="O225" s="33">
        <v>1094311</v>
      </c>
      <c r="P225" s="14">
        <f t="shared" ref="P225:P226" si="36">N225-O225</f>
        <v>635689</v>
      </c>
    </row>
    <row r="226" spans="1:16" x14ac:dyDescent="0.25">
      <c r="A226" s="204"/>
      <c r="B226" s="184"/>
      <c r="C226" s="2" t="s">
        <v>51</v>
      </c>
      <c r="D226" s="24">
        <v>720000</v>
      </c>
      <c r="E226" s="24"/>
      <c r="F226" s="24"/>
      <c r="G226" s="24"/>
      <c r="H226" s="24"/>
      <c r="I226" s="24"/>
      <c r="J226" s="24"/>
      <c r="K226" s="24"/>
      <c r="L226" s="24"/>
      <c r="M226" s="24"/>
      <c r="N226" s="24">
        <f>D226+E226+F226+H226+I226+K226+J226</f>
        <v>720000</v>
      </c>
      <c r="O226" s="33">
        <v>480000</v>
      </c>
      <c r="P226" s="14">
        <f t="shared" si="36"/>
        <v>240000</v>
      </c>
    </row>
    <row r="227" spans="1:16" x14ac:dyDescent="0.25">
      <c r="A227" s="204"/>
      <c r="B227" s="184"/>
      <c r="C227" s="6" t="s">
        <v>40</v>
      </c>
      <c r="D227" s="95">
        <f>SUM(D225:D226)</f>
        <v>2450000</v>
      </c>
      <c r="E227" s="95">
        <f t="shared" ref="E227:P227" si="37">SUM(E225:E226)</f>
        <v>0</v>
      </c>
      <c r="F227" s="95">
        <f t="shared" si="37"/>
        <v>0</v>
      </c>
      <c r="G227" s="95"/>
      <c r="H227" s="95">
        <f t="shared" si="37"/>
        <v>0</v>
      </c>
      <c r="I227" s="95">
        <f t="shared" si="37"/>
        <v>0</v>
      </c>
      <c r="J227" s="95">
        <f t="shared" si="37"/>
        <v>0</v>
      </c>
      <c r="K227" s="95">
        <f t="shared" si="37"/>
        <v>0</v>
      </c>
      <c r="L227" s="95">
        <f t="shared" si="37"/>
        <v>0</v>
      </c>
      <c r="M227" s="95">
        <f t="shared" si="37"/>
        <v>0</v>
      </c>
      <c r="N227" s="95">
        <f t="shared" si="37"/>
        <v>2450000</v>
      </c>
      <c r="O227" s="49">
        <f t="shared" si="37"/>
        <v>1574311</v>
      </c>
      <c r="P227" s="26">
        <f t="shared" si="37"/>
        <v>875689</v>
      </c>
    </row>
    <row r="228" spans="1:16" x14ac:dyDescent="0.25">
      <c r="A228" s="204"/>
      <c r="B228" s="184"/>
      <c r="C228" s="57" t="s">
        <v>41</v>
      </c>
      <c r="D228" s="96">
        <v>304668</v>
      </c>
      <c r="E228" s="96"/>
      <c r="F228" s="96"/>
      <c r="G228" s="96"/>
      <c r="H228" s="96"/>
      <c r="I228" s="96"/>
      <c r="J228" s="96"/>
      <c r="K228" s="96"/>
      <c r="L228" s="96"/>
      <c r="M228" s="96"/>
      <c r="N228" s="97">
        <f>D228+E228+F228+H228+I228+K228</f>
        <v>304668</v>
      </c>
      <c r="O228" s="129">
        <v>210771</v>
      </c>
      <c r="P228" s="55">
        <f t="shared" ref="P228:P236" si="38">N228-O228</f>
        <v>93897</v>
      </c>
    </row>
    <row r="229" spans="1:16" x14ac:dyDescent="0.25">
      <c r="A229" s="204"/>
      <c r="B229" s="184"/>
      <c r="C229" s="2" t="s">
        <v>42</v>
      </c>
      <c r="D229" s="24">
        <v>45000</v>
      </c>
      <c r="E229" s="24">
        <v>-45000</v>
      </c>
      <c r="F229" s="24"/>
      <c r="G229" s="24"/>
      <c r="H229" s="24"/>
      <c r="I229" s="24"/>
      <c r="J229" s="24"/>
      <c r="K229" s="24"/>
      <c r="L229" s="24"/>
      <c r="M229" s="24"/>
      <c r="N229" s="24">
        <f t="shared" ref="N229:N236" si="39">D229+E229+F229+H229+I229+K229+J229</f>
        <v>0</v>
      </c>
      <c r="O229" s="33">
        <v>0</v>
      </c>
      <c r="P229" s="14">
        <f t="shared" si="38"/>
        <v>0</v>
      </c>
    </row>
    <row r="230" spans="1:16" x14ac:dyDescent="0.25">
      <c r="A230" s="204"/>
      <c r="B230" s="184"/>
      <c r="C230" s="2" t="s">
        <v>54</v>
      </c>
      <c r="D230" s="24">
        <v>28800</v>
      </c>
      <c r="E230" s="24"/>
      <c r="F230" s="24"/>
      <c r="G230" s="24"/>
      <c r="H230" s="24"/>
      <c r="I230" s="24"/>
      <c r="J230" s="24"/>
      <c r="K230" s="24"/>
      <c r="L230" s="24"/>
      <c r="M230" s="24"/>
      <c r="N230" s="24">
        <f t="shared" si="39"/>
        <v>28800</v>
      </c>
      <c r="O230" s="33">
        <v>12601</v>
      </c>
      <c r="P230" s="14">
        <f t="shared" si="38"/>
        <v>16199</v>
      </c>
    </row>
    <row r="231" spans="1:16" x14ac:dyDescent="0.25">
      <c r="A231" s="204"/>
      <c r="B231" s="184"/>
      <c r="C231" s="2" t="s">
        <v>61</v>
      </c>
      <c r="D231" s="24">
        <v>1910400</v>
      </c>
      <c r="E231" s="24"/>
      <c r="F231" s="24"/>
      <c r="G231" s="24"/>
      <c r="H231" s="24"/>
      <c r="I231" s="24"/>
      <c r="J231" s="24"/>
      <c r="K231" s="24"/>
      <c r="L231" s="24"/>
      <c r="M231" s="24"/>
      <c r="N231" s="24">
        <f t="shared" si="39"/>
        <v>1910400</v>
      </c>
      <c r="O231" s="33">
        <v>1077900</v>
      </c>
      <c r="P231" s="14">
        <f t="shared" si="38"/>
        <v>832500</v>
      </c>
    </row>
    <row r="232" spans="1:16" x14ac:dyDescent="0.25">
      <c r="A232" s="204"/>
      <c r="B232" s="184"/>
      <c r="C232" s="2" t="s">
        <v>56</v>
      </c>
      <c r="D232" s="24">
        <v>229000</v>
      </c>
      <c r="E232" s="24">
        <v>16000</v>
      </c>
      <c r="F232" s="24"/>
      <c r="G232" s="24"/>
      <c r="H232" s="24"/>
      <c r="I232" s="24"/>
      <c r="J232" s="24"/>
      <c r="K232" s="24"/>
      <c r="L232" s="24"/>
      <c r="M232" s="24"/>
      <c r="N232" s="24">
        <f t="shared" si="39"/>
        <v>245000</v>
      </c>
      <c r="O232" s="33">
        <v>245000</v>
      </c>
      <c r="P232" s="21">
        <f t="shared" si="38"/>
        <v>0</v>
      </c>
    </row>
    <row r="233" spans="1:16" x14ac:dyDescent="0.25">
      <c r="A233" s="204"/>
      <c r="B233" s="184"/>
      <c r="C233" s="2" t="s">
        <v>63</v>
      </c>
      <c r="D233" s="24">
        <v>45000</v>
      </c>
      <c r="E233" s="24">
        <v>5000</v>
      </c>
      <c r="F233" s="24"/>
      <c r="G233" s="24"/>
      <c r="H233" s="24"/>
      <c r="I233" s="24"/>
      <c r="J233" s="24"/>
      <c r="K233" s="24"/>
      <c r="L233" s="24"/>
      <c r="M233" s="24"/>
      <c r="N233" s="24">
        <f t="shared" si="39"/>
        <v>50000</v>
      </c>
      <c r="O233" s="33">
        <v>46000</v>
      </c>
      <c r="P233" s="14">
        <f t="shared" si="38"/>
        <v>4000</v>
      </c>
    </row>
    <row r="234" spans="1:16" x14ac:dyDescent="0.25">
      <c r="A234" s="204"/>
      <c r="B234" s="184"/>
      <c r="C234" s="2" t="s">
        <v>57</v>
      </c>
      <c r="D234" s="24">
        <v>150000</v>
      </c>
      <c r="E234" s="24">
        <v>-5000</v>
      </c>
      <c r="F234" s="24"/>
      <c r="G234" s="24"/>
      <c r="H234" s="24"/>
      <c r="I234" s="24"/>
      <c r="J234" s="24"/>
      <c r="K234" s="24"/>
      <c r="L234" s="24"/>
      <c r="M234" s="24"/>
      <c r="N234" s="24">
        <f t="shared" si="39"/>
        <v>145000</v>
      </c>
      <c r="O234" s="33">
        <v>49000</v>
      </c>
      <c r="P234" s="14">
        <f t="shared" si="38"/>
        <v>96000</v>
      </c>
    </row>
    <row r="235" spans="1:16" x14ac:dyDescent="0.25">
      <c r="A235" s="204"/>
      <c r="B235" s="184"/>
      <c r="C235" s="2" t="s">
        <v>44</v>
      </c>
      <c r="D235" s="24">
        <v>651518</v>
      </c>
      <c r="E235" s="24"/>
      <c r="F235" s="24"/>
      <c r="G235" s="24"/>
      <c r="H235" s="24"/>
      <c r="I235" s="24"/>
      <c r="J235" s="24"/>
      <c r="K235" s="24"/>
      <c r="L235" s="24"/>
      <c r="M235" s="24"/>
      <c r="N235" s="24">
        <f t="shared" si="39"/>
        <v>651518</v>
      </c>
      <c r="O235" s="33">
        <v>385417</v>
      </c>
      <c r="P235" s="14">
        <f t="shared" si="38"/>
        <v>266101</v>
      </c>
    </row>
    <row r="236" spans="1:16" x14ac:dyDescent="0.25">
      <c r="A236" s="204"/>
      <c r="B236" s="184"/>
      <c r="C236" s="2" t="s">
        <v>59</v>
      </c>
      <c r="D236" s="24">
        <v>1000</v>
      </c>
      <c r="E236" s="24"/>
      <c r="F236" s="24"/>
      <c r="G236" s="24"/>
      <c r="H236" s="24"/>
      <c r="I236" s="24"/>
      <c r="J236" s="24"/>
      <c r="K236" s="24"/>
      <c r="L236" s="24"/>
      <c r="M236" s="24"/>
      <c r="N236" s="24">
        <f t="shared" si="39"/>
        <v>1000</v>
      </c>
      <c r="O236" s="33">
        <v>0</v>
      </c>
      <c r="P236" s="14">
        <f t="shared" si="38"/>
        <v>1000</v>
      </c>
    </row>
    <row r="237" spans="1:16" x14ac:dyDescent="0.25">
      <c r="A237" s="204"/>
      <c r="B237" s="184"/>
      <c r="C237" s="6" t="s">
        <v>45</v>
      </c>
      <c r="D237" s="95">
        <f>SUM(D229:D236)</f>
        <v>3060718</v>
      </c>
      <c r="E237" s="95">
        <f t="shared" ref="E237:P237" si="40">SUM(E229:E236)</f>
        <v>-29000</v>
      </c>
      <c r="F237" s="95">
        <f t="shared" si="40"/>
        <v>0</v>
      </c>
      <c r="G237" s="95"/>
      <c r="H237" s="95">
        <f t="shared" si="40"/>
        <v>0</v>
      </c>
      <c r="I237" s="95">
        <f t="shared" si="40"/>
        <v>0</v>
      </c>
      <c r="J237" s="95">
        <f t="shared" si="40"/>
        <v>0</v>
      </c>
      <c r="K237" s="95">
        <f t="shared" si="40"/>
        <v>0</v>
      </c>
      <c r="L237" s="95">
        <f t="shared" si="40"/>
        <v>0</v>
      </c>
      <c r="M237" s="95">
        <f t="shared" si="40"/>
        <v>0</v>
      </c>
      <c r="N237" s="95">
        <f t="shared" si="40"/>
        <v>3031718</v>
      </c>
      <c r="O237" s="49">
        <f t="shared" si="40"/>
        <v>1815918</v>
      </c>
      <c r="P237" s="26">
        <f t="shared" si="40"/>
        <v>1215800</v>
      </c>
    </row>
    <row r="238" spans="1:16" x14ac:dyDescent="0.25">
      <c r="A238" s="183" t="s">
        <v>77</v>
      </c>
      <c r="B238" s="185" t="s">
        <v>17</v>
      </c>
      <c r="C238" s="2" t="s">
        <v>39</v>
      </c>
      <c r="D238" s="28">
        <v>7507519</v>
      </c>
      <c r="E238" s="24"/>
      <c r="F238" s="24"/>
      <c r="G238" s="24"/>
      <c r="H238" s="24"/>
      <c r="I238" s="24"/>
      <c r="J238" s="24"/>
      <c r="K238" s="24"/>
      <c r="L238" s="28"/>
      <c r="M238" s="24"/>
      <c r="N238" s="24">
        <f t="shared" ref="N238:N257" si="41">D238+E238+F238+H238+I238+K238+J238+L238</f>
        <v>7507519</v>
      </c>
      <c r="O238" s="33">
        <v>4737436</v>
      </c>
      <c r="P238" s="14">
        <f t="shared" ref="P238:P257" si="42">N238-O238</f>
        <v>2770083</v>
      </c>
    </row>
    <row r="239" spans="1:16" x14ac:dyDescent="0.25">
      <c r="A239" s="195"/>
      <c r="B239" s="197"/>
      <c r="C239" s="2" t="s">
        <v>41</v>
      </c>
      <c r="D239" s="28">
        <v>1248869</v>
      </c>
      <c r="E239" s="24"/>
      <c r="F239" s="24"/>
      <c r="G239" s="24"/>
      <c r="H239" s="24"/>
      <c r="I239" s="24"/>
      <c r="J239" s="24"/>
      <c r="K239" s="24"/>
      <c r="L239" s="24"/>
      <c r="M239" s="24"/>
      <c r="N239" s="24">
        <f t="shared" si="41"/>
        <v>1248869</v>
      </c>
      <c r="O239" s="33">
        <v>815969</v>
      </c>
      <c r="P239" s="14">
        <f t="shared" si="42"/>
        <v>432900</v>
      </c>
    </row>
    <row r="240" spans="1:16" x14ac:dyDescent="0.25">
      <c r="A240" s="183" t="s">
        <v>78</v>
      </c>
      <c r="B240" s="185" t="s">
        <v>9</v>
      </c>
      <c r="C240" s="2" t="s">
        <v>39</v>
      </c>
      <c r="D240" s="28">
        <v>643341</v>
      </c>
      <c r="E240" s="24"/>
      <c r="F240" s="24"/>
      <c r="G240" s="24"/>
      <c r="H240" s="24"/>
      <c r="I240" s="24"/>
      <c r="J240" s="24"/>
      <c r="K240" s="24"/>
      <c r="L240" s="24"/>
      <c r="M240" s="24"/>
      <c r="N240" s="24">
        <f t="shared" si="41"/>
        <v>643341</v>
      </c>
      <c r="O240" s="33">
        <v>419630</v>
      </c>
      <c r="P240" s="14">
        <f t="shared" si="42"/>
        <v>223711</v>
      </c>
    </row>
    <row r="241" spans="1:16" x14ac:dyDescent="0.25">
      <c r="A241" s="194"/>
      <c r="B241" s="197"/>
      <c r="C241" s="2" t="s">
        <v>41</v>
      </c>
      <c r="D241" s="28">
        <v>106991</v>
      </c>
      <c r="E241" s="24"/>
      <c r="F241" s="24"/>
      <c r="G241" s="24"/>
      <c r="H241" s="24"/>
      <c r="I241" s="24"/>
      <c r="J241" s="24"/>
      <c r="K241" s="24"/>
      <c r="L241" s="24"/>
      <c r="M241" s="24"/>
      <c r="N241" s="24">
        <f t="shared" si="41"/>
        <v>106991</v>
      </c>
      <c r="O241" s="33">
        <v>72318</v>
      </c>
      <c r="P241" s="21">
        <f t="shared" si="42"/>
        <v>34673</v>
      </c>
    </row>
    <row r="242" spans="1:16" x14ac:dyDescent="0.25">
      <c r="A242" s="183" t="s">
        <v>79</v>
      </c>
      <c r="B242" s="185" t="s">
        <v>11</v>
      </c>
      <c r="C242" s="2" t="s">
        <v>39</v>
      </c>
      <c r="D242" s="28">
        <v>981133</v>
      </c>
      <c r="E242" s="24"/>
      <c r="F242" s="24"/>
      <c r="G242" s="24"/>
      <c r="H242" s="24"/>
      <c r="I242" s="24"/>
      <c r="J242" s="24"/>
      <c r="K242" s="24"/>
      <c r="L242" s="24"/>
      <c r="M242" s="24"/>
      <c r="N242" s="24">
        <f t="shared" si="41"/>
        <v>981133</v>
      </c>
      <c r="O242" s="33">
        <v>627309</v>
      </c>
      <c r="P242" s="14">
        <f t="shared" si="42"/>
        <v>353824</v>
      </c>
    </row>
    <row r="243" spans="1:16" x14ac:dyDescent="0.25">
      <c r="A243" s="195"/>
      <c r="B243" s="197"/>
      <c r="C243" s="2" t="s">
        <v>41</v>
      </c>
      <c r="D243" s="28">
        <v>162903</v>
      </c>
      <c r="E243" s="24"/>
      <c r="F243" s="24"/>
      <c r="G243" s="24"/>
      <c r="H243" s="24"/>
      <c r="I243" s="24"/>
      <c r="J243" s="24"/>
      <c r="K243" s="24"/>
      <c r="L243" s="24"/>
      <c r="M243" s="24"/>
      <c r="N243" s="24">
        <f t="shared" si="41"/>
        <v>162903</v>
      </c>
      <c r="O243" s="33">
        <v>108027</v>
      </c>
      <c r="P243" s="14">
        <f t="shared" si="42"/>
        <v>54876</v>
      </c>
    </row>
    <row r="244" spans="1:16" x14ac:dyDescent="0.25">
      <c r="A244" s="183" t="s">
        <v>80</v>
      </c>
      <c r="B244" s="185" t="s">
        <v>12</v>
      </c>
      <c r="C244" s="2" t="s">
        <v>39</v>
      </c>
      <c r="D244" s="28">
        <v>2254099</v>
      </c>
      <c r="E244" s="24"/>
      <c r="F244" s="24"/>
      <c r="G244" s="24"/>
      <c r="H244" s="24"/>
      <c r="I244" s="24"/>
      <c r="J244" s="24"/>
      <c r="K244" s="24"/>
      <c r="L244" s="24"/>
      <c r="M244" s="24"/>
      <c r="N244" s="24">
        <f t="shared" si="41"/>
        <v>2254099</v>
      </c>
      <c r="O244" s="33">
        <v>1310080</v>
      </c>
      <c r="P244" s="14">
        <f t="shared" si="42"/>
        <v>944019</v>
      </c>
    </row>
    <row r="245" spans="1:16" x14ac:dyDescent="0.25">
      <c r="A245" s="195"/>
      <c r="B245" s="197"/>
      <c r="C245" s="2" t="s">
        <v>41</v>
      </c>
      <c r="D245" s="28">
        <v>375081</v>
      </c>
      <c r="E245" s="24"/>
      <c r="F245" s="24"/>
      <c r="G245" s="24"/>
      <c r="H245" s="24"/>
      <c r="I245" s="24"/>
      <c r="J245" s="24"/>
      <c r="K245" s="24"/>
      <c r="L245" s="24"/>
      <c r="M245" s="24"/>
      <c r="N245" s="24">
        <f t="shared" si="41"/>
        <v>375081</v>
      </c>
      <c r="O245" s="33">
        <v>225665</v>
      </c>
      <c r="P245" s="14">
        <f t="shared" si="42"/>
        <v>149416</v>
      </c>
    </row>
    <row r="246" spans="1:16" x14ac:dyDescent="0.25">
      <c r="A246" s="183" t="s">
        <v>81</v>
      </c>
      <c r="B246" s="185" t="s">
        <v>15</v>
      </c>
      <c r="C246" s="2" t="s">
        <v>39</v>
      </c>
      <c r="D246" s="28">
        <v>780262</v>
      </c>
      <c r="E246" s="24"/>
      <c r="F246" s="24"/>
      <c r="G246" s="24"/>
      <c r="H246" s="24"/>
      <c r="I246" s="24"/>
      <c r="J246" s="24"/>
      <c r="K246" s="24"/>
      <c r="L246" s="24"/>
      <c r="M246" s="24"/>
      <c r="N246" s="24">
        <f t="shared" si="41"/>
        <v>780262</v>
      </c>
      <c r="O246" s="33">
        <v>512302</v>
      </c>
      <c r="P246" s="14">
        <f t="shared" si="42"/>
        <v>267960</v>
      </c>
    </row>
    <row r="247" spans="1:16" x14ac:dyDescent="0.25">
      <c r="A247" s="195"/>
      <c r="B247" s="197"/>
      <c r="C247" s="2" t="s">
        <v>41</v>
      </c>
      <c r="D247" s="28">
        <v>129849</v>
      </c>
      <c r="E247" s="24"/>
      <c r="F247" s="24"/>
      <c r="G247" s="24"/>
      <c r="H247" s="24"/>
      <c r="I247" s="24"/>
      <c r="J247" s="24"/>
      <c r="K247" s="24"/>
      <c r="L247" s="24"/>
      <c r="M247" s="24"/>
      <c r="N247" s="24">
        <f t="shared" si="41"/>
        <v>129849</v>
      </c>
      <c r="O247" s="33">
        <v>88313</v>
      </c>
      <c r="P247" s="14">
        <f t="shared" si="42"/>
        <v>41536</v>
      </c>
    </row>
    <row r="248" spans="1:16" x14ac:dyDescent="0.25">
      <c r="A248" s="183" t="s">
        <v>82</v>
      </c>
      <c r="B248" s="185" t="s">
        <v>17</v>
      </c>
      <c r="C248" s="2" t="s">
        <v>50</v>
      </c>
      <c r="D248" s="28">
        <v>78800</v>
      </c>
      <c r="E248" s="24"/>
      <c r="F248" s="24"/>
      <c r="G248" s="24"/>
      <c r="H248" s="24"/>
      <c r="I248" s="24"/>
      <c r="J248" s="24"/>
      <c r="K248" s="24"/>
      <c r="L248" s="24"/>
      <c r="M248" s="24"/>
      <c r="N248" s="24">
        <f t="shared" si="41"/>
        <v>78800</v>
      </c>
      <c r="O248" s="33">
        <v>43500</v>
      </c>
      <c r="P248" s="14">
        <f t="shared" si="42"/>
        <v>35300</v>
      </c>
    </row>
    <row r="249" spans="1:16" x14ac:dyDescent="0.25">
      <c r="A249" s="195"/>
      <c r="B249" s="197"/>
      <c r="C249" s="2" t="s">
        <v>41</v>
      </c>
      <c r="D249" s="28">
        <v>13790</v>
      </c>
      <c r="E249" s="24"/>
      <c r="F249" s="24"/>
      <c r="G249" s="24"/>
      <c r="H249" s="24"/>
      <c r="I249" s="24"/>
      <c r="J249" s="24"/>
      <c r="K249" s="24"/>
      <c r="L249" s="24"/>
      <c r="M249" s="24"/>
      <c r="N249" s="24">
        <f t="shared" si="41"/>
        <v>13790</v>
      </c>
      <c r="O249" s="33">
        <v>7513</v>
      </c>
      <c r="P249" s="14">
        <f t="shared" si="42"/>
        <v>6277</v>
      </c>
    </row>
    <row r="250" spans="1:16" x14ac:dyDescent="0.25">
      <c r="A250" s="183" t="s">
        <v>83</v>
      </c>
      <c r="B250" s="185" t="s">
        <v>9</v>
      </c>
      <c r="C250" s="2" t="s">
        <v>50</v>
      </c>
      <c r="D250" s="28">
        <v>0</v>
      </c>
      <c r="E250" s="24"/>
      <c r="F250" s="24"/>
      <c r="G250" s="24"/>
      <c r="H250" s="24"/>
      <c r="I250" s="24"/>
      <c r="J250" s="24"/>
      <c r="K250" s="24"/>
      <c r="L250" s="24"/>
      <c r="M250" s="24"/>
      <c r="N250" s="24">
        <f t="shared" si="41"/>
        <v>0</v>
      </c>
      <c r="O250" s="33">
        <v>0</v>
      </c>
      <c r="P250" s="14">
        <f t="shared" si="42"/>
        <v>0</v>
      </c>
    </row>
    <row r="251" spans="1:16" x14ac:dyDescent="0.25">
      <c r="A251" s="195"/>
      <c r="B251" s="197"/>
      <c r="C251" s="2" t="s">
        <v>41</v>
      </c>
      <c r="D251" s="28">
        <v>0</v>
      </c>
      <c r="E251" s="24"/>
      <c r="F251" s="24"/>
      <c r="G251" s="24"/>
      <c r="H251" s="24"/>
      <c r="I251" s="24"/>
      <c r="J251" s="24"/>
      <c r="K251" s="24"/>
      <c r="L251" s="24"/>
      <c r="M251" s="24"/>
      <c r="N251" s="24">
        <f t="shared" si="41"/>
        <v>0</v>
      </c>
      <c r="O251" s="33">
        <v>0</v>
      </c>
      <c r="P251" s="14">
        <f t="shared" si="42"/>
        <v>0</v>
      </c>
    </row>
    <row r="252" spans="1:16" x14ac:dyDescent="0.25">
      <c r="A252" s="183" t="s">
        <v>84</v>
      </c>
      <c r="B252" s="185" t="s">
        <v>12</v>
      </c>
      <c r="C252" s="2" t="s">
        <v>50</v>
      </c>
      <c r="D252" s="28">
        <v>82800</v>
      </c>
      <c r="E252" s="24"/>
      <c r="F252" s="24"/>
      <c r="G252" s="24"/>
      <c r="H252" s="24"/>
      <c r="I252" s="24"/>
      <c r="J252" s="24"/>
      <c r="K252" s="24"/>
      <c r="L252" s="24"/>
      <c r="M252" s="24"/>
      <c r="N252" s="24">
        <f t="shared" si="41"/>
        <v>82800</v>
      </c>
      <c r="O252" s="33">
        <v>7600</v>
      </c>
      <c r="P252" s="14">
        <f t="shared" si="42"/>
        <v>75200</v>
      </c>
    </row>
    <row r="253" spans="1:16" x14ac:dyDescent="0.25">
      <c r="A253" s="195"/>
      <c r="B253" s="197"/>
      <c r="C253" s="2" t="s">
        <v>41</v>
      </c>
      <c r="D253" s="28">
        <v>14490</v>
      </c>
      <c r="E253" s="24"/>
      <c r="F253" s="24"/>
      <c r="G253" s="24"/>
      <c r="H253" s="24"/>
      <c r="I253" s="24"/>
      <c r="J253" s="24"/>
      <c r="K253" s="24"/>
      <c r="L253" s="24"/>
      <c r="M253" s="24"/>
      <c r="N253" s="24">
        <f t="shared" si="41"/>
        <v>14490</v>
      </c>
      <c r="O253" s="33">
        <v>1330</v>
      </c>
      <c r="P253" s="14">
        <f t="shared" si="42"/>
        <v>13160</v>
      </c>
    </row>
    <row r="254" spans="1:16" x14ac:dyDescent="0.25">
      <c r="A254" s="183" t="s">
        <v>85</v>
      </c>
      <c r="B254" s="185" t="s">
        <v>15</v>
      </c>
      <c r="C254" s="2" t="s">
        <v>50</v>
      </c>
      <c r="D254" s="28">
        <v>130800</v>
      </c>
      <c r="E254" s="24"/>
      <c r="F254" s="24"/>
      <c r="G254" s="24"/>
      <c r="H254" s="24"/>
      <c r="I254" s="24"/>
      <c r="J254" s="24"/>
      <c r="K254" s="24"/>
      <c r="L254" s="24"/>
      <c r="M254" s="24"/>
      <c r="N254" s="24">
        <f t="shared" si="41"/>
        <v>130800</v>
      </c>
      <c r="O254" s="33">
        <v>78100</v>
      </c>
      <c r="P254" s="14">
        <f t="shared" si="42"/>
        <v>52700</v>
      </c>
    </row>
    <row r="255" spans="1:16" x14ac:dyDescent="0.25">
      <c r="A255" s="195"/>
      <c r="B255" s="197"/>
      <c r="C255" s="2" t="s">
        <v>41</v>
      </c>
      <c r="D255" s="28">
        <v>22890</v>
      </c>
      <c r="E255" s="24"/>
      <c r="F255" s="24"/>
      <c r="G255" s="24"/>
      <c r="H255" s="24"/>
      <c r="I255" s="24"/>
      <c r="J255" s="24"/>
      <c r="K255" s="24"/>
      <c r="L255" s="24"/>
      <c r="M255" s="24"/>
      <c r="N255" s="24">
        <f t="shared" si="41"/>
        <v>22890</v>
      </c>
      <c r="O255" s="33">
        <v>13475</v>
      </c>
      <c r="P255" s="14">
        <f t="shared" si="42"/>
        <v>9415</v>
      </c>
    </row>
    <row r="256" spans="1:16" x14ac:dyDescent="0.25">
      <c r="A256" s="194" t="s">
        <v>142</v>
      </c>
      <c r="B256" s="185" t="s">
        <v>11</v>
      </c>
      <c r="C256" s="2" t="s">
        <v>50</v>
      </c>
      <c r="D256" s="28">
        <v>130800</v>
      </c>
      <c r="E256" s="24"/>
      <c r="F256" s="24"/>
      <c r="G256" s="24"/>
      <c r="H256" s="24"/>
      <c r="I256" s="24"/>
      <c r="J256" s="24"/>
      <c r="K256" s="24"/>
      <c r="L256" s="24"/>
      <c r="M256" s="24"/>
      <c r="N256" s="24">
        <f t="shared" si="41"/>
        <v>130800</v>
      </c>
      <c r="O256" s="33">
        <v>78100</v>
      </c>
      <c r="P256" s="14">
        <f t="shared" si="42"/>
        <v>52700</v>
      </c>
    </row>
    <row r="257" spans="1:16" x14ac:dyDescent="0.25">
      <c r="A257" s="195"/>
      <c r="B257" s="197"/>
      <c r="C257" s="2" t="s">
        <v>41</v>
      </c>
      <c r="D257" s="28">
        <v>22890</v>
      </c>
      <c r="E257" s="24"/>
      <c r="F257" s="24"/>
      <c r="G257" s="24"/>
      <c r="H257" s="24"/>
      <c r="I257" s="24"/>
      <c r="J257" s="24"/>
      <c r="K257" s="24"/>
      <c r="L257" s="24"/>
      <c r="M257" s="24"/>
      <c r="N257" s="24">
        <f t="shared" si="41"/>
        <v>22890</v>
      </c>
      <c r="O257" s="33">
        <v>13476</v>
      </c>
      <c r="P257" s="14">
        <f t="shared" si="42"/>
        <v>9414</v>
      </c>
    </row>
    <row r="258" spans="1:16" x14ac:dyDescent="0.25">
      <c r="A258" s="186" t="s">
        <v>115</v>
      </c>
      <c r="B258" s="187"/>
      <c r="C258" s="188"/>
      <c r="D258" s="58">
        <f t="shared" ref="D258:P258" si="43">SUM(D237,D238,D239,D240,D241,D242,D243,D244,D245,D246,D247,D248,D249,D250,D251,D252,D253,D254,D255,D256,D257,D228,D227,D224,D220,D206,D205,D196,D188,D187,D181,D167,D166,D159,D145,D144,D137,D125,D124,D116,D111,D110,)</f>
        <v>174065429</v>
      </c>
      <c r="E258" s="99">
        <f t="shared" si="43"/>
        <v>0</v>
      </c>
      <c r="F258" s="99">
        <f t="shared" si="43"/>
        <v>858000</v>
      </c>
      <c r="G258" s="99">
        <f t="shared" si="43"/>
        <v>-858000</v>
      </c>
      <c r="H258" s="99">
        <f t="shared" si="43"/>
        <v>6089000</v>
      </c>
      <c r="I258" s="99">
        <f t="shared" si="43"/>
        <v>-6089000</v>
      </c>
      <c r="J258" s="99">
        <f t="shared" si="43"/>
        <v>0</v>
      </c>
      <c r="K258" s="99">
        <f t="shared" si="43"/>
        <v>0</v>
      </c>
      <c r="L258" s="99">
        <f t="shared" si="43"/>
        <v>0</v>
      </c>
      <c r="M258" s="99">
        <f t="shared" si="43"/>
        <v>0</v>
      </c>
      <c r="N258" s="99">
        <f t="shared" si="43"/>
        <v>174065429</v>
      </c>
      <c r="O258" s="131">
        <f>SUM(O237,O238,O239,O240,O241,O242,O243,O244,O245,O246,O247,O248,O249,O250,O251,O252,O253,O254,O255,O256,O257,O228,O227,O224,O220,O206,O205,O196,O188,O187,O181,O167,O166,O159,O145,O144,O137,O125,O124,O116,O111,O110,)</f>
        <v>99547977</v>
      </c>
      <c r="P258" s="59">
        <f t="shared" si="43"/>
        <v>74517452</v>
      </c>
    </row>
    <row r="259" spans="1:16" x14ac:dyDescent="0.25">
      <c r="A259" s="182" t="s">
        <v>65</v>
      </c>
      <c r="B259" s="4" t="s">
        <v>5</v>
      </c>
      <c r="C259" s="2" t="s">
        <v>66</v>
      </c>
      <c r="D259" s="24">
        <v>0</v>
      </c>
      <c r="E259" s="24"/>
      <c r="F259" s="24"/>
      <c r="G259" s="24"/>
      <c r="H259" s="24"/>
      <c r="I259" s="24"/>
      <c r="J259" s="24"/>
      <c r="K259" s="24"/>
      <c r="L259" s="24"/>
      <c r="M259" s="24"/>
      <c r="N259" s="24">
        <f>D259+E259+F259+H259+I259+K259+J259</f>
        <v>0</v>
      </c>
      <c r="O259" s="33">
        <v>0</v>
      </c>
      <c r="P259" s="14">
        <f t="shared" ref="P259:P261" si="44">N259-O259</f>
        <v>0</v>
      </c>
    </row>
    <row r="260" spans="1:16" x14ac:dyDescent="0.25">
      <c r="A260" s="182"/>
      <c r="B260" s="185" t="s">
        <v>38</v>
      </c>
      <c r="C260" s="2" t="s">
        <v>39</v>
      </c>
      <c r="D260" s="24">
        <v>978360</v>
      </c>
      <c r="E260" s="24"/>
      <c r="F260" s="24"/>
      <c r="G260" s="24"/>
      <c r="H260" s="24"/>
      <c r="I260" s="24"/>
      <c r="J260" s="24"/>
      <c r="K260" s="24"/>
      <c r="L260" s="24"/>
      <c r="M260" s="24"/>
      <c r="N260" s="24">
        <f>D260+E260+F260+H260+I260+K260+J260</f>
        <v>978360</v>
      </c>
      <c r="O260" s="33">
        <v>652240</v>
      </c>
      <c r="P260" s="14">
        <f t="shared" si="44"/>
        <v>326120</v>
      </c>
    </row>
    <row r="261" spans="1:16" x14ac:dyDescent="0.25">
      <c r="A261" s="182"/>
      <c r="B261" s="196"/>
      <c r="C261" s="2" t="s">
        <v>50</v>
      </c>
      <c r="D261" s="24">
        <v>0</v>
      </c>
      <c r="E261" s="24"/>
      <c r="F261" s="24"/>
      <c r="G261" s="24"/>
      <c r="H261" s="24"/>
      <c r="I261" s="24"/>
      <c r="J261" s="24"/>
      <c r="K261" s="24"/>
      <c r="L261" s="24"/>
      <c r="M261" s="24"/>
      <c r="N261" s="24">
        <f>D261+E261+F261+H261+I261+K261+J261</f>
        <v>0</v>
      </c>
      <c r="O261" s="33">
        <v>0</v>
      </c>
      <c r="P261" s="14">
        <f t="shared" si="44"/>
        <v>0</v>
      </c>
    </row>
    <row r="262" spans="1:16" x14ac:dyDescent="0.25">
      <c r="A262" s="182"/>
      <c r="B262" s="196"/>
      <c r="C262" s="6" t="s">
        <v>40</v>
      </c>
      <c r="D262" s="95">
        <f>SUM(D260:D261)</f>
        <v>978360</v>
      </c>
      <c r="E262" s="95">
        <f t="shared" ref="E262:P262" si="45">SUM(E260:E261)</f>
        <v>0</v>
      </c>
      <c r="F262" s="95">
        <f t="shared" si="45"/>
        <v>0</v>
      </c>
      <c r="G262" s="95"/>
      <c r="H262" s="95">
        <f t="shared" si="45"/>
        <v>0</v>
      </c>
      <c r="I262" s="95">
        <f t="shared" si="45"/>
        <v>0</v>
      </c>
      <c r="J262" s="95">
        <f t="shared" si="45"/>
        <v>0</v>
      </c>
      <c r="K262" s="95">
        <f t="shared" si="45"/>
        <v>0</v>
      </c>
      <c r="L262" s="95">
        <f t="shared" si="45"/>
        <v>0</v>
      </c>
      <c r="M262" s="95">
        <f t="shared" si="45"/>
        <v>0</v>
      </c>
      <c r="N262" s="95">
        <f t="shared" si="45"/>
        <v>978360</v>
      </c>
      <c r="O262" s="49">
        <f t="shared" si="45"/>
        <v>652240</v>
      </c>
      <c r="P262" s="26">
        <f t="shared" si="45"/>
        <v>326120</v>
      </c>
    </row>
    <row r="263" spans="1:16" x14ac:dyDescent="0.25">
      <c r="A263" s="182"/>
      <c r="B263" s="196"/>
      <c r="C263" s="57" t="s">
        <v>41</v>
      </c>
      <c r="D263" s="96">
        <v>85607</v>
      </c>
      <c r="E263" s="96"/>
      <c r="F263" s="96"/>
      <c r="G263" s="96"/>
      <c r="H263" s="96"/>
      <c r="I263" s="96"/>
      <c r="J263" s="96"/>
      <c r="K263" s="96"/>
      <c r="L263" s="96"/>
      <c r="M263" s="96"/>
      <c r="N263" s="97">
        <f>D263+E263+F263+H263+I263+K263</f>
        <v>85607</v>
      </c>
      <c r="O263" s="129">
        <v>56255</v>
      </c>
      <c r="P263" s="55">
        <f t="shared" ref="P263:P267" si="46">N263-O263</f>
        <v>29352</v>
      </c>
    </row>
    <row r="264" spans="1:16" x14ac:dyDescent="0.25">
      <c r="A264" s="182"/>
      <c r="B264" s="196"/>
      <c r="C264" s="2" t="s">
        <v>42</v>
      </c>
      <c r="D264" s="24">
        <v>0</v>
      </c>
      <c r="E264" s="24"/>
      <c r="F264" s="24"/>
      <c r="G264" s="24"/>
      <c r="H264" s="24"/>
      <c r="I264" s="24"/>
      <c r="J264" s="24"/>
      <c r="K264" s="24"/>
      <c r="L264" s="24"/>
      <c r="M264" s="24"/>
      <c r="N264" s="24">
        <f>D264+E264+F264+H264+I264+K264+J264</f>
        <v>0</v>
      </c>
      <c r="O264" s="33">
        <v>0</v>
      </c>
      <c r="P264" s="32">
        <f t="shared" si="46"/>
        <v>0</v>
      </c>
    </row>
    <row r="265" spans="1:16" x14ac:dyDescent="0.25">
      <c r="A265" s="182"/>
      <c r="B265" s="196"/>
      <c r="C265" s="2" t="s">
        <v>52</v>
      </c>
      <c r="D265" s="24">
        <v>0</v>
      </c>
      <c r="E265" s="24"/>
      <c r="F265" s="24"/>
      <c r="G265" s="24"/>
      <c r="H265" s="24"/>
      <c r="I265" s="24"/>
      <c r="J265" s="24"/>
      <c r="K265" s="24"/>
      <c r="L265" s="24"/>
      <c r="M265" s="24"/>
      <c r="N265" s="24">
        <f>D265+E265+F265+H265+I265+K265+J265</f>
        <v>0</v>
      </c>
      <c r="O265" s="33">
        <v>0</v>
      </c>
      <c r="P265" s="32">
        <f t="shared" si="46"/>
        <v>0</v>
      </c>
    </row>
    <row r="266" spans="1:16" x14ac:dyDescent="0.25">
      <c r="A266" s="182"/>
      <c r="B266" s="196"/>
      <c r="C266" s="2" t="s">
        <v>43</v>
      </c>
      <c r="D266" s="24">
        <v>0</v>
      </c>
      <c r="E266" s="24"/>
      <c r="F266" s="24"/>
      <c r="G266" s="24"/>
      <c r="H266" s="24"/>
      <c r="I266" s="24"/>
      <c r="J266" s="24"/>
      <c r="K266" s="24"/>
      <c r="L266" s="24"/>
      <c r="M266" s="24"/>
      <c r="N266" s="24">
        <f>D266+E266+F266+H266+I266+K266+J266</f>
        <v>0</v>
      </c>
      <c r="O266" s="33">
        <v>0</v>
      </c>
      <c r="P266" s="32">
        <f t="shared" si="46"/>
        <v>0</v>
      </c>
    </row>
    <row r="267" spans="1:16" x14ac:dyDescent="0.25">
      <c r="A267" s="182"/>
      <c r="B267" s="196"/>
      <c r="C267" s="2" t="s">
        <v>44</v>
      </c>
      <c r="D267" s="24">
        <v>0</v>
      </c>
      <c r="E267" s="24"/>
      <c r="F267" s="24"/>
      <c r="G267" s="24"/>
      <c r="H267" s="24"/>
      <c r="I267" s="24"/>
      <c r="J267" s="24"/>
      <c r="K267" s="24"/>
      <c r="L267" s="24"/>
      <c r="M267" s="24"/>
      <c r="N267" s="24">
        <f>D267+E267+F267+H267+I267+K267+J267</f>
        <v>0</v>
      </c>
      <c r="O267" s="33">
        <v>0</v>
      </c>
      <c r="P267" s="32">
        <f t="shared" si="46"/>
        <v>0</v>
      </c>
    </row>
    <row r="268" spans="1:16" x14ac:dyDescent="0.25">
      <c r="A268" s="182"/>
      <c r="B268" s="197"/>
      <c r="C268" s="6" t="s">
        <v>45</v>
      </c>
      <c r="D268" s="95">
        <f>SUM(D264:D267)</f>
        <v>0</v>
      </c>
      <c r="E268" s="95">
        <f t="shared" ref="E268:P268" si="47">SUM(E264:E267)</f>
        <v>0</v>
      </c>
      <c r="F268" s="95">
        <f t="shared" si="47"/>
        <v>0</v>
      </c>
      <c r="G268" s="95"/>
      <c r="H268" s="95">
        <f t="shared" si="47"/>
        <v>0</v>
      </c>
      <c r="I268" s="95">
        <f t="shared" si="47"/>
        <v>0</v>
      </c>
      <c r="J268" s="95">
        <f t="shared" si="47"/>
        <v>0</v>
      </c>
      <c r="K268" s="95">
        <f t="shared" si="47"/>
        <v>0</v>
      </c>
      <c r="L268" s="95">
        <f t="shared" si="47"/>
        <v>0</v>
      </c>
      <c r="M268" s="95">
        <f t="shared" si="47"/>
        <v>0</v>
      </c>
      <c r="N268" s="95">
        <f t="shared" si="47"/>
        <v>0</v>
      </c>
      <c r="O268" s="49">
        <f t="shared" si="47"/>
        <v>0</v>
      </c>
      <c r="P268" s="34">
        <f t="shared" si="47"/>
        <v>0</v>
      </c>
    </row>
    <row r="269" spans="1:16" x14ac:dyDescent="0.25">
      <c r="A269" s="182"/>
      <c r="B269" s="184" t="s">
        <v>17</v>
      </c>
      <c r="C269" s="2" t="s">
        <v>39</v>
      </c>
      <c r="D269" s="24">
        <v>5173896</v>
      </c>
      <c r="E269" s="24"/>
      <c r="F269" s="28"/>
      <c r="G269" s="28"/>
      <c r="H269" s="28"/>
      <c r="I269" s="24"/>
      <c r="J269" s="24"/>
      <c r="K269" s="24"/>
      <c r="L269" s="24"/>
      <c r="M269" s="24"/>
      <c r="N269" s="24">
        <f t="shared" ref="N269:N274" si="48">D269+E269+F269+H269+I269+K269+J269</f>
        <v>5173896</v>
      </c>
      <c r="O269" s="33">
        <v>3443626</v>
      </c>
      <c r="P269" s="14">
        <f t="shared" ref="P269:P274" si="49">N269-O269</f>
        <v>1730270</v>
      </c>
    </row>
    <row r="270" spans="1:16" x14ac:dyDescent="0.25">
      <c r="A270" s="182"/>
      <c r="B270" s="184"/>
      <c r="C270" s="2" t="s">
        <v>46</v>
      </c>
      <c r="D270" s="24">
        <v>200000</v>
      </c>
      <c r="E270" s="24"/>
      <c r="F270" s="28"/>
      <c r="G270" s="28"/>
      <c r="H270" s="28"/>
      <c r="I270" s="24"/>
      <c r="J270" s="24"/>
      <c r="K270" s="24"/>
      <c r="L270" s="24"/>
      <c r="M270" s="24"/>
      <c r="N270" s="24">
        <f t="shared" si="48"/>
        <v>200000</v>
      </c>
      <c r="O270" s="33">
        <v>100000</v>
      </c>
      <c r="P270" s="14">
        <f t="shared" si="49"/>
        <v>100000</v>
      </c>
    </row>
    <row r="271" spans="1:16" x14ac:dyDescent="0.25">
      <c r="A271" s="182"/>
      <c r="B271" s="184"/>
      <c r="C271" s="2" t="s">
        <v>47</v>
      </c>
      <c r="D271" s="24">
        <v>10000</v>
      </c>
      <c r="E271" s="24"/>
      <c r="F271" s="28"/>
      <c r="G271" s="28"/>
      <c r="H271" s="28"/>
      <c r="I271" s="24"/>
      <c r="J271" s="24"/>
      <c r="K271" s="24"/>
      <c r="L271" s="24"/>
      <c r="M271" s="24"/>
      <c r="N271" s="24">
        <f t="shared" si="48"/>
        <v>10000</v>
      </c>
      <c r="O271" s="33">
        <v>0</v>
      </c>
      <c r="P271" s="14">
        <f t="shared" si="49"/>
        <v>10000</v>
      </c>
    </row>
    <row r="272" spans="1:16" x14ac:dyDescent="0.25">
      <c r="A272" s="182"/>
      <c r="B272" s="184"/>
      <c r="C272" s="2" t="s">
        <v>49</v>
      </c>
      <c r="D272" s="24">
        <v>24000</v>
      </c>
      <c r="E272" s="24"/>
      <c r="F272" s="28"/>
      <c r="G272" s="28"/>
      <c r="H272" s="28"/>
      <c r="I272" s="24"/>
      <c r="J272" s="24"/>
      <c r="K272" s="24"/>
      <c r="L272" s="24"/>
      <c r="M272" s="24"/>
      <c r="N272" s="24">
        <f t="shared" si="48"/>
        <v>24000</v>
      </c>
      <c r="O272" s="33">
        <v>12000</v>
      </c>
      <c r="P272" s="14">
        <f t="shared" si="49"/>
        <v>12000</v>
      </c>
    </row>
    <row r="273" spans="1:17" x14ac:dyDescent="0.25">
      <c r="A273" s="182"/>
      <c r="B273" s="184"/>
      <c r="C273" s="2" t="s">
        <v>50</v>
      </c>
      <c r="D273" s="24">
        <v>0</v>
      </c>
      <c r="E273" s="24"/>
      <c r="F273" s="28"/>
      <c r="G273" s="28"/>
      <c r="H273" s="28"/>
      <c r="I273" s="24"/>
      <c r="J273" s="24"/>
      <c r="K273" s="24"/>
      <c r="L273" s="24"/>
      <c r="M273" s="24"/>
      <c r="N273" s="24">
        <f t="shared" si="48"/>
        <v>0</v>
      </c>
      <c r="O273" s="33">
        <v>0</v>
      </c>
      <c r="P273" s="14">
        <f t="shared" si="49"/>
        <v>0</v>
      </c>
    </row>
    <row r="274" spans="1:17" x14ac:dyDescent="0.25">
      <c r="A274" s="182"/>
      <c r="B274" s="184"/>
      <c r="C274" s="2" t="s">
        <v>51</v>
      </c>
      <c r="D274" s="24">
        <v>0</v>
      </c>
      <c r="E274" s="24"/>
      <c r="F274" s="24"/>
      <c r="G274" s="24"/>
      <c r="H274" s="24"/>
      <c r="I274" s="24"/>
      <c r="J274" s="24"/>
      <c r="K274" s="24"/>
      <c r="L274" s="24"/>
      <c r="M274" s="24"/>
      <c r="N274" s="24">
        <f t="shared" si="48"/>
        <v>0</v>
      </c>
      <c r="O274" s="33">
        <v>0</v>
      </c>
      <c r="P274" s="14">
        <f t="shared" si="49"/>
        <v>0</v>
      </c>
    </row>
    <row r="275" spans="1:17" x14ac:dyDescent="0.25">
      <c r="A275" s="182"/>
      <c r="B275" s="184"/>
      <c r="C275" s="6" t="s">
        <v>40</v>
      </c>
      <c r="D275" s="95">
        <f>SUM(D269:D274)</f>
        <v>5407896</v>
      </c>
      <c r="E275" s="95">
        <f t="shared" ref="E275:O275" si="50">SUM(E269:E274)</f>
        <v>0</v>
      </c>
      <c r="F275" s="95">
        <f t="shared" si="50"/>
        <v>0</v>
      </c>
      <c r="G275" s="95"/>
      <c r="H275" s="95">
        <f t="shared" si="50"/>
        <v>0</v>
      </c>
      <c r="I275" s="95">
        <f t="shared" si="50"/>
        <v>0</v>
      </c>
      <c r="J275" s="95">
        <f t="shared" si="50"/>
        <v>0</v>
      </c>
      <c r="K275" s="95">
        <f t="shared" si="50"/>
        <v>0</v>
      </c>
      <c r="L275" s="95">
        <f t="shared" si="50"/>
        <v>0</v>
      </c>
      <c r="M275" s="95">
        <f t="shared" si="50"/>
        <v>0</v>
      </c>
      <c r="N275" s="95">
        <f t="shared" si="50"/>
        <v>5407896</v>
      </c>
      <c r="O275" s="49">
        <f t="shared" si="50"/>
        <v>3555626</v>
      </c>
      <c r="P275" s="26">
        <f>SUM(P269:P274)</f>
        <v>1852270</v>
      </c>
    </row>
    <row r="276" spans="1:17" x14ac:dyDescent="0.25">
      <c r="A276" s="182"/>
      <c r="B276" s="184"/>
      <c r="C276" s="57" t="s">
        <v>41</v>
      </c>
      <c r="D276" s="96">
        <v>976381</v>
      </c>
      <c r="E276" s="96"/>
      <c r="F276" s="96"/>
      <c r="G276" s="96"/>
      <c r="H276" s="96"/>
      <c r="I276" s="96"/>
      <c r="J276" s="96"/>
      <c r="K276" s="96"/>
      <c r="L276" s="96"/>
      <c r="M276" s="96"/>
      <c r="N276" s="97">
        <f>D276+E276+F276+H276+I276+K276</f>
        <v>976381</v>
      </c>
      <c r="O276" s="129">
        <v>613674</v>
      </c>
      <c r="P276" s="55">
        <f t="shared" ref="P276:P286" si="51">N276-O276</f>
        <v>362707</v>
      </c>
    </row>
    <row r="277" spans="1:17" x14ac:dyDescent="0.25">
      <c r="A277" s="182"/>
      <c r="B277" s="184"/>
      <c r="C277" s="2" t="s">
        <v>42</v>
      </c>
      <c r="D277" s="24">
        <v>40000</v>
      </c>
      <c r="E277" s="24">
        <v>-150000</v>
      </c>
      <c r="F277" s="24">
        <v>337795</v>
      </c>
      <c r="G277" s="24"/>
      <c r="H277" s="24"/>
      <c r="I277" s="24"/>
      <c r="J277" s="24"/>
      <c r="K277" s="24"/>
      <c r="L277" s="24"/>
      <c r="M277" s="24"/>
      <c r="N277" s="24">
        <f t="shared" ref="N277:N286" si="52">D277+E277+F277+H277+I277+K277+J277</f>
        <v>227795</v>
      </c>
      <c r="O277" s="33">
        <v>19025</v>
      </c>
      <c r="P277" s="14">
        <f t="shared" si="51"/>
        <v>208770</v>
      </c>
    </row>
    <row r="278" spans="1:17" x14ac:dyDescent="0.25">
      <c r="A278" s="182"/>
      <c r="B278" s="184"/>
      <c r="C278" s="2" t="s">
        <v>52</v>
      </c>
      <c r="D278" s="24">
        <v>50000</v>
      </c>
      <c r="E278" s="24">
        <v>150000</v>
      </c>
      <c r="F278" s="24"/>
      <c r="G278" s="24"/>
      <c r="H278" s="24"/>
      <c r="I278" s="24"/>
      <c r="J278" s="24"/>
      <c r="K278" s="24"/>
      <c r="L278" s="24"/>
      <c r="M278" s="24"/>
      <c r="N278" s="24">
        <f t="shared" si="52"/>
        <v>200000</v>
      </c>
      <c r="O278" s="33">
        <v>31496</v>
      </c>
      <c r="P278" s="21">
        <f t="shared" si="51"/>
        <v>168504</v>
      </c>
    </row>
    <row r="279" spans="1:17" x14ac:dyDescent="0.25">
      <c r="A279" s="182"/>
      <c r="B279" s="184"/>
      <c r="C279" s="30" t="s">
        <v>54</v>
      </c>
      <c r="D279" s="24">
        <v>0</v>
      </c>
      <c r="E279" s="24"/>
      <c r="F279" s="28"/>
      <c r="G279" s="28"/>
      <c r="H279" s="28"/>
      <c r="I279" s="28"/>
      <c r="J279" s="28"/>
      <c r="K279" s="24"/>
      <c r="L279" s="24"/>
      <c r="M279" s="24"/>
      <c r="N279" s="24">
        <f t="shared" si="52"/>
        <v>0</v>
      </c>
      <c r="O279" s="33">
        <v>0</v>
      </c>
      <c r="P279" s="32">
        <f t="shared" si="51"/>
        <v>0</v>
      </c>
    </row>
    <row r="280" spans="1:17" x14ac:dyDescent="0.25">
      <c r="A280" s="182"/>
      <c r="B280" s="184"/>
      <c r="C280" s="2" t="s">
        <v>55</v>
      </c>
      <c r="D280" s="24">
        <v>0</v>
      </c>
      <c r="E280" s="24"/>
      <c r="F280" s="28"/>
      <c r="G280" s="28"/>
      <c r="H280" s="28"/>
      <c r="I280" s="28"/>
      <c r="J280" s="28"/>
      <c r="K280" s="24"/>
      <c r="L280" s="24"/>
      <c r="M280" s="24"/>
      <c r="N280" s="24">
        <f t="shared" si="52"/>
        <v>0</v>
      </c>
      <c r="O280" s="33">
        <v>0</v>
      </c>
      <c r="P280" s="21">
        <f t="shared" si="51"/>
        <v>0</v>
      </c>
    </row>
    <row r="281" spans="1:17" s="19" customFormat="1" x14ac:dyDescent="0.25">
      <c r="A281" s="182"/>
      <c r="B281" s="184"/>
      <c r="C281" s="30" t="s">
        <v>56</v>
      </c>
      <c r="D281" s="28">
        <v>4000</v>
      </c>
      <c r="E281" s="28"/>
      <c r="F281" s="28"/>
      <c r="G281" s="28"/>
      <c r="H281" s="28"/>
      <c r="I281" s="28"/>
      <c r="J281" s="28">
        <v>157480</v>
      </c>
      <c r="K281" s="28"/>
      <c r="L281" s="28"/>
      <c r="M281" s="28"/>
      <c r="N281" s="28">
        <f t="shared" si="52"/>
        <v>161480</v>
      </c>
      <c r="O281" s="32">
        <v>0</v>
      </c>
      <c r="P281" s="21">
        <f t="shared" si="51"/>
        <v>161480</v>
      </c>
      <c r="Q281" s="53"/>
    </row>
    <row r="282" spans="1:17" x14ac:dyDescent="0.25">
      <c r="A282" s="182"/>
      <c r="B282" s="184"/>
      <c r="C282" s="2" t="s">
        <v>43</v>
      </c>
      <c r="D282" s="24">
        <v>16800</v>
      </c>
      <c r="E282" s="24"/>
      <c r="F282" s="28"/>
      <c r="G282" s="28"/>
      <c r="H282" s="28"/>
      <c r="I282" s="28"/>
      <c r="J282" s="28"/>
      <c r="K282" s="24"/>
      <c r="L282" s="24"/>
      <c r="M282" s="24"/>
      <c r="N282" s="24">
        <f t="shared" si="52"/>
        <v>16800</v>
      </c>
      <c r="O282" s="33">
        <v>8400</v>
      </c>
      <c r="P282" s="21">
        <f t="shared" si="51"/>
        <v>8400</v>
      </c>
    </row>
    <row r="283" spans="1:17" x14ac:dyDescent="0.25">
      <c r="A283" s="182"/>
      <c r="B283" s="184"/>
      <c r="C283" s="2" t="s">
        <v>57</v>
      </c>
      <c r="D283" s="24">
        <v>39685</v>
      </c>
      <c r="E283" s="24">
        <f>-17688-1760</f>
        <v>-19448</v>
      </c>
      <c r="F283" s="28"/>
      <c r="G283" s="28"/>
      <c r="H283" s="28">
        <v>461102</v>
      </c>
      <c r="I283" s="28"/>
      <c r="J283" s="28"/>
      <c r="K283" s="24"/>
      <c r="L283" s="24"/>
      <c r="M283" s="24"/>
      <c r="N283" s="24">
        <f t="shared" si="52"/>
        <v>481339</v>
      </c>
      <c r="O283" s="33">
        <v>0</v>
      </c>
      <c r="P283" s="21">
        <f t="shared" si="51"/>
        <v>481339</v>
      </c>
    </row>
    <row r="284" spans="1:17" x14ac:dyDescent="0.25">
      <c r="A284" s="182"/>
      <c r="B284" s="184"/>
      <c r="C284" s="2" t="s">
        <v>58</v>
      </c>
      <c r="D284" s="24">
        <v>39000</v>
      </c>
      <c r="E284" s="24">
        <f>17688+1760</f>
        <v>19448</v>
      </c>
      <c r="F284" s="28"/>
      <c r="G284" s="28"/>
      <c r="H284" s="28">
        <v>15000</v>
      </c>
      <c r="I284" s="28"/>
      <c r="J284" s="28"/>
      <c r="K284" s="24"/>
      <c r="L284" s="24"/>
      <c r="M284" s="24"/>
      <c r="N284" s="24">
        <f t="shared" si="52"/>
        <v>73448</v>
      </c>
      <c r="O284" s="33">
        <v>58448</v>
      </c>
      <c r="P284" s="21">
        <f t="shared" si="51"/>
        <v>15000</v>
      </c>
    </row>
    <row r="285" spans="1:17" x14ac:dyDescent="0.25">
      <c r="A285" s="182"/>
      <c r="B285" s="184"/>
      <c r="C285" s="2" t="s">
        <v>44</v>
      </c>
      <c r="D285" s="24">
        <v>31695</v>
      </c>
      <c r="E285" s="24"/>
      <c r="F285" s="28">
        <v>91205</v>
      </c>
      <c r="G285" s="28"/>
      <c r="H285" s="28">
        <v>124498</v>
      </c>
      <c r="I285" s="28"/>
      <c r="J285" s="28">
        <v>42520</v>
      </c>
      <c r="K285" s="24"/>
      <c r="L285" s="24"/>
      <c r="M285" s="24"/>
      <c r="N285" s="24">
        <f t="shared" si="52"/>
        <v>289918</v>
      </c>
      <c r="O285" s="33">
        <v>10557</v>
      </c>
      <c r="P285" s="21">
        <f t="shared" si="51"/>
        <v>279361</v>
      </c>
    </row>
    <row r="286" spans="1:17" x14ac:dyDescent="0.25">
      <c r="A286" s="182"/>
      <c r="B286" s="184"/>
      <c r="C286" s="2" t="s">
        <v>59</v>
      </c>
      <c r="D286" s="24">
        <v>177174</v>
      </c>
      <c r="E286" s="24"/>
      <c r="F286" s="28"/>
      <c r="G286" s="28"/>
      <c r="H286" s="28"/>
      <c r="I286" s="28"/>
      <c r="J286" s="28"/>
      <c r="K286" s="24"/>
      <c r="L286" s="24"/>
      <c r="M286" s="24"/>
      <c r="N286" s="24">
        <f t="shared" si="52"/>
        <v>177174</v>
      </c>
      <c r="O286" s="33">
        <v>0</v>
      </c>
      <c r="P286" s="14">
        <f t="shared" si="51"/>
        <v>177174</v>
      </c>
    </row>
    <row r="287" spans="1:17" x14ac:dyDescent="0.25">
      <c r="A287" s="182"/>
      <c r="B287" s="184"/>
      <c r="C287" s="6" t="s">
        <v>45</v>
      </c>
      <c r="D287" s="95">
        <f>SUM(D277:D286)</f>
        <v>398354</v>
      </c>
      <c r="E287" s="95">
        <f t="shared" ref="E287:P287" si="53">SUM(E277:E286)</f>
        <v>0</v>
      </c>
      <c r="F287" s="95">
        <f t="shared" si="53"/>
        <v>429000</v>
      </c>
      <c r="G287" s="95">
        <f t="shared" si="53"/>
        <v>0</v>
      </c>
      <c r="H287" s="95">
        <f t="shared" si="53"/>
        <v>600600</v>
      </c>
      <c r="I287" s="95">
        <f t="shared" si="53"/>
        <v>0</v>
      </c>
      <c r="J287" s="95">
        <f t="shared" si="53"/>
        <v>200000</v>
      </c>
      <c r="K287" s="95">
        <f t="shared" si="53"/>
        <v>0</v>
      </c>
      <c r="L287" s="95">
        <f t="shared" si="53"/>
        <v>0</v>
      </c>
      <c r="M287" s="95">
        <f t="shared" si="53"/>
        <v>0</v>
      </c>
      <c r="N287" s="95">
        <f t="shared" si="53"/>
        <v>1627954</v>
      </c>
      <c r="O287" s="49">
        <f t="shared" si="53"/>
        <v>127926</v>
      </c>
      <c r="P287" s="26">
        <f t="shared" si="53"/>
        <v>1500028</v>
      </c>
    </row>
    <row r="288" spans="1:17" x14ac:dyDescent="0.25">
      <c r="A288" s="183" t="s">
        <v>86</v>
      </c>
      <c r="B288" s="185" t="s">
        <v>17</v>
      </c>
      <c r="C288" s="2" t="s">
        <v>39</v>
      </c>
      <c r="D288" s="24">
        <v>646323</v>
      </c>
      <c r="E288" s="24"/>
      <c r="F288" s="24"/>
      <c r="G288" s="24"/>
      <c r="H288" s="24"/>
      <c r="I288" s="24"/>
      <c r="J288" s="24"/>
      <c r="K288" s="24"/>
      <c r="L288" s="24"/>
      <c r="M288" s="24"/>
      <c r="N288" s="24">
        <f>D288+E288+F288+H288+I288+K288+J288+L288</f>
        <v>646323</v>
      </c>
      <c r="O288" s="33">
        <v>420690</v>
      </c>
      <c r="P288" s="14">
        <f t="shared" ref="P288:P289" si="54">N288-O288</f>
        <v>225633</v>
      </c>
    </row>
    <row r="289" spans="1:16" x14ac:dyDescent="0.25">
      <c r="A289" s="195"/>
      <c r="B289" s="197"/>
      <c r="C289" s="2" t="s">
        <v>41</v>
      </c>
      <c r="D289" s="24">
        <v>107467</v>
      </c>
      <c r="E289" s="24"/>
      <c r="F289" s="24"/>
      <c r="G289" s="24"/>
      <c r="H289" s="24"/>
      <c r="I289" s="24"/>
      <c r="J289" s="24"/>
      <c r="K289" s="24"/>
      <c r="L289" s="24"/>
      <c r="M289" s="24"/>
      <c r="N289" s="24">
        <f>D289+E289+F289+H289+I289+K289+J289+L289</f>
        <v>107467</v>
      </c>
      <c r="O289" s="33">
        <v>72492</v>
      </c>
      <c r="P289" s="14">
        <f t="shared" si="54"/>
        <v>34975</v>
      </c>
    </row>
    <row r="290" spans="1:16" x14ac:dyDescent="0.25">
      <c r="A290" s="186" t="s">
        <v>116</v>
      </c>
      <c r="B290" s="187"/>
      <c r="C290" s="188"/>
      <c r="D290" s="99">
        <f>SUM(D259+D262+D263+D268+D275+D276+D287+D288+D289)</f>
        <v>8600388</v>
      </c>
      <c r="E290" s="99">
        <f t="shared" ref="E290:P290" si="55">SUM(E259+E262+E263+E268+E275+E276+E287+E288+E289)</f>
        <v>0</v>
      </c>
      <c r="F290" s="99">
        <f t="shared" si="55"/>
        <v>429000</v>
      </c>
      <c r="G290" s="99">
        <f t="shared" si="55"/>
        <v>0</v>
      </c>
      <c r="H290" s="99">
        <f t="shared" si="55"/>
        <v>600600</v>
      </c>
      <c r="I290" s="99">
        <f t="shared" si="55"/>
        <v>0</v>
      </c>
      <c r="J290" s="99">
        <f t="shared" si="55"/>
        <v>200000</v>
      </c>
      <c r="K290" s="99">
        <f t="shared" si="55"/>
        <v>0</v>
      </c>
      <c r="L290" s="99">
        <f t="shared" si="55"/>
        <v>0</v>
      </c>
      <c r="M290" s="99">
        <f t="shared" si="55"/>
        <v>0</v>
      </c>
      <c r="N290" s="99">
        <f t="shared" si="55"/>
        <v>9829988</v>
      </c>
      <c r="O290" s="59">
        <f t="shared" si="55"/>
        <v>5498903</v>
      </c>
      <c r="P290" s="59">
        <f t="shared" si="55"/>
        <v>4331085</v>
      </c>
    </row>
    <row r="291" spans="1:16" x14ac:dyDescent="0.25">
      <c r="A291" s="182" t="s">
        <v>67</v>
      </c>
      <c r="B291" s="4" t="s">
        <v>5</v>
      </c>
      <c r="C291" s="2" t="s">
        <v>66</v>
      </c>
      <c r="D291" s="24">
        <v>0</v>
      </c>
      <c r="E291" s="24"/>
      <c r="F291" s="24"/>
      <c r="G291" s="24"/>
      <c r="H291" s="24"/>
      <c r="I291" s="24"/>
      <c r="J291" s="24"/>
      <c r="K291" s="24"/>
      <c r="L291" s="24"/>
      <c r="M291" s="24"/>
      <c r="N291" s="24">
        <f>D291+E291+F291+H291+I291+K291+J291</f>
        <v>0</v>
      </c>
      <c r="O291" s="33">
        <v>0</v>
      </c>
      <c r="P291" s="14">
        <f t="shared" ref="P291:P293" si="56">N291-O291</f>
        <v>0</v>
      </c>
    </row>
    <row r="292" spans="1:16" x14ac:dyDescent="0.25">
      <c r="A292" s="182"/>
      <c r="B292" s="185" t="s">
        <v>38</v>
      </c>
      <c r="C292" s="2" t="s">
        <v>39</v>
      </c>
      <c r="D292" s="24">
        <v>0</v>
      </c>
      <c r="E292" s="24"/>
      <c r="F292" s="24"/>
      <c r="G292" s="24"/>
      <c r="H292" s="24"/>
      <c r="I292" s="24"/>
      <c r="J292" s="24"/>
      <c r="K292" s="24"/>
      <c r="L292" s="24"/>
      <c r="M292" s="24"/>
      <c r="N292" s="24">
        <f>D292+E292+F292+H292+I292+K292+J292</f>
        <v>0</v>
      </c>
      <c r="O292" s="33">
        <v>0</v>
      </c>
      <c r="P292" s="14">
        <f t="shared" si="56"/>
        <v>0</v>
      </c>
    </row>
    <row r="293" spans="1:16" x14ac:dyDescent="0.25">
      <c r="A293" s="182"/>
      <c r="B293" s="196"/>
      <c r="C293" s="2" t="s">
        <v>50</v>
      </c>
      <c r="D293" s="24">
        <v>0</v>
      </c>
      <c r="E293" s="24"/>
      <c r="F293" s="24"/>
      <c r="G293" s="24"/>
      <c r="H293" s="24"/>
      <c r="I293" s="24"/>
      <c r="J293" s="24"/>
      <c r="K293" s="24"/>
      <c r="L293" s="24"/>
      <c r="M293" s="24"/>
      <c r="N293" s="24">
        <f>D293+E293+F293+H293+I293+K293+J293</f>
        <v>0</v>
      </c>
      <c r="O293" s="33">
        <v>0</v>
      </c>
      <c r="P293" s="14">
        <f t="shared" si="56"/>
        <v>0</v>
      </c>
    </row>
    <row r="294" spans="1:16" x14ac:dyDescent="0.25">
      <c r="A294" s="182"/>
      <c r="B294" s="196"/>
      <c r="C294" s="6" t="s">
        <v>40</v>
      </c>
      <c r="D294" s="95">
        <v>0</v>
      </c>
      <c r="E294" s="95">
        <f t="shared" ref="E294:P294" si="57">SUM(E292:E293)</f>
        <v>0</v>
      </c>
      <c r="F294" s="95">
        <f t="shared" si="57"/>
        <v>0</v>
      </c>
      <c r="G294" s="95"/>
      <c r="H294" s="95">
        <f t="shared" si="57"/>
        <v>0</v>
      </c>
      <c r="I294" s="95">
        <f t="shared" si="57"/>
        <v>0</v>
      </c>
      <c r="J294" s="95">
        <f t="shared" si="57"/>
        <v>0</v>
      </c>
      <c r="K294" s="95">
        <f t="shared" si="57"/>
        <v>0</v>
      </c>
      <c r="L294" s="95">
        <f t="shared" si="57"/>
        <v>0</v>
      </c>
      <c r="M294" s="95">
        <f t="shared" si="57"/>
        <v>0</v>
      </c>
      <c r="N294" s="95">
        <f t="shared" si="57"/>
        <v>0</v>
      </c>
      <c r="O294" s="49">
        <f t="shared" si="57"/>
        <v>0</v>
      </c>
      <c r="P294" s="26">
        <f t="shared" si="57"/>
        <v>0</v>
      </c>
    </row>
    <row r="295" spans="1:16" x14ac:dyDescent="0.25">
      <c r="A295" s="182"/>
      <c r="B295" s="196"/>
      <c r="C295" s="57" t="s">
        <v>41</v>
      </c>
      <c r="D295" s="96">
        <v>0</v>
      </c>
      <c r="E295" s="96"/>
      <c r="F295" s="96"/>
      <c r="G295" s="96"/>
      <c r="H295" s="96"/>
      <c r="I295" s="96"/>
      <c r="J295" s="96"/>
      <c r="K295" s="96"/>
      <c r="L295" s="96"/>
      <c r="M295" s="96"/>
      <c r="N295" s="97">
        <f>D295+E295+F295+H295+I295+K295</f>
        <v>0</v>
      </c>
      <c r="O295" s="129">
        <v>0</v>
      </c>
      <c r="P295" s="55">
        <f t="shared" ref="P295:P297" si="58">N295-O295</f>
        <v>0</v>
      </c>
    </row>
    <row r="296" spans="1:16" x14ac:dyDescent="0.25">
      <c r="A296" s="182"/>
      <c r="B296" s="196"/>
      <c r="C296" s="2" t="s">
        <v>42</v>
      </c>
      <c r="D296" s="24">
        <v>0</v>
      </c>
      <c r="E296" s="24"/>
      <c r="F296" s="24"/>
      <c r="G296" s="24"/>
      <c r="H296" s="24"/>
      <c r="I296" s="24"/>
      <c r="J296" s="24"/>
      <c r="K296" s="24"/>
      <c r="L296" s="24"/>
      <c r="M296" s="24"/>
      <c r="N296" s="24">
        <f>D296+E296+F296+H296+I296+K296+J296</f>
        <v>0</v>
      </c>
      <c r="O296" s="33">
        <v>0</v>
      </c>
      <c r="P296" s="14">
        <f t="shared" si="58"/>
        <v>0</v>
      </c>
    </row>
    <row r="297" spans="1:16" x14ac:dyDescent="0.25">
      <c r="A297" s="182"/>
      <c r="B297" s="196"/>
      <c r="C297" s="2" t="s">
        <v>44</v>
      </c>
      <c r="D297" s="24">
        <v>0</v>
      </c>
      <c r="E297" s="24"/>
      <c r="F297" s="24"/>
      <c r="G297" s="24"/>
      <c r="H297" s="24"/>
      <c r="I297" s="24"/>
      <c r="J297" s="24"/>
      <c r="K297" s="24"/>
      <c r="L297" s="24"/>
      <c r="M297" s="24"/>
      <c r="N297" s="24">
        <f>D297+E297+F297+H297+I297+K297+J297</f>
        <v>0</v>
      </c>
      <c r="O297" s="33">
        <v>0</v>
      </c>
      <c r="P297" s="14">
        <f t="shared" si="58"/>
        <v>0</v>
      </c>
    </row>
    <row r="298" spans="1:16" x14ac:dyDescent="0.25">
      <c r="A298" s="182"/>
      <c r="B298" s="197"/>
      <c r="C298" s="6" t="s">
        <v>45</v>
      </c>
      <c r="D298" s="95">
        <v>0</v>
      </c>
      <c r="E298" s="95">
        <f t="shared" ref="E298:P298" si="59">SUM(E296:E297)</f>
        <v>0</v>
      </c>
      <c r="F298" s="95">
        <f t="shared" si="59"/>
        <v>0</v>
      </c>
      <c r="G298" s="95"/>
      <c r="H298" s="95">
        <f t="shared" si="59"/>
        <v>0</v>
      </c>
      <c r="I298" s="95">
        <f t="shared" si="59"/>
        <v>0</v>
      </c>
      <c r="J298" s="95">
        <f t="shared" si="59"/>
        <v>0</v>
      </c>
      <c r="K298" s="95">
        <f t="shared" si="59"/>
        <v>0</v>
      </c>
      <c r="L298" s="95">
        <f t="shared" si="59"/>
        <v>0</v>
      </c>
      <c r="M298" s="95">
        <f t="shared" si="59"/>
        <v>0</v>
      </c>
      <c r="N298" s="95">
        <f t="shared" si="59"/>
        <v>0</v>
      </c>
      <c r="O298" s="49">
        <f t="shared" si="59"/>
        <v>0</v>
      </c>
      <c r="P298" s="26">
        <f t="shared" si="59"/>
        <v>0</v>
      </c>
    </row>
    <row r="299" spans="1:16" x14ac:dyDescent="0.25">
      <c r="A299" s="182"/>
      <c r="B299" s="185" t="s">
        <v>17</v>
      </c>
      <c r="C299" s="2" t="s">
        <v>39</v>
      </c>
      <c r="D299" s="24">
        <v>2629062</v>
      </c>
      <c r="E299" s="24"/>
      <c r="F299" s="28"/>
      <c r="G299" s="28"/>
      <c r="H299" s="24"/>
      <c r="I299" s="24"/>
      <c r="J299" s="24"/>
      <c r="K299" s="24"/>
      <c r="L299" s="24"/>
      <c r="M299" s="24"/>
      <c r="N299" s="24">
        <f>D299+E299+F299+H299+I299+K299+J299</f>
        <v>2629062</v>
      </c>
      <c r="O299" s="33">
        <v>1756348</v>
      </c>
      <c r="P299" s="14">
        <f t="shared" ref="P299:P303" si="60">N299-O299</f>
        <v>872714</v>
      </c>
    </row>
    <row r="300" spans="1:16" x14ac:dyDescent="0.25">
      <c r="A300" s="182"/>
      <c r="B300" s="196"/>
      <c r="C300" s="2" t="s">
        <v>46</v>
      </c>
      <c r="D300" s="24">
        <v>100000</v>
      </c>
      <c r="E300" s="24"/>
      <c r="F300" s="28"/>
      <c r="G300" s="28"/>
      <c r="H300" s="24"/>
      <c r="I300" s="24"/>
      <c r="J300" s="24"/>
      <c r="K300" s="24"/>
      <c r="L300" s="24"/>
      <c r="M300" s="24"/>
      <c r="N300" s="24">
        <f>D300+E300+F300+H300+I300+K300+J300</f>
        <v>100000</v>
      </c>
      <c r="O300" s="33">
        <v>50000</v>
      </c>
      <c r="P300" s="14">
        <f t="shared" si="60"/>
        <v>50000</v>
      </c>
    </row>
    <row r="301" spans="1:16" x14ac:dyDescent="0.25">
      <c r="A301" s="182"/>
      <c r="B301" s="196"/>
      <c r="C301" s="2" t="s">
        <v>47</v>
      </c>
      <c r="D301" s="24">
        <v>5000</v>
      </c>
      <c r="E301" s="24"/>
      <c r="F301" s="28"/>
      <c r="G301" s="28"/>
      <c r="H301" s="24"/>
      <c r="I301" s="24"/>
      <c r="J301" s="24"/>
      <c r="K301" s="24"/>
      <c r="L301" s="24"/>
      <c r="M301" s="24"/>
      <c r="N301" s="24">
        <f>D301+E301+F301+H301+I301+K301+J301</f>
        <v>5000</v>
      </c>
      <c r="O301" s="33">
        <v>0</v>
      </c>
      <c r="P301" s="14">
        <f t="shared" si="60"/>
        <v>5000</v>
      </c>
    </row>
    <row r="302" spans="1:16" x14ac:dyDescent="0.25">
      <c r="A302" s="182"/>
      <c r="B302" s="196"/>
      <c r="C302" s="2" t="s">
        <v>49</v>
      </c>
      <c r="D302" s="24">
        <v>12000</v>
      </c>
      <c r="E302" s="24"/>
      <c r="F302" s="28"/>
      <c r="G302" s="28"/>
      <c r="H302" s="24"/>
      <c r="I302" s="24"/>
      <c r="J302" s="24"/>
      <c r="K302" s="24"/>
      <c r="L302" s="24"/>
      <c r="M302" s="24"/>
      <c r="N302" s="24">
        <f>D302+E302+F302+H302+I302+K302+J302</f>
        <v>12000</v>
      </c>
      <c r="O302" s="33">
        <v>6000</v>
      </c>
      <c r="P302" s="14">
        <f t="shared" si="60"/>
        <v>6000</v>
      </c>
    </row>
    <row r="303" spans="1:16" x14ac:dyDescent="0.25">
      <c r="A303" s="182"/>
      <c r="B303" s="196"/>
      <c r="C303" s="2" t="s">
        <v>50</v>
      </c>
      <c r="D303" s="24">
        <v>0</v>
      </c>
      <c r="E303" s="24"/>
      <c r="F303" s="28"/>
      <c r="G303" s="28"/>
      <c r="H303" s="24"/>
      <c r="I303" s="24"/>
      <c r="J303" s="24"/>
      <c r="K303" s="24"/>
      <c r="L303" s="24"/>
      <c r="M303" s="24"/>
      <c r="N303" s="24">
        <f>D303+E303+F303+H303+I303+K303+J303</f>
        <v>0</v>
      </c>
      <c r="O303" s="33">
        <v>0</v>
      </c>
      <c r="P303" s="14">
        <f t="shared" si="60"/>
        <v>0</v>
      </c>
    </row>
    <row r="304" spans="1:16" x14ac:dyDescent="0.25">
      <c r="A304" s="182"/>
      <c r="B304" s="196"/>
      <c r="C304" s="6" t="s">
        <v>40</v>
      </c>
      <c r="D304" s="95">
        <f>SUM(D299:D303)</f>
        <v>2746062</v>
      </c>
      <c r="E304" s="95">
        <f t="shared" ref="E304:P304" si="61">SUM(E299:E303)</f>
        <v>0</v>
      </c>
      <c r="F304" s="95">
        <f t="shared" si="61"/>
        <v>0</v>
      </c>
      <c r="G304" s="95"/>
      <c r="H304" s="95">
        <f t="shared" si="61"/>
        <v>0</v>
      </c>
      <c r="I304" s="95">
        <f t="shared" si="61"/>
        <v>0</v>
      </c>
      <c r="J304" s="95">
        <f t="shared" si="61"/>
        <v>0</v>
      </c>
      <c r="K304" s="95">
        <f t="shared" si="61"/>
        <v>0</v>
      </c>
      <c r="L304" s="95">
        <f t="shared" si="61"/>
        <v>0</v>
      </c>
      <c r="M304" s="95">
        <f t="shared" si="61"/>
        <v>0</v>
      </c>
      <c r="N304" s="95">
        <f t="shared" si="61"/>
        <v>2746062</v>
      </c>
      <c r="O304" s="49">
        <f t="shared" si="61"/>
        <v>1812348</v>
      </c>
      <c r="P304" s="26">
        <f t="shared" si="61"/>
        <v>933714</v>
      </c>
    </row>
    <row r="305" spans="1:17" x14ac:dyDescent="0.25">
      <c r="A305" s="182"/>
      <c r="B305" s="196"/>
      <c r="C305" s="57" t="s">
        <v>41</v>
      </c>
      <c r="D305" s="96">
        <v>495561</v>
      </c>
      <c r="E305" s="96"/>
      <c r="F305" s="96"/>
      <c r="G305" s="96"/>
      <c r="H305" s="96"/>
      <c r="I305" s="96"/>
      <c r="J305" s="96"/>
      <c r="K305" s="96"/>
      <c r="L305" s="96"/>
      <c r="M305" s="96"/>
      <c r="N305" s="97">
        <f>D305+E305+F305+H305+I305+K305</f>
        <v>495561</v>
      </c>
      <c r="O305" s="129">
        <v>313276</v>
      </c>
      <c r="P305" s="55">
        <f t="shared" ref="P305:P313" si="62">N305-O305</f>
        <v>182285</v>
      </c>
    </row>
    <row r="306" spans="1:17" x14ac:dyDescent="0.25">
      <c r="A306" s="182"/>
      <c r="B306" s="196"/>
      <c r="C306" s="2" t="s">
        <v>42</v>
      </c>
      <c r="D306" s="24">
        <v>20000</v>
      </c>
      <c r="E306" s="24">
        <f>-70000-107510-24197+2572</f>
        <v>-199135</v>
      </c>
      <c r="F306" s="24">
        <v>337795</v>
      </c>
      <c r="G306" s="24"/>
      <c r="H306" s="24">
        <v>236457</v>
      </c>
      <c r="I306" s="24"/>
      <c r="J306" s="24"/>
      <c r="K306" s="24"/>
      <c r="L306" s="24"/>
      <c r="M306" s="24"/>
      <c r="N306" s="28">
        <f t="shared" ref="N306:N313" si="63">D306+E306+F306+H306+I306+K306+J306+L306+M306</f>
        <v>395117</v>
      </c>
      <c r="O306" s="33">
        <v>29687</v>
      </c>
      <c r="P306" s="14">
        <f t="shared" si="62"/>
        <v>365430</v>
      </c>
    </row>
    <row r="307" spans="1:17" x14ac:dyDescent="0.25">
      <c r="A307" s="182"/>
      <c r="B307" s="196"/>
      <c r="C307" s="2" t="s">
        <v>52</v>
      </c>
      <c r="D307" s="24">
        <v>50000</v>
      </c>
      <c r="E307" s="24">
        <f>70000+107510+24197-2572</f>
        <v>199135</v>
      </c>
      <c r="F307" s="24"/>
      <c r="G307" s="24"/>
      <c r="H307" s="24"/>
      <c r="I307" s="24"/>
      <c r="J307" s="24">
        <v>78740</v>
      </c>
      <c r="K307" s="24"/>
      <c r="L307" s="24"/>
      <c r="M307" s="24"/>
      <c r="N307" s="28">
        <f t="shared" si="63"/>
        <v>327875</v>
      </c>
      <c r="O307" s="33">
        <v>107510</v>
      </c>
      <c r="P307" s="14">
        <f t="shared" si="62"/>
        <v>220365</v>
      </c>
    </row>
    <row r="308" spans="1:17" x14ac:dyDescent="0.25">
      <c r="A308" s="182"/>
      <c r="B308" s="196"/>
      <c r="C308" s="30" t="s">
        <v>54</v>
      </c>
      <c r="D308" s="24">
        <v>0</v>
      </c>
      <c r="E308" s="24"/>
      <c r="F308" s="24"/>
      <c r="G308" s="24"/>
      <c r="H308" s="24"/>
      <c r="I308" s="24"/>
      <c r="J308" s="24"/>
      <c r="K308" s="24"/>
      <c r="L308" s="24"/>
      <c r="M308" s="24"/>
      <c r="N308" s="28">
        <f t="shared" si="63"/>
        <v>0</v>
      </c>
      <c r="O308" s="33">
        <v>0</v>
      </c>
      <c r="P308" s="33">
        <f t="shared" si="62"/>
        <v>0</v>
      </c>
    </row>
    <row r="309" spans="1:17" s="19" customFormat="1" x14ac:dyDescent="0.25">
      <c r="A309" s="182"/>
      <c r="B309" s="196"/>
      <c r="C309" s="30" t="s">
        <v>56</v>
      </c>
      <c r="D309" s="28">
        <v>5000</v>
      </c>
      <c r="E309" s="28"/>
      <c r="F309" s="28"/>
      <c r="G309" s="28"/>
      <c r="H309" s="28"/>
      <c r="I309" s="28"/>
      <c r="J309" s="28"/>
      <c r="K309" s="28"/>
      <c r="L309" s="28"/>
      <c r="M309" s="28"/>
      <c r="N309" s="28">
        <f t="shared" si="63"/>
        <v>5000</v>
      </c>
      <c r="O309" s="32">
        <v>0</v>
      </c>
      <c r="P309" s="21">
        <f t="shared" si="62"/>
        <v>5000</v>
      </c>
      <c r="Q309" s="53"/>
    </row>
    <row r="310" spans="1:17" x14ac:dyDescent="0.25">
      <c r="A310" s="182"/>
      <c r="B310" s="196"/>
      <c r="C310" s="2" t="s">
        <v>43</v>
      </c>
      <c r="D310" s="24">
        <v>8400</v>
      </c>
      <c r="E310" s="24"/>
      <c r="F310" s="24"/>
      <c r="G310" s="24"/>
      <c r="H310" s="24"/>
      <c r="I310" s="28"/>
      <c r="J310" s="28"/>
      <c r="K310" s="24"/>
      <c r="L310" s="24"/>
      <c r="M310" s="24"/>
      <c r="N310" s="28">
        <f t="shared" si="63"/>
        <v>8400</v>
      </c>
      <c r="O310" s="33">
        <v>4200</v>
      </c>
      <c r="P310" s="14">
        <f t="shared" si="62"/>
        <v>4200</v>
      </c>
    </row>
    <row r="311" spans="1:17" x14ac:dyDescent="0.25">
      <c r="A311" s="182"/>
      <c r="B311" s="196"/>
      <c r="C311" s="2" t="s">
        <v>57</v>
      </c>
      <c r="D311" s="24">
        <v>0</v>
      </c>
      <c r="E311" s="24"/>
      <c r="F311" s="24"/>
      <c r="G311" s="24"/>
      <c r="H311" s="24"/>
      <c r="I311" s="28"/>
      <c r="J311" s="28"/>
      <c r="K311" s="24"/>
      <c r="L311" s="24"/>
      <c r="M311" s="24"/>
      <c r="N311" s="28">
        <f t="shared" si="63"/>
        <v>0</v>
      </c>
      <c r="O311" s="33">
        <v>0</v>
      </c>
      <c r="P311" s="14">
        <f t="shared" si="62"/>
        <v>0</v>
      </c>
    </row>
    <row r="312" spans="1:17" x14ac:dyDescent="0.25">
      <c r="A312" s="182"/>
      <c r="B312" s="196"/>
      <c r="C312" s="2" t="s">
        <v>44</v>
      </c>
      <c r="D312" s="24">
        <v>18050</v>
      </c>
      <c r="E312" s="24"/>
      <c r="F312" s="24">
        <v>91205</v>
      </c>
      <c r="G312" s="24"/>
      <c r="H312" s="24">
        <v>63843</v>
      </c>
      <c r="I312" s="28"/>
      <c r="J312" s="28">
        <v>21260</v>
      </c>
      <c r="K312" s="24"/>
      <c r="L312" s="24"/>
      <c r="M312" s="24"/>
      <c r="N312" s="28">
        <f t="shared" si="63"/>
        <v>194358</v>
      </c>
      <c r="O312" s="33">
        <v>33384</v>
      </c>
      <c r="P312" s="14">
        <f t="shared" si="62"/>
        <v>160974</v>
      </c>
    </row>
    <row r="313" spans="1:17" x14ac:dyDescent="0.25">
      <c r="A313" s="182"/>
      <c r="B313" s="196"/>
      <c r="C313" s="2" t="s">
        <v>59</v>
      </c>
      <c r="D313" s="24">
        <v>0</v>
      </c>
      <c r="E313" s="24"/>
      <c r="F313" s="24"/>
      <c r="G313" s="24"/>
      <c r="H313" s="24"/>
      <c r="I313" s="24"/>
      <c r="J313" s="24"/>
      <c r="K313" s="24"/>
      <c r="L313" s="24"/>
      <c r="M313" s="24"/>
      <c r="N313" s="28">
        <f t="shared" si="63"/>
        <v>0</v>
      </c>
      <c r="O313" s="33">
        <v>0</v>
      </c>
      <c r="P313" s="14">
        <f t="shared" si="62"/>
        <v>0</v>
      </c>
    </row>
    <row r="314" spans="1:17" x14ac:dyDescent="0.25">
      <c r="A314" s="182"/>
      <c r="B314" s="196"/>
      <c r="C314" s="6" t="s">
        <v>45</v>
      </c>
      <c r="D314" s="95">
        <f>SUM(D306:D313)</f>
        <v>101450</v>
      </c>
      <c r="E314" s="95">
        <f t="shared" ref="E314:P314" si="64">SUM(E306:E313)</f>
        <v>0</v>
      </c>
      <c r="F314" s="95">
        <f t="shared" si="64"/>
        <v>429000</v>
      </c>
      <c r="G314" s="95">
        <f t="shared" si="64"/>
        <v>0</v>
      </c>
      <c r="H314" s="95">
        <f t="shared" si="64"/>
        <v>300300</v>
      </c>
      <c r="I314" s="95">
        <f t="shared" si="64"/>
        <v>0</v>
      </c>
      <c r="J314" s="95">
        <f t="shared" si="64"/>
        <v>100000</v>
      </c>
      <c r="K314" s="95">
        <f t="shared" si="64"/>
        <v>0</v>
      </c>
      <c r="L314" s="95">
        <f t="shared" si="64"/>
        <v>0</v>
      </c>
      <c r="M314" s="95">
        <f t="shared" si="64"/>
        <v>0</v>
      </c>
      <c r="N314" s="95">
        <f t="shared" si="64"/>
        <v>930750</v>
      </c>
      <c r="O314" s="49">
        <f t="shared" si="64"/>
        <v>174781</v>
      </c>
      <c r="P314" s="26">
        <f t="shared" si="64"/>
        <v>755969</v>
      </c>
    </row>
    <row r="315" spans="1:17" x14ac:dyDescent="0.25">
      <c r="A315" s="182"/>
      <c r="B315" s="196"/>
      <c r="C315" s="2" t="s">
        <v>111</v>
      </c>
      <c r="D315" s="24">
        <v>0</v>
      </c>
      <c r="E315" s="24"/>
      <c r="F315" s="24"/>
      <c r="G315" s="24"/>
      <c r="H315" s="24"/>
      <c r="I315" s="24"/>
      <c r="J315" s="24"/>
      <c r="K315" s="24"/>
      <c r="L315" s="24"/>
      <c r="M315" s="24"/>
      <c r="N315" s="24">
        <f>D315+E315+F315+H315+I315+K315+J315</f>
        <v>0</v>
      </c>
      <c r="O315" s="33">
        <v>0</v>
      </c>
      <c r="P315" s="14">
        <f t="shared" ref="P315:P316" si="65">N315-O315</f>
        <v>0</v>
      </c>
    </row>
    <row r="316" spans="1:17" x14ac:dyDescent="0.25">
      <c r="A316" s="182"/>
      <c r="B316" s="196"/>
      <c r="C316" s="2" t="s">
        <v>112</v>
      </c>
      <c r="D316" s="24">
        <v>0</v>
      </c>
      <c r="E316" s="24"/>
      <c r="F316" s="24"/>
      <c r="G316" s="24"/>
      <c r="H316" s="24"/>
      <c r="I316" s="24"/>
      <c r="J316" s="24"/>
      <c r="K316" s="24"/>
      <c r="L316" s="24"/>
      <c r="M316" s="24"/>
      <c r="N316" s="24">
        <f>D316+E316+F316+H316+I316+K316+J316</f>
        <v>0</v>
      </c>
      <c r="O316" s="33">
        <v>0</v>
      </c>
      <c r="P316" s="14">
        <f t="shared" si="65"/>
        <v>0</v>
      </c>
    </row>
    <row r="317" spans="1:17" x14ac:dyDescent="0.25">
      <c r="A317" s="182"/>
      <c r="B317" s="197"/>
      <c r="C317" s="6" t="s">
        <v>113</v>
      </c>
      <c r="D317" s="95">
        <f>SUM(D315:D316)</f>
        <v>0</v>
      </c>
      <c r="E317" s="95">
        <f t="shared" ref="E317:P317" si="66">SUM(E315:E316)</f>
        <v>0</v>
      </c>
      <c r="F317" s="95">
        <f t="shared" si="66"/>
        <v>0</v>
      </c>
      <c r="G317" s="95"/>
      <c r="H317" s="95">
        <f t="shared" si="66"/>
        <v>0</v>
      </c>
      <c r="I317" s="95">
        <f t="shared" si="66"/>
        <v>0</v>
      </c>
      <c r="J317" s="95">
        <f t="shared" si="66"/>
        <v>0</v>
      </c>
      <c r="K317" s="95">
        <f t="shared" si="66"/>
        <v>0</v>
      </c>
      <c r="L317" s="95">
        <f t="shared" si="66"/>
        <v>0</v>
      </c>
      <c r="M317" s="95">
        <f t="shared" si="66"/>
        <v>0</v>
      </c>
      <c r="N317" s="95">
        <f t="shared" si="66"/>
        <v>0</v>
      </c>
      <c r="O317" s="49">
        <f t="shared" si="66"/>
        <v>0</v>
      </c>
      <c r="P317" s="26">
        <f t="shared" si="66"/>
        <v>0</v>
      </c>
    </row>
    <row r="318" spans="1:17" x14ac:dyDescent="0.25">
      <c r="A318" s="182"/>
      <c r="B318" s="184" t="s">
        <v>20</v>
      </c>
      <c r="C318" s="2" t="s">
        <v>61</v>
      </c>
      <c r="D318" s="24">
        <v>72000</v>
      </c>
      <c r="E318" s="24"/>
      <c r="F318" s="24"/>
      <c r="G318" s="24"/>
      <c r="H318" s="24"/>
      <c r="I318" s="24"/>
      <c r="J318" s="24"/>
      <c r="K318" s="24"/>
      <c r="L318" s="24"/>
      <c r="M318" s="24"/>
      <c r="N318" s="24">
        <f>D318+E318+F318+H318+I318+K318+J318</f>
        <v>72000</v>
      </c>
      <c r="O318" s="33">
        <v>42000</v>
      </c>
      <c r="P318" s="14">
        <f t="shared" ref="P318:P321" si="67">N318-O318</f>
        <v>30000</v>
      </c>
    </row>
    <row r="319" spans="1:17" s="19" customFormat="1" x14ac:dyDescent="0.25">
      <c r="A319" s="182"/>
      <c r="B319" s="184"/>
      <c r="C319" s="30" t="s">
        <v>56</v>
      </c>
      <c r="D319" s="28">
        <v>15000</v>
      </c>
      <c r="E319" s="28"/>
      <c r="F319" s="28"/>
      <c r="G319" s="28"/>
      <c r="H319" s="28"/>
      <c r="I319" s="28"/>
      <c r="J319" s="28">
        <v>11811</v>
      </c>
      <c r="K319" s="28"/>
      <c r="L319" s="28"/>
      <c r="M319" s="28"/>
      <c r="N319" s="28">
        <f>D319+E319+F319+H319+I319+K319+J319</f>
        <v>26811</v>
      </c>
      <c r="O319" s="32">
        <v>12000</v>
      </c>
      <c r="P319" s="21">
        <f t="shared" si="67"/>
        <v>14811</v>
      </c>
      <c r="Q319" s="53"/>
    </row>
    <row r="320" spans="1:17" x14ac:dyDescent="0.25">
      <c r="A320" s="182"/>
      <c r="B320" s="184"/>
      <c r="C320" s="2" t="s">
        <v>57</v>
      </c>
      <c r="D320" s="24">
        <v>0</v>
      </c>
      <c r="E320" s="24"/>
      <c r="F320" s="24"/>
      <c r="G320" s="24"/>
      <c r="H320" s="24"/>
      <c r="I320" s="24"/>
      <c r="J320" s="24"/>
      <c r="K320" s="24"/>
      <c r="L320" s="24"/>
      <c r="M320" s="24"/>
      <c r="N320" s="24">
        <f>D320+E320+F320+H320+I320+K320+J320</f>
        <v>0</v>
      </c>
      <c r="O320" s="33">
        <v>0</v>
      </c>
      <c r="P320" s="14">
        <f t="shared" si="67"/>
        <v>0</v>
      </c>
    </row>
    <row r="321" spans="1:16" x14ac:dyDescent="0.25">
      <c r="A321" s="182"/>
      <c r="B321" s="184"/>
      <c r="C321" s="2" t="s">
        <v>44</v>
      </c>
      <c r="D321" s="24">
        <v>23490</v>
      </c>
      <c r="E321" s="24"/>
      <c r="F321" s="24"/>
      <c r="G321" s="24"/>
      <c r="H321" s="24"/>
      <c r="I321" s="24"/>
      <c r="J321" s="24">
        <v>3189</v>
      </c>
      <c r="K321" s="24"/>
      <c r="L321" s="24"/>
      <c r="M321" s="24"/>
      <c r="N321" s="24">
        <f>D321+E321+F321+H321+I321+K321+J321</f>
        <v>26679</v>
      </c>
      <c r="O321" s="33">
        <v>14580</v>
      </c>
      <c r="P321" s="21">
        <f t="shared" si="67"/>
        <v>12099</v>
      </c>
    </row>
    <row r="322" spans="1:16" x14ac:dyDescent="0.25">
      <c r="A322" s="182"/>
      <c r="B322" s="184"/>
      <c r="C322" s="6" t="s">
        <v>45</v>
      </c>
      <c r="D322" s="95">
        <f>SUM(D318:D321)</f>
        <v>110490</v>
      </c>
      <c r="E322" s="95">
        <f t="shared" ref="E322:P322" si="68">SUM(E318:E321)</f>
        <v>0</v>
      </c>
      <c r="F322" s="95">
        <f t="shared" si="68"/>
        <v>0</v>
      </c>
      <c r="G322" s="95"/>
      <c r="H322" s="95">
        <f t="shared" si="68"/>
        <v>0</v>
      </c>
      <c r="I322" s="95">
        <f t="shared" si="68"/>
        <v>0</v>
      </c>
      <c r="J322" s="95">
        <f t="shared" si="68"/>
        <v>15000</v>
      </c>
      <c r="K322" s="95">
        <f t="shared" si="68"/>
        <v>0</v>
      </c>
      <c r="L322" s="95">
        <f t="shared" si="68"/>
        <v>0</v>
      </c>
      <c r="M322" s="95">
        <f t="shared" si="68"/>
        <v>0</v>
      </c>
      <c r="N322" s="95">
        <f t="shared" si="68"/>
        <v>125490</v>
      </c>
      <c r="O322" s="49">
        <f t="shared" si="68"/>
        <v>68580</v>
      </c>
      <c r="P322" s="26">
        <f t="shared" si="68"/>
        <v>56910</v>
      </c>
    </row>
    <row r="323" spans="1:16" x14ac:dyDescent="0.25">
      <c r="A323" s="183" t="s">
        <v>87</v>
      </c>
      <c r="B323" s="185" t="s">
        <v>17</v>
      </c>
      <c r="C323" s="2" t="s">
        <v>39</v>
      </c>
      <c r="D323" s="24">
        <v>274256</v>
      </c>
      <c r="E323" s="24"/>
      <c r="F323" s="24"/>
      <c r="G323" s="24"/>
      <c r="H323" s="24"/>
      <c r="I323" s="24"/>
      <c r="J323" s="24"/>
      <c r="K323" s="24"/>
      <c r="L323" s="24"/>
      <c r="M323" s="24"/>
      <c r="N323" s="24">
        <f>D323+E323+F323+H323+I323+K323+J323+L323</f>
        <v>274256</v>
      </c>
      <c r="O323" s="33">
        <v>178437</v>
      </c>
      <c r="P323" s="14">
        <f t="shared" ref="P323:P324" si="69">N323-O323</f>
        <v>95819</v>
      </c>
    </row>
    <row r="324" spans="1:16" x14ac:dyDescent="0.25">
      <c r="A324" s="195"/>
      <c r="B324" s="197"/>
      <c r="C324" s="2" t="s">
        <v>41</v>
      </c>
      <c r="D324" s="24">
        <v>45599</v>
      </c>
      <c r="E324" s="24"/>
      <c r="F324" s="24"/>
      <c r="G324" s="24"/>
      <c r="H324" s="24"/>
      <c r="I324" s="24"/>
      <c r="J324" s="24"/>
      <c r="K324" s="24"/>
      <c r="L324" s="24"/>
      <c r="M324" s="24"/>
      <c r="N324" s="24">
        <f>D324+E324+F324+H324+I324+K324+J324+L324</f>
        <v>45599</v>
      </c>
      <c r="O324" s="33">
        <v>30745</v>
      </c>
      <c r="P324" s="14">
        <f t="shared" si="69"/>
        <v>14854</v>
      </c>
    </row>
    <row r="325" spans="1:16" x14ac:dyDescent="0.25">
      <c r="A325" s="186" t="s">
        <v>117</v>
      </c>
      <c r="B325" s="187"/>
      <c r="C325" s="188"/>
      <c r="D325" s="113">
        <f>SUM(D291+D294+D295+D298+D304+D305+D314+D317+D322+D323+D324)</f>
        <v>3773418</v>
      </c>
      <c r="E325" s="99">
        <f t="shared" ref="E325:P325" si="70">SUM(E291+E294+E295+E298+E304+E305+E314+E317+E322+E323+E324)</f>
        <v>0</v>
      </c>
      <c r="F325" s="99">
        <f t="shared" si="70"/>
        <v>429000</v>
      </c>
      <c r="G325" s="99">
        <f t="shared" si="70"/>
        <v>0</v>
      </c>
      <c r="H325" s="99">
        <f t="shared" si="70"/>
        <v>300300</v>
      </c>
      <c r="I325" s="99">
        <f t="shared" si="70"/>
        <v>0</v>
      </c>
      <c r="J325" s="99">
        <f t="shared" si="70"/>
        <v>115000</v>
      </c>
      <c r="K325" s="99">
        <f t="shared" si="70"/>
        <v>0</v>
      </c>
      <c r="L325" s="99">
        <f t="shared" si="70"/>
        <v>0</v>
      </c>
      <c r="M325" s="99">
        <f t="shared" si="70"/>
        <v>0</v>
      </c>
      <c r="N325" s="99">
        <f t="shared" si="70"/>
        <v>4617718</v>
      </c>
      <c r="O325" s="131">
        <f>SUM(O291+O294+O295+O298+O304+O305+O314+O317+O322+O323+O324)</f>
        <v>2578167</v>
      </c>
      <c r="P325" s="59">
        <f t="shared" si="70"/>
        <v>2039551</v>
      </c>
    </row>
    <row r="326" spans="1:16" x14ac:dyDescent="0.25">
      <c r="A326" s="182" t="s">
        <v>68</v>
      </c>
      <c r="B326" s="184" t="s">
        <v>38</v>
      </c>
      <c r="C326" s="7" t="s">
        <v>39</v>
      </c>
      <c r="D326" s="100">
        <v>944636</v>
      </c>
      <c r="E326" s="100"/>
      <c r="F326" s="100"/>
      <c r="G326" s="100"/>
      <c r="H326" s="100"/>
      <c r="I326" s="100"/>
      <c r="J326" s="100"/>
      <c r="K326" s="100"/>
      <c r="L326" s="100"/>
      <c r="M326" s="100"/>
      <c r="N326" s="24">
        <f>D326+E326+F326+H326+I326+K326+J326</f>
        <v>944636</v>
      </c>
      <c r="O326" s="132">
        <v>596651</v>
      </c>
      <c r="P326" s="14">
        <f t="shared" ref="P326:P393" si="71">N326-O326</f>
        <v>347985</v>
      </c>
    </row>
    <row r="327" spans="1:16" x14ac:dyDescent="0.25">
      <c r="A327" s="182"/>
      <c r="B327" s="184"/>
      <c r="C327" s="7" t="s">
        <v>50</v>
      </c>
      <c r="D327" s="100">
        <v>33724</v>
      </c>
      <c r="E327" s="100"/>
      <c r="F327" s="100"/>
      <c r="G327" s="100"/>
      <c r="H327" s="100"/>
      <c r="I327" s="100"/>
      <c r="J327" s="100"/>
      <c r="K327" s="100"/>
      <c r="L327" s="100"/>
      <c r="M327" s="100"/>
      <c r="N327" s="24">
        <f>D327+E327+F327+H327+I327+K327+J327</f>
        <v>33724</v>
      </c>
      <c r="O327" s="132">
        <v>33724</v>
      </c>
      <c r="P327" s="21">
        <f t="shared" si="71"/>
        <v>0</v>
      </c>
    </row>
    <row r="328" spans="1:16" x14ac:dyDescent="0.25">
      <c r="A328" s="182"/>
      <c r="B328" s="184"/>
      <c r="C328" s="6" t="s">
        <v>40</v>
      </c>
      <c r="D328" s="95">
        <f>SUM(D326:D327)</f>
        <v>978360</v>
      </c>
      <c r="E328" s="95">
        <f t="shared" ref="E328:P328" si="72">SUM(E326:E327)</f>
        <v>0</v>
      </c>
      <c r="F328" s="95">
        <f t="shared" si="72"/>
        <v>0</v>
      </c>
      <c r="G328" s="95"/>
      <c r="H328" s="95">
        <f t="shared" si="72"/>
        <v>0</v>
      </c>
      <c r="I328" s="95">
        <f t="shared" si="72"/>
        <v>0</v>
      </c>
      <c r="J328" s="95">
        <f t="shared" si="72"/>
        <v>0</v>
      </c>
      <c r="K328" s="95">
        <f t="shared" si="72"/>
        <v>0</v>
      </c>
      <c r="L328" s="95">
        <f t="shared" si="72"/>
        <v>0</v>
      </c>
      <c r="M328" s="95">
        <f t="shared" si="72"/>
        <v>0</v>
      </c>
      <c r="N328" s="95">
        <f t="shared" si="72"/>
        <v>978360</v>
      </c>
      <c r="O328" s="49">
        <f t="shared" si="72"/>
        <v>630375</v>
      </c>
      <c r="P328" s="26">
        <f t="shared" si="72"/>
        <v>347985</v>
      </c>
    </row>
    <row r="329" spans="1:16" x14ac:dyDescent="0.25">
      <c r="A329" s="182"/>
      <c r="B329" s="184"/>
      <c r="C329" s="57" t="s">
        <v>41</v>
      </c>
      <c r="D329" s="96">
        <v>85607</v>
      </c>
      <c r="E329" s="96"/>
      <c r="F329" s="96"/>
      <c r="G329" s="96"/>
      <c r="H329" s="96"/>
      <c r="I329" s="96"/>
      <c r="J329" s="96"/>
      <c r="K329" s="96"/>
      <c r="L329" s="96"/>
      <c r="M329" s="96"/>
      <c r="N329" s="97">
        <f>D329+E329+F329+H329+I329+K329</f>
        <v>85607</v>
      </c>
      <c r="O329" s="129">
        <v>58536</v>
      </c>
      <c r="P329" s="55">
        <f t="shared" si="71"/>
        <v>27071</v>
      </c>
    </row>
    <row r="330" spans="1:16" x14ac:dyDescent="0.25">
      <c r="A330" s="182"/>
      <c r="B330" s="184"/>
      <c r="C330" s="2" t="s">
        <v>42</v>
      </c>
      <c r="D330" s="24">
        <v>0</v>
      </c>
      <c r="E330" s="24"/>
      <c r="F330" s="24"/>
      <c r="G330" s="24"/>
      <c r="H330" s="24"/>
      <c r="I330" s="24"/>
      <c r="J330" s="24"/>
      <c r="K330" s="24"/>
      <c r="L330" s="24"/>
      <c r="M330" s="24"/>
      <c r="N330" s="24">
        <f>D330+E330+F330+H330+I330+K330+J330</f>
        <v>0</v>
      </c>
      <c r="O330" s="33">
        <v>0</v>
      </c>
      <c r="P330" s="32">
        <f t="shared" si="71"/>
        <v>0</v>
      </c>
    </row>
    <row r="331" spans="1:16" x14ac:dyDescent="0.25">
      <c r="A331" s="182"/>
      <c r="B331" s="184"/>
      <c r="C331" s="30" t="s">
        <v>43</v>
      </c>
      <c r="D331" s="24">
        <v>0</v>
      </c>
      <c r="E331" s="24"/>
      <c r="F331" s="24"/>
      <c r="G331" s="24"/>
      <c r="H331" s="24"/>
      <c r="I331" s="24"/>
      <c r="J331" s="24"/>
      <c r="K331" s="24"/>
      <c r="L331" s="24"/>
      <c r="M331" s="24"/>
      <c r="N331" s="24">
        <f>D331+E331+F331+H331+I331+K331+J331</f>
        <v>0</v>
      </c>
      <c r="O331" s="33">
        <v>0</v>
      </c>
      <c r="P331" s="32">
        <f t="shared" si="71"/>
        <v>0</v>
      </c>
    </row>
    <row r="332" spans="1:16" x14ac:dyDescent="0.25">
      <c r="A332" s="182"/>
      <c r="B332" s="184"/>
      <c r="C332" s="2" t="s">
        <v>44</v>
      </c>
      <c r="D332" s="24">
        <v>0</v>
      </c>
      <c r="E332" s="24"/>
      <c r="F332" s="24"/>
      <c r="G332" s="24"/>
      <c r="H332" s="24"/>
      <c r="I332" s="24"/>
      <c r="J332" s="24"/>
      <c r="K332" s="24"/>
      <c r="L332" s="24"/>
      <c r="M332" s="24"/>
      <c r="N332" s="24">
        <f>D332+E332+F332+H332+I332+K332+J332</f>
        <v>0</v>
      </c>
      <c r="O332" s="33">
        <v>0</v>
      </c>
      <c r="P332" s="32">
        <f t="shared" si="71"/>
        <v>0</v>
      </c>
    </row>
    <row r="333" spans="1:16" x14ac:dyDescent="0.25">
      <c r="A333" s="182"/>
      <c r="B333" s="184"/>
      <c r="C333" s="6" t="s">
        <v>45</v>
      </c>
      <c r="D333" s="95">
        <f>SUM(D330:D332)</f>
        <v>0</v>
      </c>
      <c r="E333" s="95">
        <f t="shared" ref="E333:P333" si="73">SUM(E330:E332)</f>
        <v>0</v>
      </c>
      <c r="F333" s="95">
        <f t="shared" si="73"/>
        <v>0</v>
      </c>
      <c r="G333" s="95"/>
      <c r="H333" s="95">
        <f t="shared" si="73"/>
        <v>0</v>
      </c>
      <c r="I333" s="95">
        <f t="shared" si="73"/>
        <v>0</v>
      </c>
      <c r="J333" s="95">
        <f t="shared" si="73"/>
        <v>0</v>
      </c>
      <c r="K333" s="95">
        <f t="shared" si="73"/>
        <v>0</v>
      </c>
      <c r="L333" s="95">
        <f t="shared" si="73"/>
        <v>0</v>
      </c>
      <c r="M333" s="95">
        <f t="shared" si="73"/>
        <v>0</v>
      </c>
      <c r="N333" s="95">
        <f t="shared" si="73"/>
        <v>0</v>
      </c>
      <c r="O333" s="49">
        <f t="shared" si="73"/>
        <v>0</v>
      </c>
      <c r="P333" s="34">
        <f t="shared" si="73"/>
        <v>0</v>
      </c>
    </row>
    <row r="334" spans="1:16" x14ac:dyDescent="0.25">
      <c r="A334" s="182"/>
      <c r="B334" s="184" t="s">
        <v>9</v>
      </c>
      <c r="C334" s="2" t="s">
        <v>39</v>
      </c>
      <c r="D334" s="28">
        <v>5790096</v>
      </c>
      <c r="E334" s="24"/>
      <c r="F334" s="24"/>
      <c r="G334" s="24"/>
      <c r="H334" s="24"/>
      <c r="I334" s="24"/>
      <c r="J334" s="24"/>
      <c r="K334" s="24"/>
      <c r="L334" s="24"/>
      <c r="M334" s="24"/>
      <c r="N334" s="28">
        <f t="shared" ref="N334:N341" si="74">D334+E334+F334+H334+I334+K334+J334</f>
        <v>5790096</v>
      </c>
      <c r="O334" s="33">
        <v>4059831</v>
      </c>
      <c r="P334" s="14">
        <f t="shared" si="71"/>
        <v>1730265</v>
      </c>
    </row>
    <row r="335" spans="1:16" x14ac:dyDescent="0.25">
      <c r="A335" s="182"/>
      <c r="B335" s="184"/>
      <c r="C335" s="2" t="s">
        <v>62</v>
      </c>
      <c r="D335" s="24">
        <v>0</v>
      </c>
      <c r="E335" s="24"/>
      <c r="F335" s="24"/>
      <c r="G335" s="24"/>
      <c r="H335" s="24"/>
      <c r="I335" s="24"/>
      <c r="J335" s="24"/>
      <c r="K335" s="24"/>
      <c r="L335" s="24"/>
      <c r="M335" s="24"/>
      <c r="N335" s="24">
        <f t="shared" si="74"/>
        <v>0</v>
      </c>
      <c r="O335" s="33">
        <v>0</v>
      </c>
      <c r="P335" s="14">
        <f t="shared" si="71"/>
        <v>0</v>
      </c>
    </row>
    <row r="336" spans="1:16" x14ac:dyDescent="0.25">
      <c r="A336" s="182"/>
      <c r="B336" s="184"/>
      <c r="C336" s="2" t="s">
        <v>46</v>
      </c>
      <c r="D336" s="24">
        <v>200000</v>
      </c>
      <c r="E336" s="24"/>
      <c r="F336" s="24"/>
      <c r="G336" s="24"/>
      <c r="H336" s="24"/>
      <c r="I336" s="24"/>
      <c r="J336" s="24"/>
      <c r="K336" s="24"/>
      <c r="L336" s="24"/>
      <c r="M336" s="24"/>
      <c r="N336" s="24">
        <f t="shared" si="74"/>
        <v>200000</v>
      </c>
      <c r="O336" s="33">
        <v>100000</v>
      </c>
      <c r="P336" s="14">
        <f t="shared" si="71"/>
        <v>100000</v>
      </c>
    </row>
    <row r="337" spans="1:16" x14ac:dyDescent="0.25">
      <c r="A337" s="182"/>
      <c r="B337" s="184"/>
      <c r="C337" s="2" t="s">
        <v>47</v>
      </c>
      <c r="D337" s="24">
        <v>10000</v>
      </c>
      <c r="E337" s="24"/>
      <c r="F337" s="24"/>
      <c r="G337" s="24"/>
      <c r="H337" s="24"/>
      <c r="I337" s="24"/>
      <c r="J337" s="24"/>
      <c r="K337" s="24"/>
      <c r="L337" s="24"/>
      <c r="M337" s="24"/>
      <c r="N337" s="24">
        <f t="shared" si="74"/>
        <v>10000</v>
      </c>
      <c r="O337" s="33">
        <v>0</v>
      </c>
      <c r="P337" s="21">
        <f t="shared" si="71"/>
        <v>10000</v>
      </c>
    </row>
    <row r="338" spans="1:16" x14ac:dyDescent="0.25">
      <c r="A338" s="182"/>
      <c r="B338" s="184"/>
      <c r="C338" s="2" t="s">
        <v>48</v>
      </c>
      <c r="D338" s="24">
        <v>62000</v>
      </c>
      <c r="E338" s="24"/>
      <c r="F338" s="24"/>
      <c r="G338" s="24"/>
      <c r="H338" s="24"/>
      <c r="I338" s="24"/>
      <c r="J338" s="24"/>
      <c r="K338" s="24"/>
      <c r="L338" s="24"/>
      <c r="M338" s="24"/>
      <c r="N338" s="24">
        <f t="shared" si="74"/>
        <v>62000</v>
      </c>
      <c r="O338" s="32">
        <v>15324</v>
      </c>
      <c r="P338" s="21">
        <f t="shared" si="71"/>
        <v>46676</v>
      </c>
    </row>
    <row r="339" spans="1:16" x14ac:dyDescent="0.25">
      <c r="A339" s="182"/>
      <c r="B339" s="184"/>
      <c r="C339" s="2" t="s">
        <v>49</v>
      </c>
      <c r="D339" s="24">
        <v>24000</v>
      </c>
      <c r="E339" s="24"/>
      <c r="F339" s="24"/>
      <c r="G339" s="24"/>
      <c r="H339" s="24"/>
      <c r="I339" s="24"/>
      <c r="J339" s="24"/>
      <c r="K339" s="24"/>
      <c r="L339" s="24"/>
      <c r="M339" s="24"/>
      <c r="N339" s="24">
        <f t="shared" si="74"/>
        <v>24000</v>
      </c>
      <c r="O339" s="33">
        <v>12000</v>
      </c>
      <c r="P339" s="21">
        <f t="shared" si="71"/>
        <v>12000</v>
      </c>
    </row>
    <row r="340" spans="1:16" x14ac:dyDescent="0.25">
      <c r="A340" s="182"/>
      <c r="B340" s="184"/>
      <c r="C340" s="2" t="s">
        <v>50</v>
      </c>
      <c r="D340" s="24">
        <v>66119</v>
      </c>
      <c r="E340" s="24"/>
      <c r="F340" s="24"/>
      <c r="G340" s="24"/>
      <c r="H340" s="24"/>
      <c r="I340" s="24"/>
      <c r="J340" s="24"/>
      <c r="K340" s="24"/>
      <c r="L340" s="24"/>
      <c r="M340" s="24"/>
      <c r="N340" s="24">
        <f t="shared" si="74"/>
        <v>66119</v>
      </c>
      <c r="O340" s="33">
        <v>66119</v>
      </c>
      <c r="P340" s="21">
        <f t="shared" si="71"/>
        <v>0</v>
      </c>
    </row>
    <row r="341" spans="1:16" x14ac:dyDescent="0.25">
      <c r="A341" s="182"/>
      <c r="B341" s="184"/>
      <c r="C341" s="2" t="s">
        <v>51</v>
      </c>
      <c r="D341" s="24">
        <v>0</v>
      </c>
      <c r="E341" s="24"/>
      <c r="F341" s="24"/>
      <c r="G341" s="24"/>
      <c r="H341" s="24"/>
      <c r="I341" s="24"/>
      <c r="J341" s="24"/>
      <c r="K341" s="24"/>
      <c r="L341" s="24"/>
      <c r="M341" s="24"/>
      <c r="N341" s="24">
        <f t="shared" si="74"/>
        <v>0</v>
      </c>
      <c r="O341" s="33">
        <v>0</v>
      </c>
      <c r="P341" s="21">
        <f t="shared" si="71"/>
        <v>0</v>
      </c>
    </row>
    <row r="342" spans="1:16" x14ac:dyDescent="0.25">
      <c r="A342" s="182"/>
      <c r="B342" s="184"/>
      <c r="C342" s="6" t="s">
        <v>40</v>
      </c>
      <c r="D342" s="95">
        <f>SUM(D334:D341)</f>
        <v>6152215</v>
      </c>
      <c r="E342" s="95">
        <f t="shared" ref="E342:P342" si="75">SUM(E334:E341)</f>
        <v>0</v>
      </c>
      <c r="F342" s="95">
        <f t="shared" si="75"/>
        <v>0</v>
      </c>
      <c r="G342" s="95"/>
      <c r="H342" s="95">
        <f t="shared" si="75"/>
        <v>0</v>
      </c>
      <c r="I342" s="95">
        <f t="shared" si="75"/>
        <v>0</v>
      </c>
      <c r="J342" s="95">
        <f t="shared" si="75"/>
        <v>0</v>
      </c>
      <c r="K342" s="95">
        <f t="shared" si="75"/>
        <v>0</v>
      </c>
      <c r="L342" s="95">
        <f t="shared" si="75"/>
        <v>0</v>
      </c>
      <c r="M342" s="95">
        <f t="shared" si="75"/>
        <v>0</v>
      </c>
      <c r="N342" s="95">
        <f t="shared" si="75"/>
        <v>6152215</v>
      </c>
      <c r="O342" s="49">
        <f t="shared" si="75"/>
        <v>4253274</v>
      </c>
      <c r="P342" s="26">
        <f t="shared" si="75"/>
        <v>1898941</v>
      </c>
    </row>
    <row r="343" spans="1:16" x14ac:dyDescent="0.25">
      <c r="A343" s="182"/>
      <c r="B343" s="184"/>
      <c r="C343" s="57" t="s">
        <v>41</v>
      </c>
      <c r="D343" s="96">
        <v>1098088</v>
      </c>
      <c r="E343" s="96"/>
      <c r="F343" s="96"/>
      <c r="G343" s="96"/>
      <c r="H343" s="96"/>
      <c r="I343" s="96"/>
      <c r="J343" s="96"/>
      <c r="K343" s="96"/>
      <c r="L343" s="96"/>
      <c r="M343" s="96"/>
      <c r="N343" s="97">
        <f>D343+E343+F343+H343+I343+K343</f>
        <v>1098088</v>
      </c>
      <c r="O343" s="129">
        <v>742668</v>
      </c>
      <c r="P343" s="55">
        <f t="shared" si="71"/>
        <v>355420</v>
      </c>
    </row>
    <row r="344" spans="1:16" x14ac:dyDescent="0.25">
      <c r="A344" s="182"/>
      <c r="B344" s="184"/>
      <c r="C344" s="2" t="s">
        <v>42</v>
      </c>
      <c r="D344" s="24">
        <v>150000</v>
      </c>
      <c r="E344" s="24"/>
      <c r="F344" s="24"/>
      <c r="G344" s="24"/>
      <c r="H344" s="24"/>
      <c r="I344" s="24"/>
      <c r="J344" s="24"/>
      <c r="K344" s="24"/>
      <c r="L344" s="24"/>
      <c r="M344" s="24"/>
      <c r="N344" s="24">
        <f t="shared" ref="N344:N355" si="76">D344+E344+F344+H344+I344+K344+J344</f>
        <v>150000</v>
      </c>
      <c r="O344" s="33">
        <v>0</v>
      </c>
      <c r="P344" s="14">
        <f t="shared" si="71"/>
        <v>150000</v>
      </c>
    </row>
    <row r="345" spans="1:16" x14ac:dyDescent="0.25">
      <c r="A345" s="182"/>
      <c r="B345" s="184"/>
      <c r="C345" s="2" t="s">
        <v>52</v>
      </c>
      <c r="D345" s="24">
        <v>70000</v>
      </c>
      <c r="E345" s="24"/>
      <c r="F345" s="24"/>
      <c r="G345" s="24"/>
      <c r="H345" s="24"/>
      <c r="I345" s="24"/>
      <c r="J345" s="24"/>
      <c r="K345" s="24"/>
      <c r="L345" s="24"/>
      <c r="M345" s="24"/>
      <c r="N345" s="24">
        <f t="shared" si="76"/>
        <v>70000</v>
      </c>
      <c r="O345" s="33">
        <v>0</v>
      </c>
      <c r="P345" s="14">
        <f t="shared" si="71"/>
        <v>70000</v>
      </c>
    </row>
    <row r="346" spans="1:16" x14ac:dyDescent="0.25">
      <c r="A346" s="182"/>
      <c r="B346" s="184"/>
      <c r="C346" s="2" t="s">
        <v>53</v>
      </c>
      <c r="D346" s="24">
        <v>38688</v>
      </c>
      <c r="E346" s="24"/>
      <c r="F346" s="24"/>
      <c r="G346" s="24"/>
      <c r="H346" s="24"/>
      <c r="I346" s="24"/>
      <c r="J346" s="24"/>
      <c r="K346" s="24"/>
      <c r="L346" s="24"/>
      <c r="M346" s="24"/>
      <c r="N346" s="24">
        <f t="shared" si="76"/>
        <v>38688</v>
      </c>
      <c r="O346" s="33">
        <v>26552</v>
      </c>
      <c r="P346" s="14">
        <f t="shared" si="71"/>
        <v>12136</v>
      </c>
    </row>
    <row r="347" spans="1:16" x14ac:dyDescent="0.25">
      <c r="A347" s="182"/>
      <c r="B347" s="184"/>
      <c r="C347" s="2" t="s">
        <v>54</v>
      </c>
      <c r="D347" s="24">
        <v>36000</v>
      </c>
      <c r="E347" s="24"/>
      <c r="F347" s="24"/>
      <c r="G347" s="24"/>
      <c r="H347" s="24"/>
      <c r="I347" s="24"/>
      <c r="J347" s="24"/>
      <c r="K347" s="24"/>
      <c r="L347" s="24"/>
      <c r="M347" s="24"/>
      <c r="N347" s="24">
        <f t="shared" si="76"/>
        <v>36000</v>
      </c>
      <c r="O347" s="33">
        <v>20779</v>
      </c>
      <c r="P347" s="14">
        <f t="shared" si="71"/>
        <v>15221</v>
      </c>
    </row>
    <row r="348" spans="1:16" x14ac:dyDescent="0.25">
      <c r="A348" s="182"/>
      <c r="B348" s="184"/>
      <c r="C348" s="2" t="s">
        <v>55</v>
      </c>
      <c r="D348" s="24">
        <v>438000</v>
      </c>
      <c r="E348" s="24"/>
      <c r="F348" s="24"/>
      <c r="G348" s="24"/>
      <c r="H348" s="24"/>
      <c r="I348" s="24"/>
      <c r="J348" s="24"/>
      <c r="K348" s="24"/>
      <c r="L348" s="24"/>
      <c r="M348" s="24"/>
      <c r="N348" s="24">
        <f t="shared" si="76"/>
        <v>438000</v>
      </c>
      <c r="O348" s="33">
        <v>176085</v>
      </c>
      <c r="P348" s="14">
        <f t="shared" si="71"/>
        <v>261915</v>
      </c>
    </row>
    <row r="349" spans="1:16" x14ac:dyDescent="0.25">
      <c r="A349" s="182"/>
      <c r="B349" s="184"/>
      <c r="C349" s="2" t="s">
        <v>61</v>
      </c>
      <c r="D349" s="24">
        <v>0</v>
      </c>
      <c r="E349" s="24"/>
      <c r="F349" s="24"/>
      <c r="G349" s="24"/>
      <c r="H349" s="24"/>
      <c r="I349" s="24"/>
      <c r="J349" s="24"/>
      <c r="K349" s="24"/>
      <c r="L349" s="24"/>
      <c r="M349" s="24"/>
      <c r="N349" s="24">
        <f t="shared" si="76"/>
        <v>0</v>
      </c>
      <c r="O349" s="33">
        <v>0</v>
      </c>
      <c r="P349" s="14">
        <f t="shared" si="71"/>
        <v>0</v>
      </c>
    </row>
    <row r="350" spans="1:16" x14ac:dyDescent="0.25">
      <c r="A350" s="182"/>
      <c r="B350" s="184"/>
      <c r="C350" s="2" t="s">
        <v>56</v>
      </c>
      <c r="D350" s="24">
        <v>0</v>
      </c>
      <c r="E350" s="24"/>
      <c r="F350" s="24"/>
      <c r="G350" s="24"/>
      <c r="H350" s="24"/>
      <c r="I350" s="24"/>
      <c r="J350" s="24"/>
      <c r="K350" s="24"/>
      <c r="L350" s="24"/>
      <c r="M350" s="24"/>
      <c r="N350" s="24">
        <f t="shared" si="76"/>
        <v>0</v>
      </c>
      <c r="O350" s="33">
        <v>0</v>
      </c>
      <c r="P350" s="14">
        <f t="shared" si="71"/>
        <v>0</v>
      </c>
    </row>
    <row r="351" spans="1:16" x14ac:dyDescent="0.25">
      <c r="A351" s="182"/>
      <c r="B351" s="184"/>
      <c r="C351" s="2" t="s">
        <v>43</v>
      </c>
      <c r="D351" s="24">
        <v>16800</v>
      </c>
      <c r="E351" s="24"/>
      <c r="F351" s="24"/>
      <c r="G351" s="24"/>
      <c r="H351" s="24"/>
      <c r="I351" s="24"/>
      <c r="J351" s="24"/>
      <c r="K351" s="24"/>
      <c r="L351" s="24"/>
      <c r="M351" s="24"/>
      <c r="N351" s="24">
        <f t="shared" si="76"/>
        <v>16800</v>
      </c>
      <c r="O351" s="33">
        <v>8400</v>
      </c>
      <c r="P351" s="14">
        <f t="shared" si="71"/>
        <v>8400</v>
      </c>
    </row>
    <row r="352" spans="1:16" x14ac:dyDescent="0.25">
      <c r="A352" s="182"/>
      <c r="B352" s="184"/>
      <c r="C352" s="2" t="s">
        <v>57</v>
      </c>
      <c r="D352" s="24">
        <v>0</v>
      </c>
      <c r="E352" s="24"/>
      <c r="F352" s="24"/>
      <c r="G352" s="24"/>
      <c r="H352" s="24">
        <v>660326</v>
      </c>
      <c r="I352" s="24">
        <v>-22531</v>
      </c>
      <c r="J352" s="24"/>
      <c r="K352" s="24"/>
      <c r="L352" s="24"/>
      <c r="M352" s="24"/>
      <c r="N352" s="24">
        <f t="shared" si="76"/>
        <v>637795</v>
      </c>
      <c r="O352" s="33">
        <v>0</v>
      </c>
      <c r="P352" s="14">
        <f t="shared" si="71"/>
        <v>637795</v>
      </c>
    </row>
    <row r="353" spans="1:16" x14ac:dyDescent="0.25">
      <c r="A353" s="182"/>
      <c r="B353" s="184"/>
      <c r="C353" s="2" t="s">
        <v>58</v>
      </c>
      <c r="D353" s="24">
        <v>15000</v>
      </c>
      <c r="E353" s="24"/>
      <c r="F353" s="24"/>
      <c r="G353" s="24"/>
      <c r="H353" s="24"/>
      <c r="I353" s="24"/>
      <c r="J353" s="24"/>
      <c r="K353" s="24"/>
      <c r="L353" s="24"/>
      <c r="M353" s="24"/>
      <c r="N353" s="24">
        <f t="shared" si="76"/>
        <v>15000</v>
      </c>
      <c r="O353" s="33">
        <v>0</v>
      </c>
      <c r="P353" s="21">
        <f t="shared" si="71"/>
        <v>15000</v>
      </c>
    </row>
    <row r="354" spans="1:16" x14ac:dyDescent="0.25">
      <c r="A354" s="182"/>
      <c r="B354" s="184"/>
      <c r="C354" s="2" t="s">
        <v>44</v>
      </c>
      <c r="D354" s="24">
        <v>176694</v>
      </c>
      <c r="E354" s="24"/>
      <c r="F354" s="24"/>
      <c r="G354" s="24"/>
      <c r="H354" s="24">
        <v>178288</v>
      </c>
      <c r="I354" s="24">
        <v>-6083</v>
      </c>
      <c r="J354" s="24"/>
      <c r="K354" s="24"/>
      <c r="L354" s="24"/>
      <c r="M354" s="24"/>
      <c r="N354" s="24">
        <f t="shared" si="76"/>
        <v>348899</v>
      </c>
      <c r="O354" s="33">
        <v>52228</v>
      </c>
      <c r="P354" s="14">
        <f t="shared" si="71"/>
        <v>296671</v>
      </c>
    </row>
    <row r="355" spans="1:16" x14ac:dyDescent="0.25">
      <c r="A355" s="182"/>
      <c r="B355" s="184"/>
      <c r="C355" s="2" t="s">
        <v>59</v>
      </c>
      <c r="D355" s="24">
        <v>0</v>
      </c>
      <c r="E355" s="24"/>
      <c r="F355" s="24"/>
      <c r="G355" s="24"/>
      <c r="H355" s="24"/>
      <c r="I355" s="24"/>
      <c r="J355" s="24"/>
      <c r="K355" s="24"/>
      <c r="L355" s="24"/>
      <c r="M355" s="24"/>
      <c r="N355" s="24">
        <f t="shared" si="76"/>
        <v>0</v>
      </c>
      <c r="O355" s="33">
        <v>0</v>
      </c>
      <c r="P355" s="14">
        <f t="shared" si="71"/>
        <v>0</v>
      </c>
    </row>
    <row r="356" spans="1:16" x14ac:dyDescent="0.25">
      <c r="A356" s="182"/>
      <c r="B356" s="184"/>
      <c r="C356" s="6" t="s">
        <v>45</v>
      </c>
      <c r="D356" s="95">
        <f>SUM(D344:D355)</f>
        <v>941182</v>
      </c>
      <c r="E356" s="95">
        <f t="shared" ref="E356:P356" si="77">SUM(E344:E355)</f>
        <v>0</v>
      </c>
      <c r="F356" s="95">
        <f t="shared" si="77"/>
        <v>0</v>
      </c>
      <c r="G356" s="95"/>
      <c r="H356" s="95">
        <f t="shared" si="77"/>
        <v>838614</v>
      </c>
      <c r="I356" s="95">
        <f t="shared" si="77"/>
        <v>-28614</v>
      </c>
      <c r="J356" s="95">
        <f t="shared" si="77"/>
        <v>0</v>
      </c>
      <c r="K356" s="95">
        <f t="shared" si="77"/>
        <v>0</v>
      </c>
      <c r="L356" s="95">
        <f t="shared" si="77"/>
        <v>0</v>
      </c>
      <c r="M356" s="95">
        <f t="shared" si="77"/>
        <v>0</v>
      </c>
      <c r="N356" s="95">
        <f t="shared" si="77"/>
        <v>1751182</v>
      </c>
      <c r="O356" s="49">
        <f t="shared" si="77"/>
        <v>284044</v>
      </c>
      <c r="P356" s="26">
        <f t="shared" si="77"/>
        <v>1467138</v>
      </c>
    </row>
    <row r="357" spans="1:16" x14ac:dyDescent="0.25">
      <c r="A357" s="182"/>
      <c r="B357" s="185" t="s">
        <v>17</v>
      </c>
      <c r="C357" s="2" t="s">
        <v>39</v>
      </c>
      <c r="D357" s="28">
        <v>5173896</v>
      </c>
      <c r="E357" s="28">
        <v>-20000</v>
      </c>
      <c r="F357" s="24"/>
      <c r="G357" s="24"/>
      <c r="H357" s="24"/>
      <c r="I357" s="24"/>
      <c r="J357" s="24"/>
      <c r="K357" s="24"/>
      <c r="L357" s="24"/>
      <c r="M357" s="24"/>
      <c r="N357" s="28">
        <f>D357+E357+F357+H357+I357+K357+J357</f>
        <v>5153896</v>
      </c>
      <c r="O357" s="33">
        <v>3062542</v>
      </c>
      <c r="P357" s="14">
        <f t="shared" si="71"/>
        <v>2091354</v>
      </c>
    </row>
    <row r="358" spans="1:16" x14ac:dyDescent="0.25">
      <c r="A358" s="182"/>
      <c r="B358" s="196"/>
      <c r="C358" s="2" t="s">
        <v>46</v>
      </c>
      <c r="D358" s="24">
        <v>200000</v>
      </c>
      <c r="E358" s="28"/>
      <c r="F358" s="24"/>
      <c r="G358" s="24"/>
      <c r="H358" s="24"/>
      <c r="I358" s="24"/>
      <c r="J358" s="24"/>
      <c r="K358" s="24"/>
      <c r="L358" s="24"/>
      <c r="M358" s="24"/>
      <c r="N358" s="24">
        <f>D358+E358+F358+H358+I358+K358+J358</f>
        <v>200000</v>
      </c>
      <c r="O358" s="33">
        <v>100000</v>
      </c>
      <c r="P358" s="14">
        <f t="shared" si="71"/>
        <v>100000</v>
      </c>
    </row>
    <row r="359" spans="1:16" x14ac:dyDescent="0.25">
      <c r="A359" s="182"/>
      <c r="B359" s="196"/>
      <c r="C359" s="2" t="s">
        <v>47</v>
      </c>
      <c r="D359" s="24">
        <v>10000</v>
      </c>
      <c r="E359" s="28"/>
      <c r="F359" s="24"/>
      <c r="G359" s="24"/>
      <c r="H359" s="24"/>
      <c r="I359" s="24"/>
      <c r="J359" s="24"/>
      <c r="K359" s="24"/>
      <c r="L359" s="24"/>
      <c r="M359" s="24"/>
      <c r="N359" s="24">
        <f>D359+E359+F359+H359+I359+K359+J359</f>
        <v>10000</v>
      </c>
      <c r="O359" s="33">
        <v>0</v>
      </c>
      <c r="P359" s="14">
        <f t="shared" si="71"/>
        <v>10000</v>
      </c>
    </row>
    <row r="360" spans="1:16" x14ac:dyDescent="0.25">
      <c r="A360" s="182"/>
      <c r="B360" s="196"/>
      <c r="C360" s="2" t="s">
        <v>49</v>
      </c>
      <c r="D360" s="24">
        <v>24000</v>
      </c>
      <c r="E360" s="28"/>
      <c r="F360" s="24"/>
      <c r="G360" s="24"/>
      <c r="H360" s="24"/>
      <c r="I360" s="24"/>
      <c r="J360" s="24"/>
      <c r="K360" s="24"/>
      <c r="L360" s="24"/>
      <c r="M360" s="24"/>
      <c r="N360" s="24">
        <f>D360+E360+F360+H360+I360+K360+J360</f>
        <v>24000</v>
      </c>
      <c r="O360" s="33">
        <v>12000</v>
      </c>
      <c r="P360" s="14">
        <f t="shared" si="71"/>
        <v>12000</v>
      </c>
    </row>
    <row r="361" spans="1:16" x14ac:dyDescent="0.25">
      <c r="A361" s="182"/>
      <c r="B361" s="196"/>
      <c r="C361" s="2" t="s">
        <v>50</v>
      </c>
      <c r="D361" s="24">
        <v>0</v>
      </c>
      <c r="E361" s="28">
        <v>20000</v>
      </c>
      <c r="F361" s="24"/>
      <c r="G361" s="24"/>
      <c r="H361" s="24"/>
      <c r="I361" s="24"/>
      <c r="J361" s="24"/>
      <c r="K361" s="24"/>
      <c r="L361" s="24"/>
      <c r="M361" s="24"/>
      <c r="N361" s="24">
        <f>D361+E361+F361+H361+I361+K361+J361</f>
        <v>20000</v>
      </c>
      <c r="O361" s="33">
        <v>0</v>
      </c>
      <c r="P361" s="32">
        <f t="shared" si="71"/>
        <v>20000</v>
      </c>
    </row>
    <row r="362" spans="1:16" x14ac:dyDescent="0.25">
      <c r="A362" s="182"/>
      <c r="B362" s="196"/>
      <c r="C362" s="6" t="s">
        <v>40</v>
      </c>
      <c r="D362" s="95">
        <f>SUM(D357:D361)</f>
        <v>5407896</v>
      </c>
      <c r="E362" s="95">
        <f t="shared" ref="E362:P362" si="78">SUM(E357:E361)</f>
        <v>0</v>
      </c>
      <c r="F362" s="95">
        <f t="shared" si="78"/>
        <v>0</v>
      </c>
      <c r="G362" s="95"/>
      <c r="H362" s="95">
        <f t="shared" si="78"/>
        <v>0</v>
      </c>
      <c r="I362" s="95">
        <f t="shared" si="78"/>
        <v>0</v>
      </c>
      <c r="J362" s="95">
        <f t="shared" si="78"/>
        <v>0</v>
      </c>
      <c r="K362" s="95">
        <f t="shared" si="78"/>
        <v>0</v>
      </c>
      <c r="L362" s="95">
        <f t="shared" si="78"/>
        <v>0</v>
      </c>
      <c r="M362" s="95">
        <f t="shared" si="78"/>
        <v>0</v>
      </c>
      <c r="N362" s="95">
        <f t="shared" si="78"/>
        <v>5407896</v>
      </c>
      <c r="O362" s="49">
        <f t="shared" si="78"/>
        <v>3174542</v>
      </c>
      <c r="P362" s="26">
        <f t="shared" si="78"/>
        <v>2233354</v>
      </c>
    </row>
    <row r="363" spans="1:16" x14ac:dyDescent="0.25">
      <c r="A363" s="182"/>
      <c r="B363" s="196"/>
      <c r="C363" s="57" t="s">
        <v>41</v>
      </c>
      <c r="D363" s="96">
        <v>976382</v>
      </c>
      <c r="E363" s="96"/>
      <c r="F363" s="96"/>
      <c r="G363" s="96"/>
      <c r="H363" s="96"/>
      <c r="I363" s="96"/>
      <c r="J363" s="96"/>
      <c r="K363" s="96"/>
      <c r="L363" s="96"/>
      <c r="M363" s="96"/>
      <c r="N363" s="97">
        <f>D363+E363+F363+H363+I363+K363</f>
        <v>976382</v>
      </c>
      <c r="O363" s="129">
        <v>551182</v>
      </c>
      <c r="P363" s="55">
        <f t="shared" si="71"/>
        <v>425200</v>
      </c>
    </row>
    <row r="364" spans="1:16" x14ac:dyDescent="0.25">
      <c r="A364" s="182"/>
      <c r="B364" s="196"/>
      <c r="C364" s="2" t="s">
        <v>42</v>
      </c>
      <c r="D364" s="24">
        <v>40000</v>
      </c>
      <c r="E364" s="24"/>
      <c r="F364" s="24"/>
      <c r="G364" s="24"/>
      <c r="H364" s="24">
        <v>200000</v>
      </c>
      <c r="I364" s="24"/>
      <c r="J364" s="24"/>
      <c r="K364" s="24"/>
      <c r="L364" s="24"/>
      <c r="M364" s="24"/>
      <c r="N364" s="24">
        <f t="shared" ref="N364:N371" si="79">D364+E364+F364+H364+I364+K364+J364</f>
        <v>240000</v>
      </c>
      <c r="O364" s="33">
        <v>0</v>
      </c>
      <c r="P364" s="21">
        <f t="shared" si="71"/>
        <v>240000</v>
      </c>
    </row>
    <row r="365" spans="1:16" x14ac:dyDescent="0.25">
      <c r="A365" s="182"/>
      <c r="B365" s="196"/>
      <c r="C365" s="2" t="s">
        <v>52</v>
      </c>
      <c r="D365" s="24">
        <v>10000</v>
      </c>
      <c r="E365" s="24"/>
      <c r="F365" s="24"/>
      <c r="G365" s="24"/>
      <c r="H365" s="24">
        <v>187989</v>
      </c>
      <c r="I365" s="24"/>
      <c r="J365" s="24">
        <v>50118</v>
      </c>
      <c r="K365" s="24"/>
      <c r="L365" s="24"/>
      <c r="M365" s="24"/>
      <c r="N365" s="24">
        <f t="shared" si="79"/>
        <v>248107</v>
      </c>
      <c r="O365" s="33">
        <v>0</v>
      </c>
      <c r="P365" s="14">
        <f t="shared" si="71"/>
        <v>248107</v>
      </c>
    </row>
    <row r="366" spans="1:16" x14ac:dyDescent="0.25">
      <c r="A366" s="182"/>
      <c r="B366" s="196"/>
      <c r="C366" s="30" t="s">
        <v>54</v>
      </c>
      <c r="D366" s="24">
        <v>0</v>
      </c>
      <c r="E366" s="24"/>
      <c r="F366" s="24"/>
      <c r="G366" s="24"/>
      <c r="H366" s="24"/>
      <c r="I366" s="24"/>
      <c r="J366" s="24"/>
      <c r="K366" s="24"/>
      <c r="L366" s="24"/>
      <c r="M366" s="24"/>
      <c r="N366" s="24">
        <f t="shared" si="79"/>
        <v>0</v>
      </c>
      <c r="O366" s="33">
        <v>0</v>
      </c>
      <c r="P366" s="14">
        <f t="shared" si="71"/>
        <v>0</v>
      </c>
    </row>
    <row r="367" spans="1:16" x14ac:dyDescent="0.25">
      <c r="A367" s="182"/>
      <c r="B367" s="196"/>
      <c r="C367" s="2" t="s">
        <v>56</v>
      </c>
      <c r="D367" s="24">
        <v>2000</v>
      </c>
      <c r="E367" s="24"/>
      <c r="F367" s="24"/>
      <c r="G367" s="24"/>
      <c r="H367" s="24"/>
      <c r="I367" s="24"/>
      <c r="J367" s="24"/>
      <c r="K367" s="24"/>
      <c r="L367" s="24"/>
      <c r="M367" s="24"/>
      <c r="N367" s="24">
        <f t="shared" si="79"/>
        <v>2000</v>
      </c>
      <c r="O367" s="33">
        <v>0</v>
      </c>
      <c r="P367" s="14">
        <f t="shared" si="71"/>
        <v>2000</v>
      </c>
    </row>
    <row r="368" spans="1:16" x14ac:dyDescent="0.25">
      <c r="A368" s="182"/>
      <c r="B368" s="196"/>
      <c r="C368" s="2" t="s">
        <v>43</v>
      </c>
      <c r="D368" s="24">
        <v>16800</v>
      </c>
      <c r="E368" s="24"/>
      <c r="F368" s="24"/>
      <c r="G368" s="24"/>
      <c r="H368" s="24"/>
      <c r="I368" s="24"/>
      <c r="J368" s="24"/>
      <c r="K368" s="24"/>
      <c r="L368" s="24"/>
      <c r="M368" s="24"/>
      <c r="N368" s="24">
        <f t="shared" si="79"/>
        <v>16800</v>
      </c>
      <c r="O368" s="33">
        <v>8400</v>
      </c>
      <c r="P368" s="14">
        <f t="shared" si="71"/>
        <v>8400</v>
      </c>
    </row>
    <row r="369" spans="1:16" x14ac:dyDescent="0.25">
      <c r="A369" s="182"/>
      <c r="B369" s="196"/>
      <c r="C369" s="2" t="s">
        <v>57</v>
      </c>
      <c r="D369" s="24">
        <v>0</v>
      </c>
      <c r="E369" s="24"/>
      <c r="F369" s="24">
        <v>357480</v>
      </c>
      <c r="G369" s="24">
        <v>-357480</v>
      </c>
      <c r="H369" s="24"/>
      <c r="I369" s="24"/>
      <c r="J369" s="24"/>
      <c r="K369" s="24"/>
      <c r="L369" s="24"/>
      <c r="M369" s="24"/>
      <c r="N369" s="24">
        <f>D369+E369+F369+H369+I369+K369+J369+G369</f>
        <v>0</v>
      </c>
      <c r="O369" s="33">
        <v>0</v>
      </c>
      <c r="P369" s="14">
        <f t="shared" si="71"/>
        <v>0</v>
      </c>
    </row>
    <row r="370" spans="1:16" x14ac:dyDescent="0.25">
      <c r="A370" s="182"/>
      <c r="B370" s="196"/>
      <c r="C370" s="2" t="s">
        <v>58</v>
      </c>
      <c r="D370" s="24">
        <v>14000</v>
      </c>
      <c r="E370" s="24"/>
      <c r="F370" s="24"/>
      <c r="G370" s="24"/>
      <c r="H370" s="24"/>
      <c r="I370" s="24"/>
      <c r="J370" s="24">
        <v>5000</v>
      </c>
      <c r="K370" s="24"/>
      <c r="L370" s="24"/>
      <c r="M370" s="24"/>
      <c r="N370" s="24">
        <f t="shared" si="79"/>
        <v>19000</v>
      </c>
      <c r="O370" s="33">
        <v>5040</v>
      </c>
      <c r="P370" s="14">
        <f t="shared" si="71"/>
        <v>13960</v>
      </c>
    </row>
    <row r="371" spans="1:16" x14ac:dyDescent="0.25">
      <c r="A371" s="182"/>
      <c r="B371" s="196"/>
      <c r="C371" s="2" t="s">
        <v>44</v>
      </c>
      <c r="D371" s="24">
        <v>9640</v>
      </c>
      <c r="E371" s="24"/>
      <c r="F371" s="24">
        <v>96520</v>
      </c>
      <c r="G371" s="24">
        <v>-96520</v>
      </c>
      <c r="H371" s="24">
        <v>141097</v>
      </c>
      <c r="I371" s="24"/>
      <c r="J371" s="24">
        <v>14882</v>
      </c>
      <c r="K371" s="24"/>
      <c r="L371" s="24"/>
      <c r="M371" s="24"/>
      <c r="N371" s="24">
        <f>D371+E371+F371+H371+I371+K371+J371+G371</f>
        <v>165619</v>
      </c>
      <c r="O371" s="33">
        <v>0</v>
      </c>
      <c r="P371" s="21">
        <f t="shared" si="71"/>
        <v>165619</v>
      </c>
    </row>
    <row r="372" spans="1:16" x14ac:dyDescent="0.25">
      <c r="A372" s="182"/>
      <c r="B372" s="196"/>
      <c r="C372" s="6" t="s">
        <v>45</v>
      </c>
      <c r="D372" s="95">
        <f>SUM(D364:D371)</f>
        <v>92440</v>
      </c>
      <c r="E372" s="95">
        <f t="shared" ref="E372:P372" si="80">SUM(E364:E371)</f>
        <v>0</v>
      </c>
      <c r="F372" s="95">
        <f t="shared" si="80"/>
        <v>454000</v>
      </c>
      <c r="G372" s="95">
        <f t="shared" si="80"/>
        <v>-454000</v>
      </c>
      <c r="H372" s="95">
        <f t="shared" si="80"/>
        <v>529086</v>
      </c>
      <c r="I372" s="95">
        <f t="shared" si="80"/>
        <v>0</v>
      </c>
      <c r="J372" s="95">
        <f t="shared" si="80"/>
        <v>70000</v>
      </c>
      <c r="K372" s="95">
        <f t="shared" si="80"/>
        <v>0</v>
      </c>
      <c r="L372" s="95">
        <f t="shared" si="80"/>
        <v>0</v>
      </c>
      <c r="M372" s="95">
        <f t="shared" si="80"/>
        <v>0</v>
      </c>
      <c r="N372" s="95">
        <f t="shared" si="80"/>
        <v>691526</v>
      </c>
      <c r="O372" s="49">
        <f t="shared" si="80"/>
        <v>13440</v>
      </c>
      <c r="P372" s="26">
        <f t="shared" si="80"/>
        <v>678086</v>
      </c>
    </row>
    <row r="373" spans="1:16" x14ac:dyDescent="0.25">
      <c r="A373" s="182"/>
      <c r="B373" s="196"/>
      <c r="C373" s="2" t="s">
        <v>111</v>
      </c>
      <c r="D373" s="24">
        <v>0</v>
      </c>
      <c r="E373" s="24"/>
      <c r="F373" s="24"/>
      <c r="G373" s="24"/>
      <c r="H373" s="24"/>
      <c r="I373" s="24"/>
      <c r="J373" s="24"/>
      <c r="K373" s="24"/>
      <c r="L373" s="24"/>
      <c r="M373" s="24"/>
      <c r="N373" s="24">
        <f>D373+E373+F373+H373+I373+K373+J373</f>
        <v>0</v>
      </c>
      <c r="O373" s="33">
        <v>0</v>
      </c>
      <c r="P373" s="14">
        <f t="shared" si="71"/>
        <v>0</v>
      </c>
    </row>
    <row r="374" spans="1:16" x14ac:dyDescent="0.25">
      <c r="A374" s="182"/>
      <c r="B374" s="196"/>
      <c r="C374" s="2" t="s">
        <v>112</v>
      </c>
      <c r="D374" s="24">
        <v>0</v>
      </c>
      <c r="E374" s="24"/>
      <c r="F374" s="24"/>
      <c r="G374" s="24"/>
      <c r="H374" s="24"/>
      <c r="I374" s="24"/>
      <c r="J374" s="24"/>
      <c r="K374" s="24"/>
      <c r="L374" s="24"/>
      <c r="M374" s="24"/>
      <c r="N374" s="24">
        <f>D374+E374+F374+H374+I374+K374+J374</f>
        <v>0</v>
      </c>
      <c r="O374" s="33">
        <v>0</v>
      </c>
      <c r="P374" s="14">
        <f t="shared" si="71"/>
        <v>0</v>
      </c>
    </row>
    <row r="375" spans="1:16" x14ac:dyDescent="0.25">
      <c r="A375" s="182"/>
      <c r="B375" s="197"/>
      <c r="C375" s="6" t="s">
        <v>113</v>
      </c>
      <c r="D375" s="95">
        <f>SUM(D373:D374)</f>
        <v>0</v>
      </c>
      <c r="E375" s="95">
        <f t="shared" ref="E375:P375" si="81">SUM(E373:E374)</f>
        <v>0</v>
      </c>
      <c r="F375" s="95">
        <f t="shared" si="81"/>
        <v>0</v>
      </c>
      <c r="G375" s="95"/>
      <c r="H375" s="95">
        <f t="shared" si="81"/>
        <v>0</v>
      </c>
      <c r="I375" s="95">
        <f t="shared" si="81"/>
        <v>0</v>
      </c>
      <c r="J375" s="95">
        <f t="shared" si="81"/>
        <v>0</v>
      </c>
      <c r="K375" s="95">
        <f t="shared" si="81"/>
        <v>0</v>
      </c>
      <c r="L375" s="95">
        <f t="shared" si="81"/>
        <v>0</v>
      </c>
      <c r="M375" s="95">
        <f t="shared" si="81"/>
        <v>0</v>
      </c>
      <c r="N375" s="95">
        <f t="shared" si="81"/>
        <v>0</v>
      </c>
      <c r="O375" s="49">
        <f t="shared" si="81"/>
        <v>0</v>
      </c>
      <c r="P375" s="26">
        <f t="shared" si="81"/>
        <v>0</v>
      </c>
    </row>
    <row r="376" spans="1:16" x14ac:dyDescent="0.25">
      <c r="A376" s="182"/>
      <c r="B376" s="184" t="s">
        <v>20</v>
      </c>
      <c r="C376" s="2" t="s">
        <v>61</v>
      </c>
      <c r="D376" s="24">
        <v>0</v>
      </c>
      <c r="E376" s="24"/>
      <c r="F376" s="24"/>
      <c r="G376" s="24"/>
      <c r="H376" s="24"/>
      <c r="I376" s="24"/>
      <c r="J376" s="24"/>
      <c r="K376" s="24"/>
      <c r="L376" s="24"/>
      <c r="M376" s="24"/>
      <c r="N376" s="24">
        <f>D376+E376+F376+H376+I376+K376+J376</f>
        <v>0</v>
      </c>
      <c r="O376" s="33">
        <v>0</v>
      </c>
      <c r="P376" s="14">
        <f t="shared" si="71"/>
        <v>0</v>
      </c>
    </row>
    <row r="377" spans="1:16" x14ac:dyDescent="0.25">
      <c r="A377" s="182"/>
      <c r="B377" s="184"/>
      <c r="C377" s="2" t="s">
        <v>56</v>
      </c>
      <c r="D377" s="24">
        <v>0</v>
      </c>
      <c r="E377" s="24"/>
      <c r="F377" s="24"/>
      <c r="G377" s="24"/>
      <c r="H377" s="24"/>
      <c r="I377" s="24"/>
      <c r="J377" s="24"/>
      <c r="K377" s="24"/>
      <c r="L377" s="24"/>
      <c r="M377" s="24"/>
      <c r="N377" s="24">
        <f>D377+E377+F377+H377+I377+K377+J377</f>
        <v>0</v>
      </c>
      <c r="O377" s="33">
        <v>0</v>
      </c>
      <c r="P377" s="14">
        <f t="shared" si="71"/>
        <v>0</v>
      </c>
    </row>
    <row r="378" spans="1:16" x14ac:dyDescent="0.25">
      <c r="A378" s="182"/>
      <c r="B378" s="184"/>
      <c r="C378" s="2" t="s">
        <v>63</v>
      </c>
      <c r="D378" s="24">
        <v>0</v>
      </c>
      <c r="E378" s="24"/>
      <c r="F378" s="24"/>
      <c r="G378" s="24"/>
      <c r="H378" s="24"/>
      <c r="I378" s="24"/>
      <c r="J378" s="24"/>
      <c r="K378" s="24"/>
      <c r="L378" s="24"/>
      <c r="M378" s="24"/>
      <c r="N378" s="24">
        <f>D378+E378+F378+H378+I378+K378+J378</f>
        <v>0</v>
      </c>
      <c r="O378" s="33">
        <v>0</v>
      </c>
      <c r="P378" s="14">
        <f t="shared" si="71"/>
        <v>0</v>
      </c>
    </row>
    <row r="379" spans="1:16" x14ac:dyDescent="0.25">
      <c r="A379" s="182"/>
      <c r="B379" s="184"/>
      <c r="C379" s="2" t="s">
        <v>57</v>
      </c>
      <c r="D379" s="24">
        <v>0</v>
      </c>
      <c r="E379" s="24"/>
      <c r="F379" s="24"/>
      <c r="G379" s="24"/>
      <c r="H379" s="24"/>
      <c r="I379" s="24"/>
      <c r="J379" s="24"/>
      <c r="K379" s="24"/>
      <c r="L379" s="24"/>
      <c r="M379" s="24"/>
      <c r="N379" s="24">
        <f>D379+E379+F379+H379+I379+K379+J379</f>
        <v>0</v>
      </c>
      <c r="O379" s="33">
        <v>0</v>
      </c>
      <c r="P379" s="14">
        <f t="shared" si="71"/>
        <v>0</v>
      </c>
    </row>
    <row r="380" spans="1:16" x14ac:dyDescent="0.25">
      <c r="A380" s="182"/>
      <c r="B380" s="184"/>
      <c r="C380" s="2" t="s">
        <v>44</v>
      </c>
      <c r="D380" s="24">
        <v>0</v>
      </c>
      <c r="E380" s="24"/>
      <c r="F380" s="24"/>
      <c r="G380" s="24"/>
      <c r="H380" s="24"/>
      <c r="I380" s="24"/>
      <c r="J380" s="24"/>
      <c r="K380" s="24"/>
      <c r="L380" s="24"/>
      <c r="M380" s="24"/>
      <c r="N380" s="24">
        <f>D380+E380+F380+H380+I380+K380+J380</f>
        <v>0</v>
      </c>
      <c r="O380" s="33">
        <v>0</v>
      </c>
      <c r="P380" s="14">
        <f t="shared" si="71"/>
        <v>0</v>
      </c>
    </row>
    <row r="381" spans="1:16" x14ac:dyDescent="0.25">
      <c r="A381" s="182"/>
      <c r="B381" s="184"/>
      <c r="C381" s="6" t="s">
        <v>45</v>
      </c>
      <c r="D381" s="95">
        <v>0</v>
      </c>
      <c r="E381" s="95">
        <f t="shared" ref="E381:P381" si="82">SUM(E376:E380)</f>
        <v>0</v>
      </c>
      <c r="F381" s="95">
        <f t="shared" si="82"/>
        <v>0</v>
      </c>
      <c r="G381" s="95"/>
      <c r="H381" s="95">
        <f t="shared" si="82"/>
        <v>0</v>
      </c>
      <c r="I381" s="95">
        <f t="shared" si="82"/>
        <v>0</v>
      </c>
      <c r="J381" s="95">
        <f t="shared" si="82"/>
        <v>0</v>
      </c>
      <c r="K381" s="95">
        <f t="shared" si="82"/>
        <v>0</v>
      </c>
      <c r="L381" s="95">
        <f t="shared" si="82"/>
        <v>0</v>
      </c>
      <c r="M381" s="95">
        <f t="shared" si="82"/>
        <v>0</v>
      </c>
      <c r="N381" s="95">
        <f t="shared" si="82"/>
        <v>0</v>
      </c>
      <c r="O381" s="49">
        <f>SUM(O376:O380)</f>
        <v>0</v>
      </c>
      <c r="P381" s="26">
        <f t="shared" si="82"/>
        <v>0</v>
      </c>
    </row>
    <row r="382" spans="1:16" x14ac:dyDescent="0.25">
      <c r="A382" s="183" t="s">
        <v>88</v>
      </c>
      <c r="B382" s="185" t="s">
        <v>17</v>
      </c>
      <c r="C382" s="2" t="s">
        <v>39</v>
      </c>
      <c r="D382" s="24">
        <v>457392</v>
      </c>
      <c r="E382" s="24"/>
      <c r="F382" s="24"/>
      <c r="G382" s="24"/>
      <c r="H382" s="24"/>
      <c r="I382" s="24"/>
      <c r="J382" s="24"/>
      <c r="K382" s="24"/>
      <c r="L382" s="24"/>
      <c r="M382" s="24"/>
      <c r="N382" s="24">
        <f t="shared" ref="N382:N387" si="83">D382+E382+F382+H382+I382+K382+J382+L382</f>
        <v>457392</v>
      </c>
      <c r="O382" s="33">
        <v>259250</v>
      </c>
      <c r="P382" s="14">
        <f t="shared" si="71"/>
        <v>198142</v>
      </c>
    </row>
    <row r="383" spans="1:16" x14ac:dyDescent="0.25">
      <c r="A383" s="195"/>
      <c r="B383" s="197"/>
      <c r="C383" s="2" t="s">
        <v>41</v>
      </c>
      <c r="D383" s="24">
        <v>76016</v>
      </c>
      <c r="E383" s="24"/>
      <c r="F383" s="24"/>
      <c r="G383" s="24"/>
      <c r="H383" s="24"/>
      <c r="I383" s="24"/>
      <c r="J383" s="24"/>
      <c r="K383" s="24"/>
      <c r="L383" s="24"/>
      <c r="M383" s="24"/>
      <c r="N383" s="24">
        <f t="shared" si="83"/>
        <v>76016</v>
      </c>
      <c r="O383" s="33">
        <v>44973</v>
      </c>
      <c r="P383" s="14">
        <f t="shared" si="71"/>
        <v>31043</v>
      </c>
    </row>
    <row r="384" spans="1:16" x14ac:dyDescent="0.25">
      <c r="A384" s="183" t="s">
        <v>89</v>
      </c>
      <c r="B384" s="185" t="s">
        <v>9</v>
      </c>
      <c r="C384" s="2" t="s">
        <v>39</v>
      </c>
      <c r="D384" s="24">
        <v>552576</v>
      </c>
      <c r="E384" s="24"/>
      <c r="F384" s="24"/>
      <c r="G384" s="24"/>
      <c r="H384" s="24"/>
      <c r="I384" s="24"/>
      <c r="J384" s="24"/>
      <c r="K384" s="24"/>
      <c r="L384" s="24"/>
      <c r="M384" s="24"/>
      <c r="N384" s="24">
        <f t="shared" si="83"/>
        <v>552576</v>
      </c>
      <c r="O384" s="33">
        <v>398782</v>
      </c>
      <c r="P384" s="14">
        <f t="shared" si="71"/>
        <v>153794</v>
      </c>
    </row>
    <row r="385" spans="1:17" x14ac:dyDescent="0.25">
      <c r="A385" s="195"/>
      <c r="B385" s="197"/>
      <c r="C385" s="2" t="s">
        <v>41</v>
      </c>
      <c r="D385" s="24">
        <v>92857</v>
      </c>
      <c r="E385" s="24"/>
      <c r="F385" s="24"/>
      <c r="G385" s="24"/>
      <c r="H385" s="24"/>
      <c r="I385" s="24"/>
      <c r="J385" s="24"/>
      <c r="K385" s="24"/>
      <c r="L385" s="24"/>
      <c r="M385" s="24"/>
      <c r="N385" s="24">
        <f t="shared" si="83"/>
        <v>92857</v>
      </c>
      <c r="O385" s="33">
        <v>69016</v>
      </c>
      <c r="P385" s="14">
        <f t="shared" si="71"/>
        <v>23841</v>
      </c>
    </row>
    <row r="386" spans="1:17" x14ac:dyDescent="0.25">
      <c r="A386" s="183" t="s">
        <v>90</v>
      </c>
      <c r="B386" s="185" t="s">
        <v>9</v>
      </c>
      <c r="C386" s="2" t="s">
        <v>50</v>
      </c>
      <c r="D386" s="24">
        <v>6900</v>
      </c>
      <c r="E386" s="24"/>
      <c r="F386" s="24"/>
      <c r="G386" s="24"/>
      <c r="H386" s="24"/>
      <c r="I386" s="24"/>
      <c r="J386" s="24"/>
      <c r="K386" s="24"/>
      <c r="L386" s="24"/>
      <c r="M386" s="24"/>
      <c r="N386" s="24">
        <f t="shared" si="83"/>
        <v>6900</v>
      </c>
      <c r="O386" s="33">
        <v>4500</v>
      </c>
      <c r="P386" s="14">
        <f t="shared" si="71"/>
        <v>2400</v>
      </c>
    </row>
    <row r="387" spans="1:17" x14ac:dyDescent="0.25">
      <c r="A387" s="195"/>
      <c r="B387" s="197"/>
      <c r="C387" s="2" t="s">
        <v>41</v>
      </c>
      <c r="D387" s="24">
        <v>1208</v>
      </c>
      <c r="E387" s="24"/>
      <c r="F387" s="24"/>
      <c r="G387" s="24"/>
      <c r="H387" s="24"/>
      <c r="I387" s="24"/>
      <c r="J387" s="24"/>
      <c r="K387" s="24"/>
      <c r="L387" s="24"/>
      <c r="M387" s="24"/>
      <c r="N387" s="24">
        <f t="shared" si="83"/>
        <v>1208</v>
      </c>
      <c r="O387" s="33">
        <v>789</v>
      </c>
      <c r="P387" s="14">
        <f t="shared" si="71"/>
        <v>419</v>
      </c>
    </row>
    <row r="388" spans="1:17" x14ac:dyDescent="0.25">
      <c r="A388" s="186" t="s">
        <v>118</v>
      </c>
      <c r="B388" s="187"/>
      <c r="C388" s="188"/>
      <c r="D388" s="113">
        <f>SUM(D328+D329+D333+D342+D343+D356+D362+D363+D372+D375+D381+D382+D383+D384+D385+D386+D387)</f>
        <v>16919119</v>
      </c>
      <c r="E388" s="99">
        <f t="shared" ref="E388:P388" si="84">SUM(E328+E329+E333+E342+E343+E356+E362+E363+E375+E381+E382+E383+E384+E385+E386+E387+E372)</f>
        <v>0</v>
      </c>
      <c r="F388" s="99">
        <f t="shared" si="84"/>
        <v>454000</v>
      </c>
      <c r="G388" s="99">
        <f t="shared" si="84"/>
        <v>-454000</v>
      </c>
      <c r="H388" s="99">
        <f t="shared" si="84"/>
        <v>1367700</v>
      </c>
      <c r="I388" s="99">
        <f t="shared" si="84"/>
        <v>-28614</v>
      </c>
      <c r="J388" s="99">
        <f t="shared" si="84"/>
        <v>70000</v>
      </c>
      <c r="K388" s="99">
        <f t="shared" si="84"/>
        <v>0</v>
      </c>
      <c r="L388" s="99">
        <f t="shared" si="84"/>
        <v>0</v>
      </c>
      <c r="M388" s="99">
        <f t="shared" si="84"/>
        <v>0</v>
      </c>
      <c r="N388" s="99">
        <f t="shared" si="84"/>
        <v>18328205</v>
      </c>
      <c r="O388" s="131">
        <f>SUM(O328+O329+O333+O342+O343+O356+O362+O363+O375+O381+O382+O383+O384+O385+O386+O387+O372)</f>
        <v>10485371</v>
      </c>
      <c r="P388" s="59">
        <f t="shared" si="84"/>
        <v>7842834</v>
      </c>
    </row>
    <row r="389" spans="1:17" x14ac:dyDescent="0.25">
      <c r="A389" s="182" t="s">
        <v>144</v>
      </c>
      <c r="B389" s="4" t="s">
        <v>5</v>
      </c>
      <c r="C389" s="2" t="s">
        <v>66</v>
      </c>
      <c r="D389" s="24">
        <v>0</v>
      </c>
      <c r="E389" s="24"/>
      <c r="F389" s="24"/>
      <c r="G389" s="24"/>
      <c r="H389" s="24"/>
      <c r="I389" s="24"/>
      <c r="J389" s="24"/>
      <c r="K389" s="24"/>
      <c r="L389" s="24"/>
      <c r="M389" s="24"/>
      <c r="N389" s="24">
        <f>D389+E389+F389+H389+I389+K389+J389</f>
        <v>0</v>
      </c>
      <c r="O389" s="33">
        <v>0</v>
      </c>
      <c r="P389" s="14">
        <f t="shared" si="71"/>
        <v>0</v>
      </c>
    </row>
    <row r="390" spans="1:17" x14ac:dyDescent="0.25">
      <c r="A390" s="182"/>
      <c r="B390" s="185" t="s">
        <v>38</v>
      </c>
      <c r="C390" s="2" t="s">
        <v>39</v>
      </c>
      <c r="D390" s="24">
        <v>978360</v>
      </c>
      <c r="E390" s="24"/>
      <c r="F390" s="24"/>
      <c r="G390" s="24"/>
      <c r="H390" s="24"/>
      <c r="I390" s="24"/>
      <c r="J390" s="24"/>
      <c r="K390" s="24"/>
      <c r="L390" s="24"/>
      <c r="M390" s="24"/>
      <c r="N390" s="24">
        <f>D390+E390+F390+H390+I390+K390+J390</f>
        <v>978360</v>
      </c>
      <c r="O390" s="33">
        <v>645151</v>
      </c>
      <c r="P390" s="14">
        <f t="shared" si="71"/>
        <v>333209</v>
      </c>
    </row>
    <row r="391" spans="1:17" x14ac:dyDescent="0.25">
      <c r="A391" s="182"/>
      <c r="B391" s="196"/>
      <c r="C391" s="2" t="s">
        <v>50</v>
      </c>
      <c r="D391" s="24">
        <v>0</v>
      </c>
      <c r="E391" s="24"/>
      <c r="F391" s="24"/>
      <c r="G391" s="24"/>
      <c r="H391" s="24"/>
      <c r="I391" s="24"/>
      <c r="J391" s="24"/>
      <c r="K391" s="24"/>
      <c r="L391" s="24"/>
      <c r="M391" s="24"/>
      <c r="N391" s="24">
        <f>D391+E391+F391+H391+I391+K391+J391</f>
        <v>0</v>
      </c>
      <c r="O391" s="33">
        <v>0</v>
      </c>
      <c r="P391" s="14">
        <f t="shared" si="71"/>
        <v>0</v>
      </c>
    </row>
    <row r="392" spans="1:17" x14ac:dyDescent="0.25">
      <c r="A392" s="182"/>
      <c r="B392" s="196"/>
      <c r="C392" s="6" t="s">
        <v>40</v>
      </c>
      <c r="D392" s="95">
        <f>SUM(D390:D391)</f>
        <v>978360</v>
      </c>
      <c r="E392" s="95">
        <f t="shared" ref="E392:P392" si="85">SUM(E390:E391)</f>
        <v>0</v>
      </c>
      <c r="F392" s="95">
        <f t="shared" si="85"/>
        <v>0</v>
      </c>
      <c r="G392" s="95"/>
      <c r="H392" s="95">
        <f t="shared" si="85"/>
        <v>0</v>
      </c>
      <c r="I392" s="95">
        <f t="shared" si="85"/>
        <v>0</v>
      </c>
      <c r="J392" s="95">
        <f t="shared" si="85"/>
        <v>0</v>
      </c>
      <c r="K392" s="95">
        <f t="shared" si="85"/>
        <v>0</v>
      </c>
      <c r="L392" s="95">
        <f t="shared" si="85"/>
        <v>0</v>
      </c>
      <c r="M392" s="95">
        <f t="shared" si="85"/>
        <v>0</v>
      </c>
      <c r="N392" s="95">
        <f t="shared" si="85"/>
        <v>978360</v>
      </c>
      <c r="O392" s="49">
        <f t="shared" si="85"/>
        <v>645151</v>
      </c>
      <c r="P392" s="26">
        <f t="shared" si="85"/>
        <v>333209</v>
      </c>
    </row>
    <row r="393" spans="1:17" x14ac:dyDescent="0.25">
      <c r="A393" s="182"/>
      <c r="B393" s="196"/>
      <c r="C393" s="57" t="s">
        <v>41</v>
      </c>
      <c r="D393" s="96">
        <v>85607</v>
      </c>
      <c r="E393" s="96"/>
      <c r="F393" s="96"/>
      <c r="G393" s="96"/>
      <c r="H393" s="96"/>
      <c r="I393" s="96"/>
      <c r="J393" s="96"/>
      <c r="K393" s="96"/>
      <c r="L393" s="96"/>
      <c r="M393" s="96"/>
      <c r="N393" s="97">
        <f>D393+E393+F393+H393+I393+K393</f>
        <v>85607</v>
      </c>
      <c r="O393" s="129">
        <v>56260</v>
      </c>
      <c r="P393" s="55">
        <f t="shared" si="71"/>
        <v>29347</v>
      </c>
    </row>
    <row r="394" spans="1:17" x14ac:dyDescent="0.25">
      <c r="A394" s="182"/>
      <c r="B394" s="196"/>
      <c r="C394" s="2" t="s">
        <v>42</v>
      </c>
      <c r="D394" s="24">
        <v>0</v>
      </c>
      <c r="E394" s="24"/>
      <c r="F394" s="24"/>
      <c r="G394" s="24"/>
      <c r="H394" s="24"/>
      <c r="I394" s="24"/>
      <c r="J394" s="24"/>
      <c r="K394" s="24"/>
      <c r="L394" s="24"/>
      <c r="M394" s="24"/>
      <c r="N394" s="24">
        <f>D394+E394+F394+H394+I394+K394+J394</f>
        <v>0</v>
      </c>
      <c r="O394" s="33">
        <v>0</v>
      </c>
      <c r="P394" s="32">
        <f t="shared" ref="P394:P397" si="86">N394-O394</f>
        <v>0</v>
      </c>
    </row>
    <row r="395" spans="1:17" x14ac:dyDescent="0.25">
      <c r="A395" s="182"/>
      <c r="B395" s="196"/>
      <c r="C395" s="2" t="s">
        <v>52</v>
      </c>
      <c r="D395" s="24">
        <v>0</v>
      </c>
      <c r="E395" s="24"/>
      <c r="F395" s="24"/>
      <c r="G395" s="24"/>
      <c r="H395" s="24"/>
      <c r="I395" s="24"/>
      <c r="J395" s="24"/>
      <c r="K395" s="24"/>
      <c r="L395" s="24"/>
      <c r="M395" s="24"/>
      <c r="N395" s="24">
        <f>D395+E395+F395+H395+I395+K395+J395</f>
        <v>0</v>
      </c>
      <c r="O395" s="33">
        <v>0</v>
      </c>
      <c r="P395" s="32">
        <f t="shared" si="86"/>
        <v>0</v>
      </c>
    </row>
    <row r="396" spans="1:17" x14ac:dyDescent="0.25">
      <c r="A396" s="182"/>
      <c r="B396" s="196"/>
      <c r="C396" s="30" t="s">
        <v>43</v>
      </c>
      <c r="D396" s="24">
        <v>0</v>
      </c>
      <c r="E396" s="24"/>
      <c r="F396" s="24"/>
      <c r="G396" s="24"/>
      <c r="H396" s="24"/>
      <c r="I396" s="24"/>
      <c r="J396" s="24"/>
      <c r="K396" s="24"/>
      <c r="L396" s="24"/>
      <c r="M396" s="24"/>
      <c r="N396" s="24">
        <f>D396+E396+F396+H396+I396+K396+J396</f>
        <v>0</v>
      </c>
      <c r="O396" s="33">
        <v>0</v>
      </c>
      <c r="P396" s="32">
        <f t="shared" si="86"/>
        <v>0</v>
      </c>
    </row>
    <row r="397" spans="1:17" x14ac:dyDescent="0.25">
      <c r="A397" s="182"/>
      <c r="B397" s="196"/>
      <c r="C397" s="2" t="s">
        <v>44</v>
      </c>
      <c r="D397" s="24">
        <v>0</v>
      </c>
      <c r="E397" s="24"/>
      <c r="F397" s="24"/>
      <c r="G397" s="24"/>
      <c r="H397" s="24"/>
      <c r="I397" s="24"/>
      <c r="J397" s="24"/>
      <c r="K397" s="24"/>
      <c r="L397" s="24"/>
      <c r="M397" s="24"/>
      <c r="N397" s="24">
        <f>D397+E397+F397+H397+I397+K397+J397</f>
        <v>0</v>
      </c>
      <c r="O397" s="33">
        <v>0</v>
      </c>
      <c r="P397" s="32">
        <f t="shared" si="86"/>
        <v>0</v>
      </c>
    </row>
    <row r="398" spans="1:17" x14ac:dyDescent="0.25">
      <c r="A398" s="182"/>
      <c r="B398" s="197"/>
      <c r="C398" s="6" t="s">
        <v>45</v>
      </c>
      <c r="D398" s="95">
        <f>SUM(D394:D397)</f>
        <v>0</v>
      </c>
      <c r="E398" s="95">
        <f t="shared" ref="E398:P398" si="87">SUM(E394:E397)</f>
        <v>0</v>
      </c>
      <c r="F398" s="95">
        <f t="shared" si="87"/>
        <v>0</v>
      </c>
      <c r="G398" s="95"/>
      <c r="H398" s="95">
        <f t="shared" si="87"/>
        <v>0</v>
      </c>
      <c r="I398" s="95">
        <f t="shared" si="87"/>
        <v>0</v>
      </c>
      <c r="J398" s="95">
        <f t="shared" si="87"/>
        <v>0</v>
      </c>
      <c r="K398" s="95">
        <f t="shared" si="87"/>
        <v>0</v>
      </c>
      <c r="L398" s="95">
        <f t="shared" si="87"/>
        <v>0</v>
      </c>
      <c r="M398" s="95">
        <f t="shared" si="87"/>
        <v>0</v>
      </c>
      <c r="N398" s="95">
        <f t="shared" si="87"/>
        <v>0</v>
      </c>
      <c r="O398" s="49">
        <f t="shared" si="87"/>
        <v>0</v>
      </c>
      <c r="P398" s="34">
        <f t="shared" si="87"/>
        <v>0</v>
      </c>
      <c r="Q398" s="53"/>
    </row>
    <row r="399" spans="1:17" x14ac:dyDescent="0.25">
      <c r="A399" s="182"/>
      <c r="B399" s="185" t="s">
        <v>17</v>
      </c>
      <c r="C399" s="2" t="s">
        <v>39</v>
      </c>
      <c r="D399" s="24">
        <v>2612064</v>
      </c>
      <c r="E399" s="24"/>
      <c r="F399" s="24"/>
      <c r="G399" s="24"/>
      <c r="H399" s="24"/>
      <c r="I399" s="24"/>
      <c r="J399" s="24"/>
      <c r="K399" s="24"/>
      <c r="L399" s="24"/>
      <c r="M399" s="24"/>
      <c r="N399" s="24">
        <f>D399+E399+F399+H399+I399+K399+J399</f>
        <v>2612064</v>
      </c>
      <c r="O399" s="33">
        <v>1746440</v>
      </c>
      <c r="P399" s="14">
        <f t="shared" ref="P399:P403" si="88">N399-O399</f>
        <v>865624</v>
      </c>
    </row>
    <row r="400" spans="1:17" x14ac:dyDescent="0.25">
      <c r="A400" s="182"/>
      <c r="B400" s="196"/>
      <c r="C400" s="2" t="s">
        <v>46</v>
      </c>
      <c r="D400" s="24">
        <v>100000</v>
      </c>
      <c r="E400" s="24"/>
      <c r="F400" s="24"/>
      <c r="G400" s="24"/>
      <c r="H400" s="24"/>
      <c r="I400" s="24"/>
      <c r="J400" s="24"/>
      <c r="K400" s="24"/>
      <c r="L400" s="24"/>
      <c r="M400" s="24"/>
      <c r="N400" s="24">
        <f>D400+E400+F400+H400+I400+K400+J400</f>
        <v>100000</v>
      </c>
      <c r="O400" s="33">
        <v>50000</v>
      </c>
      <c r="P400" s="14">
        <f t="shared" si="88"/>
        <v>50000</v>
      </c>
    </row>
    <row r="401" spans="1:16" x14ac:dyDescent="0.25">
      <c r="A401" s="182"/>
      <c r="B401" s="196"/>
      <c r="C401" s="2" t="s">
        <v>47</v>
      </c>
      <c r="D401" s="24">
        <v>5000</v>
      </c>
      <c r="E401" s="24"/>
      <c r="F401" s="24"/>
      <c r="G401" s="24"/>
      <c r="H401" s="24"/>
      <c r="I401" s="24"/>
      <c r="J401" s="24"/>
      <c r="K401" s="24"/>
      <c r="L401" s="24"/>
      <c r="M401" s="24"/>
      <c r="N401" s="24">
        <f>D401+E401+F401+H401+I401+K401+J401</f>
        <v>5000</v>
      </c>
      <c r="O401" s="33">
        <v>0</v>
      </c>
      <c r="P401" s="14">
        <f t="shared" si="88"/>
        <v>5000</v>
      </c>
    </row>
    <row r="402" spans="1:16" x14ac:dyDescent="0.25">
      <c r="A402" s="182"/>
      <c r="B402" s="196"/>
      <c r="C402" s="2" t="s">
        <v>49</v>
      </c>
      <c r="D402" s="24">
        <v>12000</v>
      </c>
      <c r="E402" s="24"/>
      <c r="F402" s="24"/>
      <c r="G402" s="24"/>
      <c r="H402" s="24"/>
      <c r="I402" s="24"/>
      <c r="J402" s="24"/>
      <c r="K402" s="24"/>
      <c r="L402" s="24"/>
      <c r="M402" s="24"/>
      <c r="N402" s="24">
        <f>D402+E402+F402+H402+I402+K402+J402</f>
        <v>12000</v>
      </c>
      <c r="O402" s="33">
        <v>6000</v>
      </c>
      <c r="P402" s="14">
        <f t="shared" si="88"/>
        <v>6000</v>
      </c>
    </row>
    <row r="403" spans="1:16" x14ac:dyDescent="0.25">
      <c r="A403" s="182"/>
      <c r="B403" s="196"/>
      <c r="C403" s="2" t="s">
        <v>50</v>
      </c>
      <c r="D403" s="24">
        <v>0</v>
      </c>
      <c r="E403" s="24"/>
      <c r="F403" s="28"/>
      <c r="G403" s="28"/>
      <c r="H403" s="24"/>
      <c r="I403" s="24"/>
      <c r="J403" s="24"/>
      <c r="K403" s="24"/>
      <c r="L403" s="24"/>
      <c r="M403" s="24"/>
      <c r="N403" s="24">
        <f>D403+E403+F403+H403+I403+K403+J403</f>
        <v>0</v>
      </c>
      <c r="O403" s="33">
        <v>0</v>
      </c>
      <c r="P403" s="14">
        <f t="shared" si="88"/>
        <v>0</v>
      </c>
    </row>
    <row r="404" spans="1:16" x14ac:dyDescent="0.25">
      <c r="A404" s="182"/>
      <c r="B404" s="196"/>
      <c r="C404" s="6" t="s">
        <v>40</v>
      </c>
      <c r="D404" s="95">
        <f>SUM(D399:D403)</f>
        <v>2729064</v>
      </c>
      <c r="E404" s="95">
        <f t="shared" ref="E404:P404" si="89">SUM(E399:E403)</f>
        <v>0</v>
      </c>
      <c r="F404" s="95">
        <f t="shared" si="89"/>
        <v>0</v>
      </c>
      <c r="G404" s="95"/>
      <c r="H404" s="95">
        <f t="shared" si="89"/>
        <v>0</v>
      </c>
      <c r="I404" s="95">
        <f t="shared" si="89"/>
        <v>0</v>
      </c>
      <c r="J404" s="95">
        <f t="shared" si="89"/>
        <v>0</v>
      </c>
      <c r="K404" s="95">
        <f t="shared" si="89"/>
        <v>0</v>
      </c>
      <c r="L404" s="95">
        <f t="shared" si="89"/>
        <v>0</v>
      </c>
      <c r="M404" s="95">
        <f t="shared" si="89"/>
        <v>0</v>
      </c>
      <c r="N404" s="95">
        <f t="shared" si="89"/>
        <v>2729064</v>
      </c>
      <c r="O404" s="49">
        <f t="shared" si="89"/>
        <v>1802440</v>
      </c>
      <c r="P404" s="26">
        <f t="shared" si="89"/>
        <v>926624</v>
      </c>
    </row>
    <row r="405" spans="1:16" x14ac:dyDescent="0.25">
      <c r="A405" s="182"/>
      <c r="B405" s="196"/>
      <c r="C405" s="57" t="s">
        <v>41</v>
      </c>
      <c r="D405" s="96">
        <v>492586</v>
      </c>
      <c r="E405" s="96"/>
      <c r="F405" s="96"/>
      <c r="G405" s="96"/>
      <c r="H405" s="96"/>
      <c r="I405" s="96"/>
      <c r="J405" s="96"/>
      <c r="K405" s="96"/>
      <c r="L405" s="96"/>
      <c r="M405" s="96"/>
      <c r="N405" s="97">
        <f>D405+E405+F405+H405+I405+K405</f>
        <v>492586</v>
      </c>
      <c r="O405" s="129">
        <v>314706</v>
      </c>
      <c r="P405" s="55">
        <f t="shared" ref="P405:P416" si="90">N405-O405</f>
        <v>177880</v>
      </c>
    </row>
    <row r="406" spans="1:16" x14ac:dyDescent="0.25">
      <c r="A406" s="182"/>
      <c r="B406" s="196"/>
      <c r="C406" s="2" t="s">
        <v>42</v>
      </c>
      <c r="D406" s="24">
        <v>30000</v>
      </c>
      <c r="E406" s="24"/>
      <c r="F406" s="24"/>
      <c r="G406" s="24"/>
      <c r="H406" s="24">
        <v>100000</v>
      </c>
      <c r="I406" s="24"/>
      <c r="J406" s="24"/>
      <c r="K406" s="24"/>
      <c r="L406" s="24"/>
      <c r="M406" s="24"/>
      <c r="N406" s="24">
        <f t="shared" ref="N406:N416" si="91">D406+E406+F406+H406+I406+K406+J406</f>
        <v>130000</v>
      </c>
      <c r="O406" s="33">
        <v>0</v>
      </c>
      <c r="P406" s="14">
        <f t="shared" si="90"/>
        <v>130000</v>
      </c>
    </row>
    <row r="407" spans="1:16" x14ac:dyDescent="0.25">
      <c r="A407" s="182"/>
      <c r="B407" s="196"/>
      <c r="C407" s="2" t="s">
        <v>52</v>
      </c>
      <c r="D407" s="24">
        <v>40000</v>
      </c>
      <c r="E407" s="24"/>
      <c r="F407" s="24"/>
      <c r="G407" s="24"/>
      <c r="H407" s="24">
        <v>102677</v>
      </c>
      <c r="I407" s="24"/>
      <c r="J407" s="24">
        <v>118110</v>
      </c>
      <c r="K407" s="24"/>
      <c r="L407" s="24"/>
      <c r="M407" s="24"/>
      <c r="N407" s="24">
        <f t="shared" si="91"/>
        <v>260787</v>
      </c>
      <c r="O407" s="33">
        <v>0</v>
      </c>
      <c r="P407" s="21">
        <f t="shared" si="90"/>
        <v>260787</v>
      </c>
    </row>
    <row r="408" spans="1:16" x14ac:dyDescent="0.25">
      <c r="A408" s="182"/>
      <c r="B408" s="196"/>
      <c r="C408" s="30" t="s">
        <v>54</v>
      </c>
      <c r="D408" s="24">
        <v>81868</v>
      </c>
      <c r="E408" s="24"/>
      <c r="F408" s="24"/>
      <c r="G408" s="24"/>
      <c r="H408" s="24"/>
      <c r="I408" s="24"/>
      <c r="J408" s="24"/>
      <c r="K408" s="24"/>
      <c r="L408" s="24"/>
      <c r="M408" s="24"/>
      <c r="N408" s="24">
        <f t="shared" si="91"/>
        <v>81868</v>
      </c>
      <c r="O408" s="33">
        <v>53310</v>
      </c>
      <c r="P408" s="33">
        <f t="shared" si="90"/>
        <v>28558</v>
      </c>
    </row>
    <row r="409" spans="1:16" x14ac:dyDescent="0.25">
      <c r="A409" s="182"/>
      <c r="B409" s="196"/>
      <c r="C409" s="30" t="s">
        <v>55</v>
      </c>
      <c r="D409" s="24">
        <v>0</v>
      </c>
      <c r="E409" s="24"/>
      <c r="F409" s="24"/>
      <c r="G409" s="24"/>
      <c r="H409" s="24"/>
      <c r="I409" s="24"/>
      <c r="J409" s="24"/>
      <c r="K409" s="24"/>
      <c r="L409" s="24"/>
      <c r="M409" s="24"/>
      <c r="N409" s="24">
        <f t="shared" si="91"/>
        <v>0</v>
      </c>
      <c r="O409" s="33">
        <v>0</v>
      </c>
      <c r="P409" s="33">
        <f t="shared" si="90"/>
        <v>0</v>
      </c>
    </row>
    <row r="410" spans="1:16" x14ac:dyDescent="0.25">
      <c r="A410" s="182"/>
      <c r="B410" s="196"/>
      <c r="C410" s="2" t="s">
        <v>61</v>
      </c>
      <c r="D410" s="24">
        <v>52315</v>
      </c>
      <c r="E410" s="24"/>
      <c r="F410" s="24"/>
      <c r="G410" s="24"/>
      <c r="H410" s="24"/>
      <c r="I410" s="24"/>
      <c r="J410" s="24"/>
      <c r="K410" s="24"/>
      <c r="L410" s="24"/>
      <c r="M410" s="24"/>
      <c r="N410" s="24">
        <f t="shared" si="91"/>
        <v>52315</v>
      </c>
      <c r="O410" s="33">
        <v>0</v>
      </c>
      <c r="P410" s="14">
        <f t="shared" si="90"/>
        <v>52315</v>
      </c>
    </row>
    <row r="411" spans="1:16" x14ac:dyDescent="0.25">
      <c r="A411" s="182"/>
      <c r="B411" s="196"/>
      <c r="C411" s="2" t="s">
        <v>56</v>
      </c>
      <c r="D411" s="24">
        <v>5000</v>
      </c>
      <c r="E411" s="24"/>
      <c r="F411" s="24"/>
      <c r="G411" s="24"/>
      <c r="H411" s="24"/>
      <c r="I411" s="24"/>
      <c r="J411" s="24"/>
      <c r="K411" s="24"/>
      <c r="L411" s="24"/>
      <c r="M411" s="24"/>
      <c r="N411" s="24">
        <f t="shared" si="91"/>
        <v>5000</v>
      </c>
      <c r="O411" s="33">
        <v>0</v>
      </c>
      <c r="P411" s="14">
        <f t="shared" si="90"/>
        <v>5000</v>
      </c>
    </row>
    <row r="412" spans="1:16" x14ac:dyDescent="0.25">
      <c r="A412" s="182"/>
      <c r="B412" s="196"/>
      <c r="C412" s="2" t="s">
        <v>43</v>
      </c>
      <c r="D412" s="24">
        <v>8400</v>
      </c>
      <c r="E412" s="24"/>
      <c r="F412" s="28"/>
      <c r="G412" s="28"/>
      <c r="H412" s="24"/>
      <c r="I412" s="24"/>
      <c r="J412" s="24"/>
      <c r="K412" s="24"/>
      <c r="L412" s="24"/>
      <c r="M412" s="24"/>
      <c r="N412" s="24">
        <f t="shared" si="91"/>
        <v>8400</v>
      </c>
      <c r="O412" s="33">
        <v>4200</v>
      </c>
      <c r="P412" s="14">
        <f t="shared" si="90"/>
        <v>4200</v>
      </c>
    </row>
    <row r="413" spans="1:16" x14ac:dyDescent="0.25">
      <c r="A413" s="182"/>
      <c r="B413" s="196"/>
      <c r="C413" s="2" t="s">
        <v>57</v>
      </c>
      <c r="D413" s="24">
        <v>0</v>
      </c>
      <c r="E413" s="24"/>
      <c r="F413" s="28"/>
      <c r="G413" s="28"/>
      <c r="H413" s="24"/>
      <c r="I413" s="24"/>
      <c r="J413" s="24"/>
      <c r="K413" s="24"/>
      <c r="L413" s="24"/>
      <c r="M413" s="24"/>
      <c r="N413" s="24">
        <f t="shared" si="91"/>
        <v>0</v>
      </c>
      <c r="O413" s="33">
        <v>0</v>
      </c>
      <c r="P413" s="14">
        <f t="shared" si="90"/>
        <v>0</v>
      </c>
    </row>
    <row r="414" spans="1:16" x14ac:dyDescent="0.25">
      <c r="A414" s="182"/>
      <c r="B414" s="196"/>
      <c r="C414" s="2" t="s">
        <v>58</v>
      </c>
      <c r="D414" s="24">
        <v>15000</v>
      </c>
      <c r="E414" s="24"/>
      <c r="F414" s="28"/>
      <c r="G414" s="28"/>
      <c r="H414" s="24"/>
      <c r="I414" s="24"/>
      <c r="J414" s="24"/>
      <c r="K414" s="24"/>
      <c r="L414" s="24"/>
      <c r="M414" s="24"/>
      <c r="N414" s="24">
        <f t="shared" si="91"/>
        <v>15000</v>
      </c>
      <c r="O414" s="33">
        <v>7382</v>
      </c>
      <c r="P414" s="14">
        <f t="shared" si="90"/>
        <v>7618</v>
      </c>
    </row>
    <row r="415" spans="1:16" x14ac:dyDescent="0.25">
      <c r="A415" s="182"/>
      <c r="B415" s="196"/>
      <c r="C415" s="2" t="s">
        <v>44</v>
      </c>
      <c r="D415" s="24">
        <v>31155</v>
      </c>
      <c r="E415" s="24"/>
      <c r="F415" s="28"/>
      <c r="G415" s="28"/>
      <c r="H415" s="24">
        <v>54723</v>
      </c>
      <c r="I415" s="24"/>
      <c r="J415" s="24">
        <v>31890</v>
      </c>
      <c r="K415" s="24"/>
      <c r="L415" s="24"/>
      <c r="M415" s="24"/>
      <c r="N415" s="24">
        <f t="shared" si="91"/>
        <v>117768</v>
      </c>
      <c r="O415" s="33">
        <v>10925</v>
      </c>
      <c r="P415" s="21">
        <f t="shared" si="90"/>
        <v>106843</v>
      </c>
    </row>
    <row r="416" spans="1:16" x14ac:dyDescent="0.25">
      <c r="A416" s="182"/>
      <c r="B416" s="196"/>
      <c r="C416" s="2" t="s">
        <v>59</v>
      </c>
      <c r="D416" s="24">
        <v>0</v>
      </c>
      <c r="E416" s="24"/>
      <c r="F416" s="28"/>
      <c r="G416" s="28"/>
      <c r="H416" s="24"/>
      <c r="I416" s="24"/>
      <c r="J416" s="24"/>
      <c r="K416" s="24"/>
      <c r="L416" s="24"/>
      <c r="M416" s="24"/>
      <c r="N416" s="24">
        <f t="shared" si="91"/>
        <v>0</v>
      </c>
      <c r="O416" s="33">
        <v>0</v>
      </c>
      <c r="P416" s="14">
        <f t="shared" si="90"/>
        <v>0</v>
      </c>
    </row>
    <row r="417" spans="1:17" x14ac:dyDescent="0.25">
      <c r="A417" s="182"/>
      <c r="B417" s="196"/>
      <c r="C417" s="6" t="s">
        <v>45</v>
      </c>
      <c r="D417" s="95">
        <f>SUM(D406:D416)</f>
        <v>263738</v>
      </c>
      <c r="E417" s="95">
        <f t="shared" ref="E417:P417" si="92">SUM(E406:E416)</f>
        <v>0</v>
      </c>
      <c r="F417" s="95">
        <f t="shared" si="92"/>
        <v>0</v>
      </c>
      <c r="G417" s="95"/>
      <c r="H417" s="95">
        <f t="shared" si="92"/>
        <v>257400</v>
      </c>
      <c r="I417" s="95">
        <f t="shared" si="92"/>
        <v>0</v>
      </c>
      <c r="J417" s="95">
        <f t="shared" si="92"/>
        <v>150000</v>
      </c>
      <c r="K417" s="95">
        <f t="shared" si="92"/>
        <v>0</v>
      </c>
      <c r="L417" s="95">
        <f t="shared" si="92"/>
        <v>0</v>
      </c>
      <c r="M417" s="95">
        <f t="shared" si="92"/>
        <v>0</v>
      </c>
      <c r="N417" s="95">
        <f t="shared" si="92"/>
        <v>671138</v>
      </c>
      <c r="O417" s="49">
        <f t="shared" si="92"/>
        <v>75817</v>
      </c>
      <c r="P417" s="26">
        <f t="shared" si="92"/>
        <v>595321</v>
      </c>
    </row>
    <row r="418" spans="1:17" x14ac:dyDescent="0.25">
      <c r="A418" s="182"/>
      <c r="B418" s="196"/>
      <c r="C418" s="2" t="s">
        <v>111</v>
      </c>
      <c r="D418" s="24">
        <v>0</v>
      </c>
      <c r="E418" s="24"/>
      <c r="F418" s="24"/>
      <c r="G418" s="24"/>
      <c r="H418" s="24"/>
      <c r="I418" s="24"/>
      <c r="J418" s="24"/>
      <c r="K418" s="24"/>
      <c r="L418" s="24"/>
      <c r="M418" s="24"/>
      <c r="N418" s="24">
        <f>D418+E418+F418+H418+I418+K418+J418</f>
        <v>0</v>
      </c>
      <c r="O418" s="33">
        <v>0</v>
      </c>
      <c r="P418" s="14">
        <f t="shared" ref="P418:P419" si="93">N418-O418</f>
        <v>0</v>
      </c>
    </row>
    <row r="419" spans="1:17" x14ac:dyDescent="0.25">
      <c r="A419" s="182"/>
      <c r="B419" s="196"/>
      <c r="C419" s="2" t="s">
        <v>112</v>
      </c>
      <c r="D419" s="24">
        <v>0</v>
      </c>
      <c r="E419" s="24"/>
      <c r="F419" s="24"/>
      <c r="G419" s="24"/>
      <c r="H419" s="24"/>
      <c r="I419" s="24"/>
      <c r="J419" s="24"/>
      <c r="K419" s="24"/>
      <c r="L419" s="24"/>
      <c r="M419" s="24"/>
      <c r="N419" s="24">
        <f>D419+E419+F419+H419+I419+K419+J419</f>
        <v>0</v>
      </c>
      <c r="O419" s="33">
        <v>0</v>
      </c>
      <c r="P419" s="14">
        <f t="shared" si="93"/>
        <v>0</v>
      </c>
    </row>
    <row r="420" spans="1:17" x14ac:dyDescent="0.25">
      <c r="A420" s="182"/>
      <c r="B420" s="197"/>
      <c r="C420" s="6" t="s">
        <v>113</v>
      </c>
      <c r="D420" s="95">
        <f>SUM(D418:D419)</f>
        <v>0</v>
      </c>
      <c r="E420" s="95">
        <f t="shared" ref="E420:P420" si="94">SUM(E418:E419)</f>
        <v>0</v>
      </c>
      <c r="F420" s="95">
        <f t="shared" si="94"/>
        <v>0</v>
      </c>
      <c r="G420" s="95"/>
      <c r="H420" s="95">
        <f t="shared" si="94"/>
        <v>0</v>
      </c>
      <c r="I420" s="95">
        <f t="shared" si="94"/>
        <v>0</v>
      </c>
      <c r="J420" s="95">
        <f t="shared" si="94"/>
        <v>0</v>
      </c>
      <c r="K420" s="95">
        <f t="shared" si="94"/>
        <v>0</v>
      </c>
      <c r="L420" s="95">
        <f t="shared" si="94"/>
        <v>0</v>
      </c>
      <c r="M420" s="95">
        <f t="shared" si="94"/>
        <v>0</v>
      </c>
      <c r="N420" s="95">
        <f t="shared" si="94"/>
        <v>0</v>
      </c>
      <c r="O420" s="49">
        <f t="shared" si="94"/>
        <v>0</v>
      </c>
      <c r="P420" s="26">
        <f t="shared" si="94"/>
        <v>0</v>
      </c>
    </row>
    <row r="421" spans="1:17" x14ac:dyDescent="0.25">
      <c r="A421" s="183" t="s">
        <v>91</v>
      </c>
      <c r="B421" s="185" t="s">
        <v>17</v>
      </c>
      <c r="C421" s="2" t="s">
        <v>39</v>
      </c>
      <c r="D421" s="24">
        <v>222126</v>
      </c>
      <c r="E421" s="24"/>
      <c r="F421" s="24"/>
      <c r="G421" s="24"/>
      <c r="H421" s="24"/>
      <c r="I421" s="24"/>
      <c r="J421" s="24"/>
      <c r="K421" s="24"/>
      <c r="L421" s="24"/>
      <c r="M421" s="24"/>
      <c r="N421" s="24">
        <f>D421+E421+F421+H421+I421+K421+J421+L421</f>
        <v>222126</v>
      </c>
      <c r="O421" s="33">
        <v>143863</v>
      </c>
      <c r="P421" s="14">
        <f t="shared" ref="P421:P422" si="95">N421-O421</f>
        <v>78263</v>
      </c>
    </row>
    <row r="422" spans="1:17" x14ac:dyDescent="0.25">
      <c r="A422" s="195"/>
      <c r="B422" s="197"/>
      <c r="C422" s="2" t="s">
        <v>41</v>
      </c>
      <c r="D422" s="24">
        <v>36915</v>
      </c>
      <c r="E422" s="24"/>
      <c r="F422" s="24"/>
      <c r="G422" s="24"/>
      <c r="H422" s="24"/>
      <c r="I422" s="24"/>
      <c r="J422" s="24"/>
      <c r="K422" s="24"/>
      <c r="L422" s="24"/>
      <c r="M422" s="24"/>
      <c r="N422" s="24">
        <f>D422+E422+F422+H422+I422+K422+J422+L422</f>
        <v>36915</v>
      </c>
      <c r="O422" s="33">
        <v>24784</v>
      </c>
      <c r="P422" s="14">
        <f t="shared" si="95"/>
        <v>12131</v>
      </c>
    </row>
    <row r="423" spans="1:17" x14ac:dyDescent="0.25">
      <c r="A423" s="186" t="s">
        <v>119</v>
      </c>
      <c r="B423" s="187"/>
      <c r="C423" s="188"/>
      <c r="D423" s="113">
        <f>SUM(D389+D392+D393+D398+D404+D405+D417+D420+D421+D422)</f>
        <v>4808396</v>
      </c>
      <c r="E423" s="99">
        <f t="shared" ref="E423:H423" si="96">SUM(E392,E393,E398,E404,E405,E417,E420,E421,E422,E389)</f>
        <v>0</v>
      </c>
      <c r="F423" s="99">
        <f t="shared" si="96"/>
        <v>0</v>
      </c>
      <c r="G423" s="99"/>
      <c r="H423" s="99">
        <f t="shared" si="96"/>
        <v>257400</v>
      </c>
      <c r="I423" s="99">
        <f>SUM(I392,I393,I398,I404,I405,I417,I420,I421,I422,I389)</f>
        <v>0</v>
      </c>
      <c r="J423" s="99">
        <f>SUM(J392,J393,J398,J404,J405,J417,J420,J421,J422,J389)</f>
        <v>150000</v>
      </c>
      <c r="K423" s="99">
        <f>SUM(K392,K393,K398,K404,K405,K417,K420,K421,K422,K389)</f>
        <v>0</v>
      </c>
      <c r="L423" s="99">
        <f t="shared" ref="L423:M423" si="97">SUM(L392,L393,L398,L404,L405,L417,L420,L421,L422,L389)</f>
        <v>0</v>
      </c>
      <c r="M423" s="99">
        <f t="shared" si="97"/>
        <v>0</v>
      </c>
      <c r="N423" s="99">
        <f t="shared" ref="N423:P423" si="98">SUM(N392,N393,N398,N404,N405,N417,N420,N421,N422,N389)</f>
        <v>5215796</v>
      </c>
      <c r="O423" s="131">
        <f>SUM(O392,O393,O398,O404,O405,O417,O420,O421,O422,O389)</f>
        <v>3063021</v>
      </c>
      <c r="P423" s="59">
        <f t="shared" si="98"/>
        <v>2152775</v>
      </c>
    </row>
    <row r="424" spans="1:17" x14ac:dyDescent="0.25">
      <c r="A424" s="182" t="s">
        <v>69</v>
      </c>
      <c r="B424" s="185" t="s">
        <v>70</v>
      </c>
      <c r="C424" s="30" t="s">
        <v>48</v>
      </c>
      <c r="D424" s="24">
        <v>72000</v>
      </c>
      <c r="E424" s="24"/>
      <c r="F424" s="24"/>
      <c r="G424" s="24"/>
      <c r="H424" s="24"/>
      <c r="I424" s="24"/>
      <c r="J424" s="24"/>
      <c r="K424" s="24"/>
      <c r="L424" s="24"/>
      <c r="M424" s="24"/>
      <c r="N424" s="24">
        <f>D424+E424+F424+H424+I424+K424+J424</f>
        <v>72000</v>
      </c>
      <c r="O424" s="33">
        <v>11880</v>
      </c>
      <c r="P424" s="21">
        <f t="shared" ref="P424:P426" si="99">N424-O424</f>
        <v>60120</v>
      </c>
    </row>
    <row r="425" spans="1:17" x14ac:dyDescent="0.25">
      <c r="A425" s="182"/>
      <c r="B425" s="196"/>
      <c r="C425" s="2" t="s">
        <v>39</v>
      </c>
      <c r="D425" s="24">
        <v>978360</v>
      </c>
      <c r="E425" s="24"/>
      <c r="F425" s="24"/>
      <c r="G425" s="24"/>
      <c r="H425" s="24"/>
      <c r="I425" s="24"/>
      <c r="J425" s="24"/>
      <c r="K425" s="24"/>
      <c r="L425" s="24"/>
      <c r="M425" s="24"/>
      <c r="N425" s="24">
        <f>D425+E425+F425+H425+I425+K425+J425</f>
        <v>978360</v>
      </c>
      <c r="O425" s="33">
        <v>652240</v>
      </c>
      <c r="P425" s="14">
        <f t="shared" si="99"/>
        <v>326120</v>
      </c>
    </row>
    <row r="426" spans="1:17" x14ac:dyDescent="0.25">
      <c r="A426" s="182"/>
      <c r="B426" s="196"/>
      <c r="C426" s="2" t="s">
        <v>50</v>
      </c>
      <c r="D426" s="24">
        <v>0</v>
      </c>
      <c r="E426" s="24"/>
      <c r="F426" s="24"/>
      <c r="G426" s="24"/>
      <c r="H426" s="24"/>
      <c r="I426" s="24"/>
      <c r="J426" s="24"/>
      <c r="K426" s="24"/>
      <c r="L426" s="24"/>
      <c r="M426" s="24"/>
      <c r="N426" s="24">
        <f>D426+E426+F426+H426+I426+K426+J426</f>
        <v>0</v>
      </c>
      <c r="O426" s="33">
        <v>0</v>
      </c>
      <c r="P426" s="14">
        <f t="shared" si="99"/>
        <v>0</v>
      </c>
    </row>
    <row r="427" spans="1:17" x14ac:dyDescent="0.25">
      <c r="A427" s="182"/>
      <c r="B427" s="196"/>
      <c r="C427" s="6" t="s">
        <v>40</v>
      </c>
      <c r="D427" s="95">
        <f>SUM(D424:D426)</f>
        <v>1050360</v>
      </c>
      <c r="E427" s="95">
        <f t="shared" ref="E427:M427" si="100">SUM(E424:E426)</f>
        <v>0</v>
      </c>
      <c r="F427" s="95">
        <f t="shared" si="100"/>
        <v>0</v>
      </c>
      <c r="G427" s="95"/>
      <c r="H427" s="95">
        <f t="shared" si="100"/>
        <v>0</v>
      </c>
      <c r="I427" s="95">
        <f t="shared" si="100"/>
        <v>0</v>
      </c>
      <c r="J427" s="95">
        <f t="shared" si="100"/>
        <v>0</v>
      </c>
      <c r="K427" s="95">
        <f t="shared" si="100"/>
        <v>0</v>
      </c>
      <c r="L427" s="95">
        <f t="shared" si="100"/>
        <v>0</v>
      </c>
      <c r="M427" s="95">
        <f t="shared" si="100"/>
        <v>0</v>
      </c>
      <c r="N427" s="95">
        <f>SUM(N424:N426)</f>
        <v>1050360</v>
      </c>
      <c r="O427" s="49">
        <f t="shared" ref="O427:P427" si="101">SUM(O424:O426)</f>
        <v>664120</v>
      </c>
      <c r="P427" s="26">
        <f t="shared" si="101"/>
        <v>386240</v>
      </c>
    </row>
    <row r="428" spans="1:17" x14ac:dyDescent="0.25">
      <c r="A428" s="182"/>
      <c r="B428" s="196"/>
      <c r="C428" s="57" t="s">
        <v>41</v>
      </c>
      <c r="D428" s="96">
        <v>85607</v>
      </c>
      <c r="E428" s="96"/>
      <c r="F428" s="96"/>
      <c r="G428" s="96"/>
      <c r="H428" s="96"/>
      <c r="I428" s="96"/>
      <c r="J428" s="96"/>
      <c r="K428" s="96"/>
      <c r="L428" s="96"/>
      <c r="M428" s="96"/>
      <c r="N428" s="97">
        <f>D428+E428+F428+H428+I428+K428</f>
        <v>85607</v>
      </c>
      <c r="O428" s="129">
        <v>56258</v>
      </c>
      <c r="P428" s="55">
        <f t="shared" ref="P428:P432" si="102">N428-O428</f>
        <v>29349</v>
      </c>
    </row>
    <row r="429" spans="1:17" x14ac:dyDescent="0.25">
      <c r="A429" s="182"/>
      <c r="B429" s="196"/>
      <c r="C429" s="2" t="s">
        <v>42</v>
      </c>
      <c r="D429" s="24">
        <v>0</v>
      </c>
      <c r="E429" s="24"/>
      <c r="F429" s="24"/>
      <c r="G429" s="24"/>
      <c r="H429" s="24"/>
      <c r="I429" s="24"/>
      <c r="J429" s="24"/>
      <c r="K429" s="24"/>
      <c r="L429" s="24"/>
      <c r="M429" s="24"/>
      <c r="N429" s="24">
        <f>D429+E429+F429+H429+I429+K429+J429</f>
        <v>0</v>
      </c>
      <c r="O429" s="33">
        <v>0</v>
      </c>
      <c r="P429" s="32">
        <f t="shared" si="102"/>
        <v>0</v>
      </c>
    </row>
    <row r="430" spans="1:17" x14ac:dyDescent="0.25">
      <c r="A430" s="182"/>
      <c r="B430" s="196"/>
      <c r="C430" s="2" t="s">
        <v>52</v>
      </c>
      <c r="D430" s="24">
        <v>0</v>
      </c>
      <c r="E430" s="24"/>
      <c r="F430" s="24"/>
      <c r="G430" s="24"/>
      <c r="H430" s="24"/>
      <c r="I430" s="24"/>
      <c r="J430" s="24"/>
      <c r="K430" s="24"/>
      <c r="L430" s="24"/>
      <c r="M430" s="24"/>
      <c r="N430" s="24">
        <f>D430+E430+F430+H430+I430+K430+J430</f>
        <v>0</v>
      </c>
      <c r="O430" s="33">
        <v>0</v>
      </c>
      <c r="P430" s="32">
        <f t="shared" si="102"/>
        <v>0</v>
      </c>
    </row>
    <row r="431" spans="1:17" x14ac:dyDescent="0.25">
      <c r="A431" s="182"/>
      <c r="B431" s="196"/>
      <c r="C431" s="2" t="s">
        <v>43</v>
      </c>
      <c r="D431" s="24">
        <v>0</v>
      </c>
      <c r="E431" s="24"/>
      <c r="F431" s="24"/>
      <c r="G431" s="24"/>
      <c r="H431" s="24"/>
      <c r="I431" s="24"/>
      <c r="J431" s="24"/>
      <c r="K431" s="24"/>
      <c r="L431" s="24"/>
      <c r="M431" s="24"/>
      <c r="N431" s="24">
        <f>D431+E431+F431+H431+I431+K431+J431</f>
        <v>0</v>
      </c>
      <c r="O431" s="33">
        <v>0</v>
      </c>
      <c r="P431" s="32">
        <f t="shared" si="102"/>
        <v>0</v>
      </c>
      <c r="Q431" s="53"/>
    </row>
    <row r="432" spans="1:17" x14ac:dyDescent="0.25">
      <c r="A432" s="182"/>
      <c r="B432" s="196"/>
      <c r="C432" s="2" t="s">
        <v>44</v>
      </c>
      <c r="D432" s="24">
        <v>0</v>
      </c>
      <c r="E432" s="24"/>
      <c r="F432" s="24"/>
      <c r="G432" s="24"/>
      <c r="H432" s="24"/>
      <c r="I432" s="24"/>
      <c r="J432" s="24"/>
      <c r="K432" s="24"/>
      <c r="L432" s="24"/>
      <c r="M432" s="24"/>
      <c r="N432" s="24">
        <f>D432+E432+F432+H432+I432+K432+J432</f>
        <v>0</v>
      </c>
      <c r="O432" s="33">
        <v>0</v>
      </c>
      <c r="P432" s="32">
        <f t="shared" si="102"/>
        <v>0</v>
      </c>
      <c r="Q432" s="53"/>
    </row>
    <row r="433" spans="1:17" x14ac:dyDescent="0.25">
      <c r="A433" s="182"/>
      <c r="B433" s="197"/>
      <c r="C433" s="6" t="s">
        <v>45</v>
      </c>
      <c r="D433" s="95">
        <f>SUM(D429:D432)</f>
        <v>0</v>
      </c>
      <c r="E433" s="95">
        <f t="shared" ref="E433:P433" si="103">SUM(E429:E432)</f>
        <v>0</v>
      </c>
      <c r="F433" s="95">
        <f t="shared" si="103"/>
        <v>0</v>
      </c>
      <c r="G433" s="95"/>
      <c r="H433" s="95">
        <f t="shared" si="103"/>
        <v>0</v>
      </c>
      <c r="I433" s="95">
        <f t="shared" si="103"/>
        <v>0</v>
      </c>
      <c r="J433" s="95">
        <f t="shared" si="103"/>
        <v>0</v>
      </c>
      <c r="K433" s="95">
        <f t="shared" si="103"/>
        <v>0</v>
      </c>
      <c r="L433" s="95">
        <f t="shared" si="103"/>
        <v>0</v>
      </c>
      <c r="M433" s="95">
        <f t="shared" si="103"/>
        <v>0</v>
      </c>
      <c r="N433" s="95">
        <f t="shared" si="103"/>
        <v>0</v>
      </c>
      <c r="O433" s="49">
        <f t="shared" si="103"/>
        <v>0</v>
      </c>
      <c r="P433" s="34">
        <f t="shared" si="103"/>
        <v>0</v>
      </c>
      <c r="Q433" s="53"/>
    </row>
    <row r="434" spans="1:17" x14ac:dyDescent="0.25">
      <c r="A434" s="182"/>
      <c r="B434" s="184" t="s">
        <v>17</v>
      </c>
      <c r="C434" s="2" t="s">
        <v>39</v>
      </c>
      <c r="D434" s="24">
        <v>3566224</v>
      </c>
      <c r="E434" s="51"/>
      <c r="F434" s="24"/>
      <c r="G434" s="24"/>
      <c r="H434" s="24"/>
      <c r="I434" s="24"/>
      <c r="J434" s="24"/>
      <c r="K434" s="24"/>
      <c r="L434" s="24"/>
      <c r="M434" s="24"/>
      <c r="N434" s="24">
        <f t="shared" ref="N434:N439" si="104">D434+E434+F434+H434+I434+K434+J434</f>
        <v>3566224</v>
      </c>
      <c r="O434" s="33">
        <v>2213929</v>
      </c>
      <c r="P434" s="33">
        <f t="shared" ref="P434:P439" si="105">N434-O434</f>
        <v>1352295</v>
      </c>
      <c r="Q434" s="53"/>
    </row>
    <row r="435" spans="1:17" x14ac:dyDescent="0.25">
      <c r="A435" s="182"/>
      <c r="B435" s="184"/>
      <c r="C435" s="2" t="s">
        <v>46</v>
      </c>
      <c r="D435" s="24">
        <v>100000</v>
      </c>
      <c r="E435" s="28"/>
      <c r="F435" s="24"/>
      <c r="G435" s="24"/>
      <c r="H435" s="24"/>
      <c r="I435" s="24"/>
      <c r="J435" s="24"/>
      <c r="K435" s="24"/>
      <c r="L435" s="24"/>
      <c r="M435" s="24"/>
      <c r="N435" s="24">
        <f t="shared" si="104"/>
        <v>100000</v>
      </c>
      <c r="O435" s="33">
        <v>50000</v>
      </c>
      <c r="P435" s="14">
        <f t="shared" si="105"/>
        <v>50000</v>
      </c>
      <c r="Q435" s="53"/>
    </row>
    <row r="436" spans="1:17" x14ac:dyDescent="0.25">
      <c r="A436" s="182"/>
      <c r="B436" s="184"/>
      <c r="C436" s="2" t="s">
        <v>47</v>
      </c>
      <c r="D436" s="24">
        <v>5000</v>
      </c>
      <c r="E436" s="28"/>
      <c r="F436" s="24"/>
      <c r="G436" s="24"/>
      <c r="H436" s="24"/>
      <c r="I436" s="24"/>
      <c r="J436" s="24"/>
      <c r="K436" s="24"/>
      <c r="L436" s="24"/>
      <c r="M436" s="24"/>
      <c r="N436" s="24">
        <f t="shared" si="104"/>
        <v>5000</v>
      </c>
      <c r="O436" s="33">
        <v>0</v>
      </c>
      <c r="P436" s="14">
        <f t="shared" si="105"/>
        <v>5000</v>
      </c>
      <c r="Q436" s="53"/>
    </row>
    <row r="437" spans="1:17" x14ac:dyDescent="0.25">
      <c r="A437" s="182"/>
      <c r="B437" s="184"/>
      <c r="C437" s="2" t="s">
        <v>48</v>
      </c>
      <c r="D437" s="24">
        <v>125000</v>
      </c>
      <c r="E437" s="28"/>
      <c r="F437" s="24"/>
      <c r="G437" s="24"/>
      <c r="H437" s="24"/>
      <c r="I437" s="24"/>
      <c r="J437" s="24"/>
      <c r="K437" s="24"/>
      <c r="L437" s="24"/>
      <c r="M437" s="24"/>
      <c r="N437" s="24">
        <f t="shared" si="104"/>
        <v>125000</v>
      </c>
      <c r="O437" s="33">
        <v>10234</v>
      </c>
      <c r="P437" s="32">
        <f t="shared" si="105"/>
        <v>114766</v>
      </c>
      <c r="Q437" s="53"/>
    </row>
    <row r="438" spans="1:17" x14ac:dyDescent="0.25">
      <c r="A438" s="182"/>
      <c r="B438" s="184"/>
      <c r="C438" s="2" t="s">
        <v>49</v>
      </c>
      <c r="D438" s="24">
        <v>12000</v>
      </c>
      <c r="E438" s="24"/>
      <c r="F438" s="24"/>
      <c r="G438" s="24"/>
      <c r="H438" s="24"/>
      <c r="I438" s="24"/>
      <c r="J438" s="24"/>
      <c r="K438" s="24"/>
      <c r="L438" s="24"/>
      <c r="M438" s="24"/>
      <c r="N438" s="24">
        <f t="shared" si="104"/>
        <v>12000</v>
      </c>
      <c r="O438" s="33">
        <v>6000</v>
      </c>
      <c r="P438" s="14">
        <f t="shared" si="105"/>
        <v>6000</v>
      </c>
      <c r="Q438" s="53"/>
    </row>
    <row r="439" spans="1:17" x14ac:dyDescent="0.25">
      <c r="A439" s="182"/>
      <c r="B439" s="184"/>
      <c r="C439" s="2" t="s">
        <v>50</v>
      </c>
      <c r="D439" s="24">
        <v>68871</v>
      </c>
      <c r="E439" s="28"/>
      <c r="F439" s="24"/>
      <c r="G439" s="24"/>
      <c r="H439" s="24"/>
      <c r="I439" s="24"/>
      <c r="J439" s="24"/>
      <c r="K439" s="24"/>
      <c r="L439" s="24"/>
      <c r="M439" s="24"/>
      <c r="N439" s="24">
        <f t="shared" si="104"/>
        <v>68871</v>
      </c>
      <c r="O439" s="33">
        <v>68871</v>
      </c>
      <c r="P439" s="21">
        <f t="shared" si="105"/>
        <v>0</v>
      </c>
      <c r="Q439" s="53"/>
    </row>
    <row r="440" spans="1:17" x14ac:dyDescent="0.25">
      <c r="A440" s="182"/>
      <c r="B440" s="184"/>
      <c r="C440" s="6" t="s">
        <v>40</v>
      </c>
      <c r="D440" s="95">
        <f>SUM(D434:D439)</f>
        <v>3877095</v>
      </c>
      <c r="E440" s="95">
        <f t="shared" ref="E440:P440" si="106">SUM(E434:E439)</f>
        <v>0</v>
      </c>
      <c r="F440" s="95">
        <f t="shared" si="106"/>
        <v>0</v>
      </c>
      <c r="G440" s="95"/>
      <c r="H440" s="95">
        <f t="shared" si="106"/>
        <v>0</v>
      </c>
      <c r="I440" s="95">
        <f t="shared" si="106"/>
        <v>0</v>
      </c>
      <c r="J440" s="95">
        <f t="shared" si="106"/>
        <v>0</v>
      </c>
      <c r="K440" s="95">
        <f t="shared" si="106"/>
        <v>0</v>
      </c>
      <c r="L440" s="95">
        <f t="shared" si="106"/>
        <v>0</v>
      </c>
      <c r="M440" s="95">
        <f t="shared" si="106"/>
        <v>0</v>
      </c>
      <c r="N440" s="95">
        <f t="shared" si="106"/>
        <v>3877095</v>
      </c>
      <c r="O440" s="49">
        <f t="shared" si="106"/>
        <v>2349034</v>
      </c>
      <c r="P440" s="26">
        <f t="shared" si="106"/>
        <v>1528061</v>
      </c>
      <c r="Q440" s="53"/>
    </row>
    <row r="441" spans="1:17" x14ac:dyDescent="0.25">
      <c r="A441" s="182"/>
      <c r="B441" s="184"/>
      <c r="C441" s="57" t="s">
        <v>41</v>
      </c>
      <c r="D441" s="96">
        <v>671616</v>
      </c>
      <c r="E441" s="96"/>
      <c r="F441" s="96"/>
      <c r="G441" s="96"/>
      <c r="H441" s="96"/>
      <c r="I441" s="96"/>
      <c r="J441" s="96"/>
      <c r="K441" s="96"/>
      <c r="L441" s="96"/>
      <c r="M441" s="96"/>
      <c r="N441" s="97">
        <f>D441+E441+F441+H441+I441+K441</f>
        <v>671616</v>
      </c>
      <c r="O441" s="129">
        <v>544362</v>
      </c>
      <c r="P441" s="55">
        <f t="shared" ref="P441:P452" si="107">N441-O441</f>
        <v>127254</v>
      </c>
      <c r="Q441" s="53"/>
    </row>
    <row r="442" spans="1:17" x14ac:dyDescent="0.25">
      <c r="A442" s="182"/>
      <c r="B442" s="184"/>
      <c r="C442" s="2" t="s">
        <v>42</v>
      </c>
      <c r="D442" s="24">
        <v>35000</v>
      </c>
      <c r="E442" s="24">
        <v>-4864</v>
      </c>
      <c r="F442" s="24"/>
      <c r="G442" s="24"/>
      <c r="H442" s="24">
        <v>100000</v>
      </c>
      <c r="I442" s="24"/>
      <c r="J442" s="24"/>
      <c r="K442" s="24"/>
      <c r="L442" s="24"/>
      <c r="M442" s="24"/>
      <c r="N442" s="24">
        <f t="shared" ref="N442:N452" si="108">D442+E442+F442+H442+I442+K442+J442</f>
        <v>130136</v>
      </c>
      <c r="O442" s="33">
        <v>0</v>
      </c>
      <c r="P442" s="21">
        <f t="shared" si="107"/>
        <v>130136</v>
      </c>
      <c r="Q442" s="53"/>
    </row>
    <row r="443" spans="1:17" x14ac:dyDescent="0.25">
      <c r="A443" s="182"/>
      <c r="B443" s="184"/>
      <c r="C443" s="2" t="s">
        <v>52</v>
      </c>
      <c r="D443" s="24">
        <v>10000</v>
      </c>
      <c r="E443" s="24">
        <v>-10000</v>
      </c>
      <c r="F443" s="24"/>
      <c r="G443" s="24"/>
      <c r="H443" s="24">
        <v>136457</v>
      </c>
      <c r="I443" s="24"/>
      <c r="J443" s="24"/>
      <c r="K443" s="24"/>
      <c r="L443" s="24"/>
      <c r="M443" s="24"/>
      <c r="N443" s="24">
        <f t="shared" si="108"/>
        <v>136457</v>
      </c>
      <c r="O443" s="33">
        <v>0</v>
      </c>
      <c r="P443" s="21">
        <f t="shared" si="107"/>
        <v>136457</v>
      </c>
    </row>
    <row r="444" spans="1:17" x14ac:dyDescent="0.25">
      <c r="A444" s="182"/>
      <c r="B444" s="184"/>
      <c r="C444" s="30" t="s">
        <v>54</v>
      </c>
      <c r="D444" s="24">
        <v>0</v>
      </c>
      <c r="E444" s="24"/>
      <c r="F444" s="24"/>
      <c r="G444" s="24"/>
      <c r="H444" s="24"/>
      <c r="I444" s="24"/>
      <c r="J444" s="24"/>
      <c r="K444" s="24"/>
      <c r="L444" s="24"/>
      <c r="M444" s="24"/>
      <c r="N444" s="24">
        <f t="shared" si="108"/>
        <v>0</v>
      </c>
      <c r="O444" s="33">
        <v>0</v>
      </c>
      <c r="P444" s="33">
        <f t="shared" si="107"/>
        <v>0</v>
      </c>
    </row>
    <row r="445" spans="1:17" x14ac:dyDescent="0.25">
      <c r="A445" s="182"/>
      <c r="B445" s="184"/>
      <c r="C445" s="2" t="s">
        <v>55</v>
      </c>
      <c r="D445" s="24">
        <v>0</v>
      </c>
      <c r="E445" s="24"/>
      <c r="F445" s="24"/>
      <c r="G445" s="24"/>
      <c r="H445" s="24"/>
      <c r="I445" s="24"/>
      <c r="J445" s="24"/>
      <c r="K445" s="24"/>
      <c r="L445" s="24"/>
      <c r="M445" s="24"/>
      <c r="N445" s="24">
        <f t="shared" si="108"/>
        <v>0</v>
      </c>
      <c r="O445" s="33">
        <v>0</v>
      </c>
      <c r="P445" s="14">
        <f t="shared" si="107"/>
        <v>0</v>
      </c>
    </row>
    <row r="446" spans="1:17" x14ac:dyDescent="0.25">
      <c r="A446" s="182"/>
      <c r="B446" s="184"/>
      <c r="C446" s="2" t="s">
        <v>61</v>
      </c>
      <c r="D446" s="24">
        <v>0</v>
      </c>
      <c r="E446" s="24"/>
      <c r="F446" s="24"/>
      <c r="G446" s="24"/>
      <c r="H446" s="24"/>
      <c r="I446" s="24"/>
      <c r="J446" s="24"/>
      <c r="K446" s="24"/>
      <c r="L446" s="24"/>
      <c r="M446" s="24"/>
      <c r="N446" s="24">
        <f t="shared" si="108"/>
        <v>0</v>
      </c>
      <c r="O446" s="33">
        <v>0</v>
      </c>
      <c r="P446" s="14">
        <f t="shared" si="107"/>
        <v>0</v>
      </c>
    </row>
    <row r="447" spans="1:17" x14ac:dyDescent="0.25">
      <c r="A447" s="182"/>
      <c r="B447" s="184"/>
      <c r="C447" s="2" t="s">
        <v>56</v>
      </c>
      <c r="D447" s="24">
        <v>5000</v>
      </c>
      <c r="E447" s="28"/>
      <c r="F447" s="24"/>
      <c r="G447" s="24"/>
      <c r="H447" s="24"/>
      <c r="I447" s="24"/>
      <c r="J447" s="24"/>
      <c r="K447" s="24"/>
      <c r="L447" s="24"/>
      <c r="M447" s="24"/>
      <c r="N447" s="24">
        <f t="shared" si="108"/>
        <v>5000</v>
      </c>
      <c r="O447" s="33">
        <v>0</v>
      </c>
      <c r="P447" s="14">
        <f t="shared" si="107"/>
        <v>5000</v>
      </c>
    </row>
    <row r="448" spans="1:17" x14ac:dyDescent="0.25">
      <c r="A448" s="182"/>
      <c r="B448" s="184"/>
      <c r="C448" s="2" t="s">
        <v>43</v>
      </c>
      <c r="D448" s="24">
        <v>8400</v>
      </c>
      <c r="E448" s="28"/>
      <c r="F448" s="24"/>
      <c r="G448" s="24"/>
      <c r="H448" s="24"/>
      <c r="I448" s="24"/>
      <c r="J448" s="24"/>
      <c r="K448" s="24"/>
      <c r="L448" s="24"/>
      <c r="M448" s="24"/>
      <c r="N448" s="24">
        <f t="shared" si="108"/>
        <v>8400</v>
      </c>
      <c r="O448" s="33">
        <v>4200</v>
      </c>
      <c r="P448" s="14">
        <f t="shared" si="107"/>
        <v>4200</v>
      </c>
    </row>
    <row r="449" spans="1:17" x14ac:dyDescent="0.25">
      <c r="A449" s="182"/>
      <c r="B449" s="184"/>
      <c r="C449" s="2" t="s">
        <v>57</v>
      </c>
      <c r="D449" s="24">
        <v>0</v>
      </c>
      <c r="E449" s="28"/>
      <c r="F449" s="24"/>
      <c r="G449" s="24"/>
      <c r="H449" s="24"/>
      <c r="I449" s="24"/>
      <c r="J449" s="24"/>
      <c r="K449" s="24"/>
      <c r="L449" s="24"/>
      <c r="M449" s="24">
        <f>-20000+20000</f>
        <v>0</v>
      </c>
      <c r="N449" s="24">
        <f t="shared" si="108"/>
        <v>0</v>
      </c>
      <c r="O449" s="33">
        <v>0</v>
      </c>
      <c r="P449" s="14">
        <f t="shared" si="107"/>
        <v>0</v>
      </c>
    </row>
    <row r="450" spans="1:17" x14ac:dyDescent="0.25">
      <c r="A450" s="182"/>
      <c r="B450" s="184"/>
      <c r="C450" s="2" t="s">
        <v>58</v>
      </c>
      <c r="D450" s="24">
        <v>3000</v>
      </c>
      <c r="E450" s="28">
        <f>4864+10000</f>
        <v>14864</v>
      </c>
      <c r="F450" s="24"/>
      <c r="G450" s="24"/>
      <c r="H450" s="24"/>
      <c r="I450" s="24"/>
      <c r="J450" s="24"/>
      <c r="K450" s="24"/>
      <c r="L450" s="24"/>
      <c r="M450" s="24"/>
      <c r="N450" s="24">
        <f t="shared" si="108"/>
        <v>17864</v>
      </c>
      <c r="O450" s="33">
        <v>7864</v>
      </c>
      <c r="P450" s="14">
        <f t="shared" si="107"/>
        <v>10000</v>
      </c>
    </row>
    <row r="451" spans="1:17" x14ac:dyDescent="0.25">
      <c r="A451" s="182"/>
      <c r="B451" s="184"/>
      <c r="C451" s="2" t="s">
        <v>44</v>
      </c>
      <c r="D451" s="24">
        <v>10200</v>
      </c>
      <c r="E451" s="28"/>
      <c r="F451" s="24"/>
      <c r="G451" s="24"/>
      <c r="H451" s="24">
        <v>63843</v>
      </c>
      <c r="I451" s="24"/>
      <c r="J451" s="24"/>
      <c r="K451" s="24"/>
      <c r="L451" s="24"/>
      <c r="M451" s="24"/>
      <c r="N451" s="24">
        <f t="shared" si="108"/>
        <v>74043</v>
      </c>
      <c r="O451" s="33">
        <v>0</v>
      </c>
      <c r="P451" s="21">
        <f t="shared" si="107"/>
        <v>74043</v>
      </c>
    </row>
    <row r="452" spans="1:17" x14ac:dyDescent="0.25">
      <c r="A452" s="182"/>
      <c r="B452" s="184"/>
      <c r="C452" s="2" t="s">
        <v>59</v>
      </c>
      <c r="D452" s="24">
        <v>0</v>
      </c>
      <c r="E452" s="28"/>
      <c r="F452" s="24"/>
      <c r="G452" s="24"/>
      <c r="H452" s="24"/>
      <c r="I452" s="24"/>
      <c r="J452" s="24"/>
      <c r="K452" s="24"/>
      <c r="L452" s="24"/>
      <c r="M452" s="24"/>
      <c r="N452" s="24">
        <f t="shared" si="108"/>
        <v>0</v>
      </c>
      <c r="O452" s="33">
        <v>0</v>
      </c>
      <c r="P452" s="14">
        <f t="shared" si="107"/>
        <v>0</v>
      </c>
    </row>
    <row r="453" spans="1:17" x14ac:dyDescent="0.25">
      <c r="A453" s="182"/>
      <c r="B453" s="184"/>
      <c r="C453" s="6" t="s">
        <v>45</v>
      </c>
      <c r="D453" s="95">
        <f>SUM(D442:D452)</f>
        <v>71600</v>
      </c>
      <c r="E453" s="95">
        <f t="shared" ref="E453:P453" si="109">SUM(E442:E452)</f>
        <v>0</v>
      </c>
      <c r="F453" s="95">
        <f t="shared" si="109"/>
        <v>0</v>
      </c>
      <c r="G453" s="95"/>
      <c r="H453" s="95">
        <f t="shared" si="109"/>
        <v>300300</v>
      </c>
      <c r="I453" s="95">
        <f t="shared" si="109"/>
        <v>0</v>
      </c>
      <c r="J453" s="95">
        <f t="shared" si="109"/>
        <v>0</v>
      </c>
      <c r="K453" s="95">
        <f t="shared" si="109"/>
        <v>0</v>
      </c>
      <c r="L453" s="95">
        <f t="shared" si="109"/>
        <v>0</v>
      </c>
      <c r="M453" s="95">
        <f t="shared" si="109"/>
        <v>0</v>
      </c>
      <c r="N453" s="95">
        <f t="shared" si="109"/>
        <v>371900</v>
      </c>
      <c r="O453" s="49">
        <f t="shared" si="109"/>
        <v>12064</v>
      </c>
      <c r="P453" s="26">
        <f t="shared" si="109"/>
        <v>359836</v>
      </c>
    </row>
    <row r="454" spans="1:17" x14ac:dyDescent="0.25">
      <c r="A454" s="183" t="s">
        <v>92</v>
      </c>
      <c r="B454" s="185" t="s">
        <v>17</v>
      </c>
      <c r="C454" s="2" t="s">
        <v>39</v>
      </c>
      <c r="D454" s="24">
        <v>363049</v>
      </c>
      <c r="E454" s="24"/>
      <c r="F454" s="24"/>
      <c r="G454" s="24"/>
      <c r="H454" s="24"/>
      <c r="I454" s="24"/>
      <c r="J454" s="24"/>
      <c r="K454" s="24"/>
      <c r="L454" s="24"/>
      <c r="M454" s="24"/>
      <c r="N454" s="24">
        <f>D454+E454+F454+H454+I454+K454+J454+L454</f>
        <v>363049</v>
      </c>
      <c r="O454" s="33">
        <v>143035</v>
      </c>
      <c r="P454" s="14">
        <f t="shared" ref="P454:P455" si="110">N454-O454</f>
        <v>220014</v>
      </c>
    </row>
    <row r="455" spans="1:17" x14ac:dyDescent="0.25">
      <c r="A455" s="195"/>
      <c r="B455" s="197"/>
      <c r="C455" s="2" t="s">
        <v>41</v>
      </c>
      <c r="D455" s="24">
        <v>60369</v>
      </c>
      <c r="E455" s="24"/>
      <c r="F455" s="24"/>
      <c r="G455" s="24"/>
      <c r="H455" s="24"/>
      <c r="I455" s="24"/>
      <c r="J455" s="24"/>
      <c r="K455" s="24"/>
      <c r="L455" s="24"/>
      <c r="M455" s="24"/>
      <c r="N455" s="24">
        <f>D455+E455+F455+H455+I455+K455+J455+L455</f>
        <v>60369</v>
      </c>
      <c r="O455" s="33">
        <v>24600</v>
      </c>
      <c r="P455" s="21">
        <f t="shared" si="110"/>
        <v>35769</v>
      </c>
    </row>
    <row r="456" spans="1:17" x14ac:dyDescent="0.25">
      <c r="A456" s="186" t="s">
        <v>121</v>
      </c>
      <c r="B456" s="187"/>
      <c r="C456" s="188"/>
      <c r="D456" s="113">
        <f>SUM(D427+D428+D433+D440+D441+D453+D454+D455)</f>
        <v>6179696</v>
      </c>
      <c r="E456" s="101">
        <f>E455+E454+E453+E441+E440+E433+E428+E427</f>
        <v>0</v>
      </c>
      <c r="F456" s="101">
        <f t="shared" ref="F456:P456" si="111">F455+F454+F453+F441+F440+F433+F428+F427</f>
        <v>0</v>
      </c>
      <c r="G456" s="101"/>
      <c r="H456" s="101">
        <f t="shared" si="111"/>
        <v>300300</v>
      </c>
      <c r="I456" s="101">
        <f t="shared" si="111"/>
        <v>0</v>
      </c>
      <c r="J456" s="101">
        <f t="shared" si="111"/>
        <v>0</v>
      </c>
      <c r="K456" s="101">
        <f t="shared" si="111"/>
        <v>0</v>
      </c>
      <c r="L456" s="101">
        <f t="shared" si="111"/>
        <v>0</v>
      </c>
      <c r="M456" s="101">
        <f t="shared" si="111"/>
        <v>0</v>
      </c>
      <c r="N456" s="101">
        <f t="shared" si="111"/>
        <v>6479996</v>
      </c>
      <c r="O456" s="133">
        <f>O455+O454+O453+O441+O440+O433+O428+O427</f>
        <v>3793473</v>
      </c>
      <c r="P456" s="60">
        <f t="shared" si="111"/>
        <v>2686523</v>
      </c>
    </row>
    <row r="457" spans="1:17" x14ac:dyDescent="0.25">
      <c r="A457" s="182" t="s">
        <v>71</v>
      </c>
      <c r="B457" s="115" t="s">
        <v>5</v>
      </c>
      <c r="C457" s="2" t="s">
        <v>66</v>
      </c>
      <c r="D457" s="24">
        <v>0</v>
      </c>
      <c r="E457" s="24"/>
      <c r="F457" s="24"/>
      <c r="G457" s="24"/>
      <c r="H457" s="24"/>
      <c r="I457" s="24"/>
      <c r="J457" s="24"/>
      <c r="K457" s="24"/>
      <c r="L457" s="24"/>
      <c r="M457" s="24"/>
      <c r="N457" s="24">
        <f>D457+E457+F457+H457+I457+K457+J457</f>
        <v>0</v>
      </c>
      <c r="O457" s="33">
        <v>0</v>
      </c>
      <c r="P457" s="14">
        <f t="shared" ref="P457:P459" si="112">N457-O457</f>
        <v>0</v>
      </c>
    </row>
    <row r="458" spans="1:17" x14ac:dyDescent="0.25">
      <c r="A458" s="182"/>
      <c r="B458" s="185" t="s">
        <v>38</v>
      </c>
      <c r="C458" s="2" t="s">
        <v>39</v>
      </c>
      <c r="D458" s="24">
        <v>978360</v>
      </c>
      <c r="E458" s="24"/>
      <c r="F458" s="24"/>
      <c r="G458" s="24"/>
      <c r="H458" s="24"/>
      <c r="I458" s="24"/>
      <c r="J458" s="24"/>
      <c r="K458" s="24"/>
      <c r="L458" s="24"/>
      <c r="M458" s="24"/>
      <c r="N458" s="24">
        <f>D458+E458+F458+H458+I458+K458+J458</f>
        <v>978360</v>
      </c>
      <c r="O458" s="33">
        <v>652240</v>
      </c>
      <c r="P458" s="14">
        <f t="shared" si="112"/>
        <v>326120</v>
      </c>
    </row>
    <row r="459" spans="1:17" x14ac:dyDescent="0.25">
      <c r="A459" s="182"/>
      <c r="B459" s="196"/>
      <c r="C459" s="2" t="s">
        <v>50</v>
      </c>
      <c r="D459" s="24">
        <v>0</v>
      </c>
      <c r="E459" s="24"/>
      <c r="F459" s="24"/>
      <c r="G459" s="24"/>
      <c r="H459" s="24"/>
      <c r="I459" s="24"/>
      <c r="J459" s="24"/>
      <c r="K459" s="24"/>
      <c r="L459" s="24"/>
      <c r="M459" s="24"/>
      <c r="N459" s="24">
        <f>D459+E459+F459+H459+I459+K459+J459</f>
        <v>0</v>
      </c>
      <c r="O459" s="33">
        <v>0</v>
      </c>
      <c r="P459" s="21">
        <f t="shared" si="112"/>
        <v>0</v>
      </c>
    </row>
    <row r="460" spans="1:17" x14ac:dyDescent="0.25">
      <c r="A460" s="182"/>
      <c r="B460" s="196"/>
      <c r="C460" s="6" t="s">
        <v>40</v>
      </c>
      <c r="D460" s="95">
        <f>SUM(D458:D459)</f>
        <v>978360</v>
      </c>
      <c r="E460" s="95">
        <f t="shared" ref="E460:P460" si="113">E459+E458</f>
        <v>0</v>
      </c>
      <c r="F460" s="95">
        <f t="shared" si="113"/>
        <v>0</v>
      </c>
      <c r="G460" s="95"/>
      <c r="H460" s="95">
        <f t="shared" si="113"/>
        <v>0</v>
      </c>
      <c r="I460" s="95">
        <f t="shared" si="113"/>
        <v>0</v>
      </c>
      <c r="J460" s="95">
        <f t="shared" si="113"/>
        <v>0</v>
      </c>
      <c r="K460" s="95">
        <f t="shared" si="113"/>
        <v>0</v>
      </c>
      <c r="L460" s="95">
        <f t="shared" si="113"/>
        <v>0</v>
      </c>
      <c r="M460" s="95">
        <f t="shared" si="113"/>
        <v>0</v>
      </c>
      <c r="N460" s="95">
        <f t="shared" si="113"/>
        <v>978360</v>
      </c>
      <c r="O460" s="49">
        <f t="shared" si="113"/>
        <v>652240</v>
      </c>
      <c r="P460" s="26">
        <f t="shared" si="113"/>
        <v>326120</v>
      </c>
    </row>
    <row r="461" spans="1:17" x14ac:dyDescent="0.25">
      <c r="A461" s="182"/>
      <c r="B461" s="196"/>
      <c r="C461" s="57" t="s">
        <v>41</v>
      </c>
      <c r="D461" s="96">
        <v>85607</v>
      </c>
      <c r="E461" s="96"/>
      <c r="F461" s="96"/>
      <c r="G461" s="96"/>
      <c r="H461" s="96"/>
      <c r="I461" s="96"/>
      <c r="J461" s="96"/>
      <c r="K461" s="96"/>
      <c r="L461" s="96"/>
      <c r="M461" s="96"/>
      <c r="N461" s="97">
        <f>D461+E461+F461+H461+I461+K461</f>
        <v>85607</v>
      </c>
      <c r="O461" s="129">
        <v>56256</v>
      </c>
      <c r="P461" s="55">
        <f t="shared" ref="P461:P464" si="114">N461-O461</f>
        <v>29351</v>
      </c>
    </row>
    <row r="462" spans="1:17" x14ac:dyDescent="0.25">
      <c r="A462" s="182"/>
      <c r="B462" s="196"/>
      <c r="C462" s="2" t="s">
        <v>42</v>
      </c>
      <c r="D462" s="24">
        <v>0</v>
      </c>
      <c r="E462" s="24"/>
      <c r="F462" s="24"/>
      <c r="G462" s="24"/>
      <c r="H462" s="24"/>
      <c r="I462" s="24"/>
      <c r="J462" s="24"/>
      <c r="K462" s="24"/>
      <c r="L462" s="24"/>
      <c r="M462" s="24"/>
      <c r="N462" s="24">
        <f>D462+E462+F462+H462+I462+K462+J462</f>
        <v>0</v>
      </c>
      <c r="O462" s="33">
        <v>0</v>
      </c>
      <c r="P462" s="32">
        <f t="shared" si="114"/>
        <v>0</v>
      </c>
      <c r="Q462" s="53"/>
    </row>
    <row r="463" spans="1:17" x14ac:dyDescent="0.25">
      <c r="A463" s="182"/>
      <c r="B463" s="196"/>
      <c r="C463" s="30" t="s">
        <v>43</v>
      </c>
      <c r="D463" s="24">
        <v>0</v>
      </c>
      <c r="E463" s="24"/>
      <c r="F463" s="24"/>
      <c r="G463" s="24"/>
      <c r="H463" s="24"/>
      <c r="I463" s="24"/>
      <c r="J463" s="24"/>
      <c r="K463" s="24"/>
      <c r="L463" s="24"/>
      <c r="M463" s="24"/>
      <c r="N463" s="24">
        <f>D463+E463+F463+H463+I463+K463+J463</f>
        <v>0</v>
      </c>
      <c r="O463" s="33">
        <v>0</v>
      </c>
      <c r="P463" s="33">
        <f t="shared" si="114"/>
        <v>0</v>
      </c>
    </row>
    <row r="464" spans="1:17" x14ac:dyDescent="0.25">
      <c r="A464" s="182"/>
      <c r="B464" s="196"/>
      <c r="C464" s="2" t="s">
        <v>44</v>
      </c>
      <c r="D464" s="24">
        <v>0</v>
      </c>
      <c r="E464" s="24"/>
      <c r="F464" s="24"/>
      <c r="G464" s="24"/>
      <c r="H464" s="24"/>
      <c r="I464" s="24"/>
      <c r="J464" s="24"/>
      <c r="K464" s="24"/>
      <c r="L464" s="24"/>
      <c r="M464" s="24"/>
      <c r="N464" s="24">
        <f>D464+E464+F464+H464+I464+K464+J464</f>
        <v>0</v>
      </c>
      <c r="O464" s="33">
        <v>0</v>
      </c>
      <c r="P464" s="32">
        <f t="shared" si="114"/>
        <v>0</v>
      </c>
      <c r="Q464" s="53"/>
    </row>
    <row r="465" spans="1:17" x14ac:dyDescent="0.25">
      <c r="A465" s="182"/>
      <c r="B465" s="197"/>
      <c r="C465" s="6" t="s">
        <v>45</v>
      </c>
      <c r="D465" s="95">
        <f>SUM(D462:D464)</f>
        <v>0</v>
      </c>
      <c r="E465" s="102">
        <f t="shared" ref="E465:P465" si="115">SUM(E462:E464)</f>
        <v>0</v>
      </c>
      <c r="F465" s="102">
        <f t="shared" si="115"/>
        <v>0</v>
      </c>
      <c r="G465" s="102"/>
      <c r="H465" s="102">
        <f t="shared" si="115"/>
        <v>0</v>
      </c>
      <c r="I465" s="102">
        <f t="shared" si="115"/>
        <v>0</v>
      </c>
      <c r="J465" s="102">
        <f t="shared" si="115"/>
        <v>0</v>
      </c>
      <c r="K465" s="102">
        <f t="shared" si="115"/>
        <v>0</v>
      </c>
      <c r="L465" s="102">
        <f t="shared" si="115"/>
        <v>0</v>
      </c>
      <c r="M465" s="102">
        <f t="shared" si="115"/>
        <v>0</v>
      </c>
      <c r="N465" s="102">
        <f t="shared" si="115"/>
        <v>0</v>
      </c>
      <c r="O465" s="34">
        <f t="shared" si="115"/>
        <v>0</v>
      </c>
      <c r="P465" s="34">
        <f t="shared" si="115"/>
        <v>0</v>
      </c>
      <c r="Q465" s="53"/>
    </row>
    <row r="466" spans="1:17" x14ac:dyDescent="0.25">
      <c r="A466" s="182"/>
      <c r="B466" s="184" t="s">
        <v>17</v>
      </c>
      <c r="C466" s="2" t="s">
        <v>39</v>
      </c>
      <c r="D466" s="24">
        <v>1990841</v>
      </c>
      <c r="E466" s="24"/>
      <c r="F466" s="24"/>
      <c r="G466" s="24"/>
      <c r="H466" s="24"/>
      <c r="I466" s="24"/>
      <c r="J466" s="24"/>
      <c r="K466" s="24"/>
      <c r="L466" s="24"/>
      <c r="M466" s="24"/>
      <c r="N466" s="24">
        <f t="shared" ref="N466:N471" si="116">D466+E466+F466+H466+I466+K466+J466</f>
        <v>1990841</v>
      </c>
      <c r="O466" s="33">
        <v>1118127</v>
      </c>
      <c r="P466" s="14">
        <f t="shared" ref="P466:P471" si="117">N466-O466</f>
        <v>872714</v>
      </c>
    </row>
    <row r="467" spans="1:17" x14ac:dyDescent="0.25">
      <c r="A467" s="182"/>
      <c r="B467" s="184"/>
      <c r="C467" s="2" t="s">
        <v>62</v>
      </c>
      <c r="D467" s="24">
        <v>390000</v>
      </c>
      <c r="E467" s="24"/>
      <c r="F467" s="24"/>
      <c r="G467" s="24"/>
      <c r="H467" s="24"/>
      <c r="I467" s="24"/>
      <c r="J467" s="24"/>
      <c r="K467" s="24"/>
      <c r="L467" s="24"/>
      <c r="M467" s="24"/>
      <c r="N467" s="24">
        <f t="shared" si="116"/>
        <v>390000</v>
      </c>
      <c r="O467" s="33">
        <v>390000</v>
      </c>
      <c r="P467" s="14">
        <f t="shared" si="117"/>
        <v>0</v>
      </c>
    </row>
    <row r="468" spans="1:17" x14ac:dyDescent="0.25">
      <c r="A468" s="182"/>
      <c r="B468" s="184"/>
      <c r="C468" s="2" t="s">
        <v>46</v>
      </c>
      <c r="D468" s="24">
        <v>100000</v>
      </c>
      <c r="E468" s="24"/>
      <c r="F468" s="24"/>
      <c r="G468" s="24"/>
      <c r="H468" s="24"/>
      <c r="I468" s="24"/>
      <c r="J468" s="24"/>
      <c r="K468" s="24"/>
      <c r="L468" s="24"/>
      <c r="M468" s="24"/>
      <c r="N468" s="24">
        <f t="shared" si="116"/>
        <v>100000</v>
      </c>
      <c r="O468" s="33">
        <v>50000</v>
      </c>
      <c r="P468" s="14">
        <f t="shared" si="117"/>
        <v>50000</v>
      </c>
    </row>
    <row r="469" spans="1:17" x14ac:dyDescent="0.25">
      <c r="A469" s="182"/>
      <c r="B469" s="184"/>
      <c r="C469" s="2" t="s">
        <v>47</v>
      </c>
      <c r="D469" s="24">
        <v>5000</v>
      </c>
      <c r="E469" s="24"/>
      <c r="F469" s="24"/>
      <c r="G469" s="24"/>
      <c r="H469" s="24"/>
      <c r="I469" s="24"/>
      <c r="J469" s="24"/>
      <c r="K469" s="24"/>
      <c r="L469" s="24"/>
      <c r="M469" s="24"/>
      <c r="N469" s="24">
        <f t="shared" si="116"/>
        <v>5000</v>
      </c>
      <c r="O469" s="33">
        <v>0</v>
      </c>
      <c r="P469" s="14">
        <f t="shared" si="117"/>
        <v>5000</v>
      </c>
    </row>
    <row r="470" spans="1:17" x14ac:dyDescent="0.25">
      <c r="A470" s="182"/>
      <c r="B470" s="184"/>
      <c r="C470" s="2" t="s">
        <v>49</v>
      </c>
      <c r="D470" s="24">
        <v>12000</v>
      </c>
      <c r="E470" s="24"/>
      <c r="F470" s="24"/>
      <c r="G470" s="24"/>
      <c r="H470" s="24"/>
      <c r="I470" s="24"/>
      <c r="J470" s="24"/>
      <c r="K470" s="24"/>
      <c r="L470" s="24"/>
      <c r="M470" s="24"/>
      <c r="N470" s="24">
        <f t="shared" si="116"/>
        <v>12000</v>
      </c>
      <c r="O470" s="33">
        <v>6000</v>
      </c>
      <c r="P470" s="14">
        <f t="shared" si="117"/>
        <v>6000</v>
      </c>
    </row>
    <row r="471" spans="1:17" x14ac:dyDescent="0.25">
      <c r="A471" s="182"/>
      <c r="B471" s="184"/>
      <c r="C471" s="2" t="s">
        <v>50</v>
      </c>
      <c r="D471" s="24">
        <v>0</v>
      </c>
      <c r="E471" s="24"/>
      <c r="F471" s="24"/>
      <c r="G471" s="24"/>
      <c r="H471" s="24"/>
      <c r="I471" s="24"/>
      <c r="J471" s="24"/>
      <c r="K471" s="24"/>
      <c r="L471" s="24"/>
      <c r="M471" s="24"/>
      <c r="N471" s="24">
        <f t="shared" si="116"/>
        <v>0</v>
      </c>
      <c r="O471" s="33">
        <v>0</v>
      </c>
      <c r="P471" s="14">
        <f t="shared" si="117"/>
        <v>0</v>
      </c>
    </row>
    <row r="472" spans="1:17" x14ac:dyDescent="0.25">
      <c r="A472" s="182"/>
      <c r="B472" s="184"/>
      <c r="C472" s="6" t="s">
        <v>40</v>
      </c>
      <c r="D472" s="95">
        <f>SUM(D466:D471)</f>
        <v>2497841</v>
      </c>
      <c r="E472" s="95">
        <f t="shared" ref="E472:P472" si="118">SUM(E466:E471)</f>
        <v>0</v>
      </c>
      <c r="F472" s="95">
        <f t="shared" si="118"/>
        <v>0</v>
      </c>
      <c r="G472" s="95"/>
      <c r="H472" s="95">
        <f t="shared" si="118"/>
        <v>0</v>
      </c>
      <c r="I472" s="95">
        <f t="shared" si="118"/>
        <v>0</v>
      </c>
      <c r="J472" s="95">
        <f t="shared" si="118"/>
        <v>0</v>
      </c>
      <c r="K472" s="95">
        <f t="shared" si="118"/>
        <v>0</v>
      </c>
      <c r="L472" s="95">
        <f t="shared" si="118"/>
        <v>0</v>
      </c>
      <c r="M472" s="95">
        <f t="shared" si="118"/>
        <v>0</v>
      </c>
      <c r="N472" s="95">
        <f t="shared" si="118"/>
        <v>2497841</v>
      </c>
      <c r="O472" s="49">
        <f t="shared" si="118"/>
        <v>1564127</v>
      </c>
      <c r="P472" s="26">
        <f t="shared" si="118"/>
        <v>933714</v>
      </c>
    </row>
    <row r="473" spans="1:17" x14ac:dyDescent="0.25">
      <c r="A473" s="182"/>
      <c r="B473" s="184"/>
      <c r="C473" s="57" t="s">
        <v>41</v>
      </c>
      <c r="D473" s="96">
        <v>452122</v>
      </c>
      <c r="E473" s="96"/>
      <c r="F473" s="96"/>
      <c r="G473" s="96"/>
      <c r="H473" s="96"/>
      <c r="I473" s="96"/>
      <c r="J473" s="96"/>
      <c r="K473" s="96"/>
      <c r="L473" s="96"/>
      <c r="M473" s="96"/>
      <c r="N473" s="97">
        <f>D473+E473+F473+H473+I473+K473</f>
        <v>452122</v>
      </c>
      <c r="O473" s="129">
        <v>269821</v>
      </c>
      <c r="P473" s="55">
        <f t="shared" ref="P473:P482" si="119">N473-O473</f>
        <v>182301</v>
      </c>
    </row>
    <row r="474" spans="1:17" x14ac:dyDescent="0.25">
      <c r="A474" s="182"/>
      <c r="B474" s="184"/>
      <c r="C474" s="2" t="s">
        <v>42</v>
      </c>
      <c r="D474" s="24">
        <v>40000</v>
      </c>
      <c r="E474" s="24"/>
      <c r="F474" s="24"/>
      <c r="G474" s="24"/>
      <c r="H474" s="24">
        <v>100000</v>
      </c>
      <c r="I474" s="24"/>
      <c r="J474" s="24"/>
      <c r="K474" s="24"/>
      <c r="L474" s="24"/>
      <c r="M474" s="24"/>
      <c r="N474" s="24">
        <f>D474+E474+F474+H474+I474+K474+J474</f>
        <v>140000</v>
      </c>
      <c r="O474" s="33">
        <v>15680</v>
      </c>
      <c r="P474" s="21">
        <f t="shared" si="119"/>
        <v>124320</v>
      </c>
    </row>
    <row r="475" spans="1:17" x14ac:dyDescent="0.25">
      <c r="A475" s="182"/>
      <c r="B475" s="184"/>
      <c r="C475" s="2" t="s">
        <v>52</v>
      </c>
      <c r="D475" s="24">
        <v>40000</v>
      </c>
      <c r="E475" s="24">
        <v>-20000</v>
      </c>
      <c r="F475" s="24"/>
      <c r="G475" s="24"/>
      <c r="H475" s="24">
        <v>68897</v>
      </c>
      <c r="I475" s="24"/>
      <c r="J475" s="24">
        <v>78740</v>
      </c>
      <c r="K475" s="24"/>
      <c r="L475" s="24"/>
      <c r="M475" s="24"/>
      <c r="N475" s="24">
        <f>D475+E475+F475+H475+I475+K475+J475+L475+M475</f>
        <v>167637</v>
      </c>
      <c r="O475" s="33">
        <v>0</v>
      </c>
      <c r="P475" s="14">
        <f t="shared" si="119"/>
        <v>167637</v>
      </c>
    </row>
    <row r="476" spans="1:17" x14ac:dyDescent="0.25">
      <c r="A476" s="182"/>
      <c r="B476" s="184"/>
      <c r="C476" s="30" t="s">
        <v>54</v>
      </c>
      <c r="D476" s="24">
        <v>0</v>
      </c>
      <c r="E476" s="24"/>
      <c r="F476" s="24"/>
      <c r="G476" s="24"/>
      <c r="H476" s="24"/>
      <c r="I476" s="24"/>
      <c r="J476" s="24"/>
      <c r="K476" s="24"/>
      <c r="L476" s="24"/>
      <c r="M476" s="24"/>
      <c r="N476" s="24">
        <f t="shared" ref="N476:N482" si="120">D476+E476+F476+H476+I476+K476+J476</f>
        <v>0</v>
      </c>
      <c r="O476" s="33">
        <v>0</v>
      </c>
      <c r="P476" s="33">
        <f t="shared" si="119"/>
        <v>0</v>
      </c>
    </row>
    <row r="477" spans="1:17" x14ac:dyDescent="0.25">
      <c r="A477" s="182"/>
      <c r="B477" s="184"/>
      <c r="C477" s="2" t="s">
        <v>56</v>
      </c>
      <c r="D477" s="24">
        <v>5000</v>
      </c>
      <c r="E477" s="24"/>
      <c r="F477" s="24"/>
      <c r="G477" s="24"/>
      <c r="H477" s="24"/>
      <c r="I477" s="24"/>
      <c r="J477" s="24"/>
      <c r="K477" s="24"/>
      <c r="L477" s="24"/>
      <c r="M477" s="24"/>
      <c r="N477" s="24">
        <f t="shared" si="120"/>
        <v>5000</v>
      </c>
      <c r="O477" s="33">
        <v>0</v>
      </c>
      <c r="P477" s="14">
        <f t="shared" si="119"/>
        <v>5000</v>
      </c>
    </row>
    <row r="478" spans="1:17" x14ac:dyDescent="0.25">
      <c r="A478" s="182"/>
      <c r="B478" s="184"/>
      <c r="C478" s="2" t="s">
        <v>43</v>
      </c>
      <c r="D478" s="24">
        <v>8400</v>
      </c>
      <c r="E478" s="24"/>
      <c r="F478" s="24"/>
      <c r="G478" s="24"/>
      <c r="H478" s="24"/>
      <c r="I478" s="24"/>
      <c r="J478" s="24"/>
      <c r="K478" s="24"/>
      <c r="L478" s="24"/>
      <c r="M478" s="24"/>
      <c r="N478" s="24">
        <f t="shared" si="120"/>
        <v>8400</v>
      </c>
      <c r="O478" s="33">
        <v>4200</v>
      </c>
      <c r="P478" s="14">
        <f t="shared" si="119"/>
        <v>4200</v>
      </c>
    </row>
    <row r="479" spans="1:17" x14ac:dyDescent="0.25">
      <c r="A479" s="182"/>
      <c r="B479" s="184"/>
      <c r="C479" s="2" t="s">
        <v>57</v>
      </c>
      <c r="D479" s="24">
        <v>69370</v>
      </c>
      <c r="E479" s="24">
        <v>-1976</v>
      </c>
      <c r="F479" s="24"/>
      <c r="G479" s="24"/>
      <c r="H479" s="24"/>
      <c r="I479" s="24"/>
      <c r="J479" s="24"/>
      <c r="K479" s="24"/>
      <c r="L479" s="24"/>
      <c r="M479" s="24"/>
      <c r="N479" s="24">
        <f t="shared" si="120"/>
        <v>67394</v>
      </c>
      <c r="O479" s="33">
        <v>0</v>
      </c>
      <c r="P479" s="14">
        <f t="shared" si="119"/>
        <v>67394</v>
      </c>
    </row>
    <row r="480" spans="1:17" x14ac:dyDescent="0.25">
      <c r="A480" s="182"/>
      <c r="B480" s="184"/>
      <c r="C480" s="2" t="s">
        <v>58</v>
      </c>
      <c r="D480" s="24">
        <v>16000</v>
      </c>
      <c r="E480" s="24">
        <f>1976+20000</f>
        <v>21976</v>
      </c>
      <c r="F480" s="24"/>
      <c r="G480" s="24"/>
      <c r="H480" s="24"/>
      <c r="I480" s="24"/>
      <c r="J480" s="24"/>
      <c r="K480" s="24"/>
      <c r="L480" s="24"/>
      <c r="M480" s="24"/>
      <c r="N480" s="24">
        <f t="shared" si="120"/>
        <v>37976</v>
      </c>
      <c r="O480" s="33">
        <v>17976</v>
      </c>
      <c r="P480" s="14">
        <f t="shared" si="119"/>
        <v>20000</v>
      </c>
    </row>
    <row r="481" spans="1:16" x14ac:dyDescent="0.25">
      <c r="A481" s="182"/>
      <c r="B481" s="184"/>
      <c r="C481" s="2" t="s">
        <v>44</v>
      </c>
      <c r="D481" s="24">
        <v>38380</v>
      </c>
      <c r="E481" s="24"/>
      <c r="F481" s="24"/>
      <c r="G481" s="24"/>
      <c r="H481" s="24">
        <v>45603</v>
      </c>
      <c r="I481" s="24"/>
      <c r="J481" s="24">
        <v>21260</v>
      </c>
      <c r="K481" s="24"/>
      <c r="L481" s="24"/>
      <c r="M481" s="24"/>
      <c r="N481" s="24">
        <f t="shared" si="120"/>
        <v>105243</v>
      </c>
      <c r="O481" s="33">
        <v>4233</v>
      </c>
      <c r="P481" s="21">
        <f t="shared" si="119"/>
        <v>101010</v>
      </c>
    </row>
    <row r="482" spans="1:16" x14ac:dyDescent="0.25">
      <c r="A482" s="182"/>
      <c r="B482" s="184"/>
      <c r="C482" s="2" t="s">
        <v>59</v>
      </c>
      <c r="D482" s="24">
        <v>0</v>
      </c>
      <c r="E482" s="24"/>
      <c r="F482" s="24"/>
      <c r="G482" s="24"/>
      <c r="H482" s="24"/>
      <c r="I482" s="24"/>
      <c r="J482" s="24"/>
      <c r="K482" s="24"/>
      <c r="L482" s="24"/>
      <c r="M482" s="24"/>
      <c r="N482" s="24">
        <f t="shared" si="120"/>
        <v>0</v>
      </c>
      <c r="O482" s="33">
        <v>0</v>
      </c>
      <c r="P482" s="14">
        <f t="shared" si="119"/>
        <v>0</v>
      </c>
    </row>
    <row r="483" spans="1:16" x14ac:dyDescent="0.25">
      <c r="A483" s="182"/>
      <c r="B483" s="184"/>
      <c r="C483" s="6" t="s">
        <v>45</v>
      </c>
      <c r="D483" s="95">
        <f>SUM(D474:D482)</f>
        <v>217150</v>
      </c>
      <c r="E483" s="95">
        <f t="shared" ref="E483:P483" si="121">SUM(E474:E482)</f>
        <v>0</v>
      </c>
      <c r="F483" s="95">
        <f t="shared" si="121"/>
        <v>0</v>
      </c>
      <c r="G483" s="95"/>
      <c r="H483" s="95">
        <f t="shared" si="121"/>
        <v>214500</v>
      </c>
      <c r="I483" s="95">
        <f t="shared" si="121"/>
        <v>0</v>
      </c>
      <c r="J483" s="95">
        <f t="shared" si="121"/>
        <v>100000</v>
      </c>
      <c r="K483" s="95">
        <f t="shared" si="121"/>
        <v>0</v>
      </c>
      <c r="L483" s="95">
        <f t="shared" si="121"/>
        <v>0</v>
      </c>
      <c r="M483" s="95">
        <f t="shared" si="121"/>
        <v>0</v>
      </c>
      <c r="N483" s="95">
        <f t="shared" si="121"/>
        <v>531650</v>
      </c>
      <c r="O483" s="49">
        <f t="shared" si="121"/>
        <v>42089</v>
      </c>
      <c r="P483" s="26">
        <f t="shared" si="121"/>
        <v>489561</v>
      </c>
    </row>
    <row r="484" spans="1:16" x14ac:dyDescent="0.25">
      <c r="A484" s="183" t="s">
        <v>93</v>
      </c>
      <c r="B484" s="185" t="s">
        <v>17</v>
      </c>
      <c r="C484" s="2" t="s">
        <v>39</v>
      </c>
      <c r="D484" s="24">
        <v>617697</v>
      </c>
      <c r="E484" s="24"/>
      <c r="F484" s="24"/>
      <c r="G484" s="24"/>
      <c r="H484" s="24"/>
      <c r="I484" s="24"/>
      <c r="J484" s="24"/>
      <c r="K484" s="24"/>
      <c r="L484" s="24"/>
      <c r="M484" s="24"/>
      <c r="N484" s="24">
        <f>D484+E484+F484+H484+I484+K484+J484+L484</f>
        <v>617697</v>
      </c>
      <c r="O484" s="33">
        <v>406214</v>
      </c>
      <c r="P484" s="14">
        <f t="shared" ref="P484:P487" si="122">N484-O484</f>
        <v>211483</v>
      </c>
    </row>
    <row r="485" spans="1:16" x14ac:dyDescent="0.25">
      <c r="A485" s="195"/>
      <c r="B485" s="197"/>
      <c r="C485" s="2" t="s">
        <v>41</v>
      </c>
      <c r="D485" s="24">
        <v>102811</v>
      </c>
      <c r="E485" s="24"/>
      <c r="F485" s="24"/>
      <c r="G485" s="24"/>
      <c r="H485" s="24"/>
      <c r="I485" s="24"/>
      <c r="J485" s="24"/>
      <c r="K485" s="24"/>
      <c r="L485" s="24"/>
      <c r="M485" s="24"/>
      <c r="N485" s="24">
        <f>D485+E485+F485+H485+I485+K485+J485+L485</f>
        <v>102811</v>
      </c>
      <c r="O485" s="33">
        <v>70032</v>
      </c>
      <c r="P485" s="14">
        <f t="shared" si="122"/>
        <v>32779</v>
      </c>
    </row>
    <row r="486" spans="1:16" x14ac:dyDescent="0.25">
      <c r="A486" s="183" t="s">
        <v>94</v>
      </c>
      <c r="B486" s="185" t="s">
        <v>17</v>
      </c>
      <c r="C486" s="2" t="s">
        <v>50</v>
      </c>
      <c r="D486" s="24">
        <v>70800</v>
      </c>
      <c r="E486" s="24"/>
      <c r="F486" s="24"/>
      <c r="G486" s="24"/>
      <c r="H486" s="24"/>
      <c r="I486" s="24"/>
      <c r="J486" s="24"/>
      <c r="K486" s="24"/>
      <c r="L486" s="24"/>
      <c r="M486" s="24"/>
      <c r="N486" s="24">
        <f>D486+E486+F486+H486+I486+K486+J486+L486</f>
        <v>70800</v>
      </c>
      <c r="O486" s="33">
        <v>38100</v>
      </c>
      <c r="P486" s="14">
        <f t="shared" si="122"/>
        <v>32700</v>
      </c>
    </row>
    <row r="487" spans="1:16" x14ac:dyDescent="0.25">
      <c r="A487" s="195"/>
      <c r="B487" s="197"/>
      <c r="C487" s="2" t="s">
        <v>41</v>
      </c>
      <c r="D487" s="24">
        <v>12390</v>
      </c>
      <c r="E487" s="24"/>
      <c r="F487" s="24"/>
      <c r="G487" s="24"/>
      <c r="H487" s="24"/>
      <c r="I487" s="24"/>
      <c r="J487" s="24"/>
      <c r="K487" s="24"/>
      <c r="L487" s="24"/>
      <c r="M487" s="24"/>
      <c r="N487" s="24">
        <f>D487+E487+F487+H487+I487+K487+J487+L487</f>
        <v>12390</v>
      </c>
      <c r="O487" s="33">
        <v>6575</v>
      </c>
      <c r="P487" s="14">
        <f t="shared" si="122"/>
        <v>5815</v>
      </c>
    </row>
    <row r="488" spans="1:16" x14ac:dyDescent="0.25">
      <c r="A488" s="186" t="s">
        <v>122</v>
      </c>
      <c r="B488" s="187"/>
      <c r="C488" s="188"/>
      <c r="D488" s="113">
        <f>SUM(D457+D460+D461+D465+D472+D473+D483+D484+D485+D486+D487)</f>
        <v>5034778</v>
      </c>
      <c r="E488" s="101">
        <f t="shared" ref="E488:P488" si="123">SUM(E457,E460,E461,E465,E472,E473,E483,E484,E485,E486,E487)</f>
        <v>0</v>
      </c>
      <c r="F488" s="101">
        <f t="shared" si="123"/>
        <v>0</v>
      </c>
      <c r="G488" s="101"/>
      <c r="H488" s="101">
        <f t="shared" si="123"/>
        <v>214500</v>
      </c>
      <c r="I488" s="101">
        <f t="shared" si="123"/>
        <v>0</v>
      </c>
      <c r="J488" s="101">
        <f t="shared" si="123"/>
        <v>100000</v>
      </c>
      <c r="K488" s="101">
        <f t="shared" si="123"/>
        <v>0</v>
      </c>
      <c r="L488" s="101">
        <f t="shared" si="123"/>
        <v>0</v>
      </c>
      <c r="M488" s="101">
        <f t="shared" si="123"/>
        <v>0</v>
      </c>
      <c r="N488" s="101">
        <f t="shared" si="123"/>
        <v>5349278</v>
      </c>
      <c r="O488" s="133">
        <f>SUM(O457,O460,O461,O465,O472,O473,O483,O484,O485,O486,O487)</f>
        <v>3105454</v>
      </c>
      <c r="P488" s="61">
        <f t="shared" si="123"/>
        <v>2243824</v>
      </c>
    </row>
    <row r="489" spans="1:16" x14ac:dyDescent="0.25">
      <c r="A489" s="182" t="s">
        <v>72</v>
      </c>
      <c r="B489" s="115" t="s">
        <v>5</v>
      </c>
      <c r="C489" s="2" t="s">
        <v>66</v>
      </c>
      <c r="D489" s="24">
        <v>0</v>
      </c>
      <c r="E489" s="24"/>
      <c r="F489" s="24"/>
      <c r="G489" s="24"/>
      <c r="H489" s="24"/>
      <c r="I489" s="24"/>
      <c r="J489" s="24"/>
      <c r="K489" s="24"/>
      <c r="L489" s="24"/>
      <c r="M489" s="24"/>
      <c r="N489" s="24">
        <f t="shared" ref="N489:N494" si="124">D489+E489+F489+H489+I489+K489+J489</f>
        <v>0</v>
      </c>
      <c r="O489" s="33">
        <v>0</v>
      </c>
      <c r="P489" s="14">
        <f t="shared" ref="P489:P494" si="125">N489-O489</f>
        <v>0</v>
      </c>
    </row>
    <row r="490" spans="1:16" x14ac:dyDescent="0.25">
      <c r="A490" s="182"/>
      <c r="B490" s="184" t="s">
        <v>17</v>
      </c>
      <c r="C490" s="2" t="s">
        <v>39</v>
      </c>
      <c r="D490" s="24">
        <v>5315960</v>
      </c>
      <c r="E490" s="24"/>
      <c r="F490" s="24"/>
      <c r="G490" s="24"/>
      <c r="H490" s="24"/>
      <c r="I490" s="24"/>
      <c r="J490" s="24"/>
      <c r="K490" s="24"/>
      <c r="L490" s="24"/>
      <c r="M490" s="24"/>
      <c r="N490" s="24">
        <f t="shared" si="124"/>
        <v>5315960</v>
      </c>
      <c r="O490" s="33">
        <v>3585693</v>
      </c>
      <c r="P490" s="14">
        <f t="shared" si="125"/>
        <v>1730267</v>
      </c>
    </row>
    <row r="491" spans="1:16" x14ac:dyDescent="0.25">
      <c r="A491" s="182"/>
      <c r="B491" s="184"/>
      <c r="C491" s="2" t="s">
        <v>46</v>
      </c>
      <c r="D491" s="24">
        <v>200000</v>
      </c>
      <c r="E491" s="24"/>
      <c r="F491" s="24"/>
      <c r="G491" s="24"/>
      <c r="H491" s="24"/>
      <c r="I491" s="24"/>
      <c r="J491" s="24"/>
      <c r="K491" s="24"/>
      <c r="L491" s="24"/>
      <c r="M491" s="24"/>
      <c r="N491" s="24">
        <f t="shared" si="124"/>
        <v>200000</v>
      </c>
      <c r="O491" s="33">
        <v>100000</v>
      </c>
      <c r="P491" s="14">
        <f t="shared" si="125"/>
        <v>100000</v>
      </c>
    </row>
    <row r="492" spans="1:16" x14ac:dyDescent="0.25">
      <c r="A492" s="182"/>
      <c r="B492" s="184"/>
      <c r="C492" s="2" t="s">
        <v>47</v>
      </c>
      <c r="D492" s="24">
        <v>10000</v>
      </c>
      <c r="E492" s="24"/>
      <c r="F492" s="24"/>
      <c r="G492" s="24"/>
      <c r="H492" s="24"/>
      <c r="I492" s="24"/>
      <c r="J492" s="24"/>
      <c r="K492" s="24"/>
      <c r="L492" s="24"/>
      <c r="M492" s="24"/>
      <c r="N492" s="24">
        <f t="shared" si="124"/>
        <v>10000</v>
      </c>
      <c r="O492" s="33">
        <v>0</v>
      </c>
      <c r="P492" s="14">
        <f t="shared" si="125"/>
        <v>10000</v>
      </c>
    </row>
    <row r="493" spans="1:16" x14ac:dyDescent="0.25">
      <c r="A493" s="182"/>
      <c r="B493" s="184"/>
      <c r="C493" s="2" t="s">
        <v>49</v>
      </c>
      <c r="D493" s="24">
        <v>24000</v>
      </c>
      <c r="E493" s="24"/>
      <c r="F493" s="24"/>
      <c r="G493" s="24"/>
      <c r="H493" s="24"/>
      <c r="I493" s="24"/>
      <c r="J493" s="24"/>
      <c r="K493" s="24"/>
      <c r="L493" s="24"/>
      <c r="M493" s="24"/>
      <c r="N493" s="24">
        <f t="shared" si="124"/>
        <v>24000</v>
      </c>
      <c r="O493" s="33">
        <v>12000</v>
      </c>
      <c r="P493" s="14">
        <f t="shared" si="125"/>
        <v>12000</v>
      </c>
    </row>
    <row r="494" spans="1:16" x14ac:dyDescent="0.25">
      <c r="A494" s="182"/>
      <c r="B494" s="184"/>
      <c r="C494" s="2" t="s">
        <v>50</v>
      </c>
      <c r="D494" s="24">
        <v>0</v>
      </c>
      <c r="E494" s="24"/>
      <c r="F494" s="24"/>
      <c r="G494" s="24"/>
      <c r="H494" s="24"/>
      <c r="I494" s="24"/>
      <c r="J494" s="24"/>
      <c r="K494" s="24"/>
      <c r="L494" s="24"/>
      <c r="M494" s="24"/>
      <c r="N494" s="24">
        <f t="shared" si="124"/>
        <v>0</v>
      </c>
      <c r="O494" s="33">
        <v>0</v>
      </c>
      <c r="P494" s="14">
        <f t="shared" si="125"/>
        <v>0</v>
      </c>
    </row>
    <row r="495" spans="1:16" x14ac:dyDescent="0.25">
      <c r="A495" s="182"/>
      <c r="B495" s="184"/>
      <c r="C495" s="6" t="s">
        <v>40</v>
      </c>
      <c r="D495" s="95">
        <f>SUM(D490:D494)</f>
        <v>5549960</v>
      </c>
      <c r="E495" s="95">
        <f t="shared" ref="E495:P495" si="126">SUM(E490:E494)</f>
        <v>0</v>
      </c>
      <c r="F495" s="95">
        <f t="shared" si="126"/>
        <v>0</v>
      </c>
      <c r="G495" s="95"/>
      <c r="H495" s="95">
        <f t="shared" si="126"/>
        <v>0</v>
      </c>
      <c r="I495" s="95">
        <f t="shared" si="126"/>
        <v>0</v>
      </c>
      <c r="J495" s="95">
        <f t="shared" si="126"/>
        <v>0</v>
      </c>
      <c r="K495" s="95">
        <f t="shared" si="126"/>
        <v>0</v>
      </c>
      <c r="L495" s="95">
        <f t="shared" si="126"/>
        <v>0</v>
      </c>
      <c r="M495" s="95">
        <f t="shared" si="126"/>
        <v>0</v>
      </c>
      <c r="N495" s="95">
        <f t="shared" si="126"/>
        <v>5549960</v>
      </c>
      <c r="O495" s="49">
        <f t="shared" si="126"/>
        <v>3697693</v>
      </c>
      <c r="P495" s="26">
        <f t="shared" si="126"/>
        <v>1852267</v>
      </c>
    </row>
    <row r="496" spans="1:16" x14ac:dyDescent="0.25">
      <c r="A496" s="182"/>
      <c r="B496" s="184"/>
      <c r="C496" s="57" t="s">
        <v>41</v>
      </c>
      <c r="D496" s="96">
        <v>1001243</v>
      </c>
      <c r="E496" s="96"/>
      <c r="F496" s="96"/>
      <c r="G496" s="96"/>
      <c r="H496" s="96"/>
      <c r="I496" s="96"/>
      <c r="J496" s="96"/>
      <c r="K496" s="96"/>
      <c r="L496" s="96"/>
      <c r="M496" s="96"/>
      <c r="N496" s="97">
        <f>D496+E496+F496+H496+I496+K496</f>
        <v>1001243</v>
      </c>
      <c r="O496" s="129">
        <v>638533</v>
      </c>
      <c r="P496" s="55">
        <f t="shared" ref="P496:P506" si="127">N496-O496</f>
        <v>362710</v>
      </c>
    </row>
    <row r="497" spans="1:16" x14ac:dyDescent="0.25">
      <c r="A497" s="182"/>
      <c r="B497" s="184"/>
      <c r="C497" s="2" t="s">
        <v>42</v>
      </c>
      <c r="D497" s="24">
        <v>40000</v>
      </c>
      <c r="E497" s="24"/>
      <c r="F497" s="24"/>
      <c r="G497" s="24"/>
      <c r="H497" s="24">
        <v>200000</v>
      </c>
      <c r="I497" s="24"/>
      <c r="J497" s="24"/>
      <c r="K497" s="24"/>
      <c r="L497" s="24"/>
      <c r="M497" s="24"/>
      <c r="N497" s="24">
        <f>D497+E497+F497+H497+I497+K497+J497</f>
        <v>240000</v>
      </c>
      <c r="O497" s="33">
        <v>0</v>
      </c>
      <c r="P497" s="14">
        <f t="shared" si="127"/>
        <v>240000</v>
      </c>
    </row>
    <row r="498" spans="1:16" x14ac:dyDescent="0.25">
      <c r="A498" s="182"/>
      <c r="B498" s="184"/>
      <c r="C498" s="2" t="s">
        <v>52</v>
      </c>
      <c r="D498" s="24">
        <v>17010</v>
      </c>
      <c r="E498" s="24"/>
      <c r="F498" s="24"/>
      <c r="G498" s="24"/>
      <c r="H498" s="24">
        <v>239133</v>
      </c>
      <c r="I498" s="24"/>
      <c r="J498" s="24">
        <v>39370</v>
      </c>
      <c r="K498" s="24"/>
      <c r="L498" s="24"/>
      <c r="M498" s="24"/>
      <c r="N498" s="24">
        <f>D498+E498+F498+H498+I498+K498+J498+M498</f>
        <v>295513</v>
      </c>
      <c r="O498" s="33">
        <v>0</v>
      </c>
      <c r="P498" s="21">
        <f t="shared" si="127"/>
        <v>295513</v>
      </c>
    </row>
    <row r="499" spans="1:16" x14ac:dyDescent="0.25">
      <c r="A499" s="182"/>
      <c r="B499" s="184"/>
      <c r="C499" s="30" t="s">
        <v>54</v>
      </c>
      <c r="D499" s="24">
        <v>0</v>
      </c>
      <c r="E499" s="28"/>
      <c r="F499" s="24"/>
      <c r="G499" s="24"/>
      <c r="H499" s="24"/>
      <c r="I499" s="24"/>
      <c r="J499" s="24"/>
      <c r="K499" s="24"/>
      <c r="L499" s="24"/>
      <c r="M499" s="24"/>
      <c r="N499" s="24">
        <f t="shared" ref="N499:N506" si="128">D499+E499+F499+H499+I499+K499+J499</f>
        <v>0</v>
      </c>
      <c r="O499" s="33">
        <v>0</v>
      </c>
      <c r="P499" s="33">
        <f t="shared" si="127"/>
        <v>0</v>
      </c>
    </row>
    <row r="500" spans="1:16" x14ac:dyDescent="0.25">
      <c r="A500" s="182"/>
      <c r="B500" s="184"/>
      <c r="C500" s="2" t="s">
        <v>55</v>
      </c>
      <c r="D500" s="24">
        <v>270774</v>
      </c>
      <c r="E500" s="24"/>
      <c r="F500" s="24"/>
      <c r="G500" s="24"/>
      <c r="H500" s="24"/>
      <c r="I500" s="24"/>
      <c r="J500" s="24"/>
      <c r="K500" s="24"/>
      <c r="L500" s="24"/>
      <c r="M500" s="24"/>
      <c r="N500" s="24">
        <f t="shared" si="128"/>
        <v>270774</v>
      </c>
      <c r="O500" s="33">
        <v>270774</v>
      </c>
      <c r="P500" s="14">
        <f t="shared" si="127"/>
        <v>0</v>
      </c>
    </row>
    <row r="501" spans="1:16" x14ac:dyDescent="0.25">
      <c r="A501" s="182"/>
      <c r="B501" s="184"/>
      <c r="C501" s="2" t="s">
        <v>56</v>
      </c>
      <c r="D501" s="24">
        <v>7990</v>
      </c>
      <c r="E501" s="24"/>
      <c r="F501" s="24"/>
      <c r="G501" s="24"/>
      <c r="H501" s="24"/>
      <c r="I501" s="24"/>
      <c r="J501" s="24"/>
      <c r="K501" s="24"/>
      <c r="L501" s="24"/>
      <c r="M501" s="24"/>
      <c r="N501" s="24">
        <f t="shared" si="128"/>
        <v>7990</v>
      </c>
      <c r="O501" s="33">
        <v>7990</v>
      </c>
      <c r="P501" s="21">
        <f t="shared" si="127"/>
        <v>0</v>
      </c>
    </row>
    <row r="502" spans="1:16" x14ac:dyDescent="0.25">
      <c r="A502" s="182"/>
      <c r="B502" s="184"/>
      <c r="C502" s="2" t="s">
        <v>43</v>
      </c>
      <c r="D502" s="24">
        <v>16800</v>
      </c>
      <c r="E502" s="24"/>
      <c r="F502" s="24"/>
      <c r="G502" s="24"/>
      <c r="H502" s="24"/>
      <c r="I502" s="24"/>
      <c r="J502" s="24"/>
      <c r="K502" s="24"/>
      <c r="L502" s="24"/>
      <c r="M502" s="24"/>
      <c r="N502" s="24">
        <f t="shared" si="128"/>
        <v>16800</v>
      </c>
      <c r="O502" s="33">
        <v>8400</v>
      </c>
      <c r="P502" s="14">
        <f t="shared" si="127"/>
        <v>8400</v>
      </c>
    </row>
    <row r="503" spans="1:16" x14ac:dyDescent="0.25">
      <c r="A503" s="182"/>
      <c r="B503" s="184"/>
      <c r="C503" s="2" t="s">
        <v>57</v>
      </c>
      <c r="D503" s="24">
        <v>0</v>
      </c>
      <c r="E503" s="24"/>
      <c r="F503" s="24"/>
      <c r="G503" s="24"/>
      <c r="H503" s="24"/>
      <c r="I503" s="24"/>
      <c r="J503" s="24"/>
      <c r="K503" s="24"/>
      <c r="L503" s="24"/>
      <c r="M503" s="24"/>
      <c r="N503" s="24">
        <f t="shared" si="128"/>
        <v>0</v>
      </c>
      <c r="O503" s="33">
        <v>0</v>
      </c>
      <c r="P503" s="14">
        <f t="shared" si="127"/>
        <v>0</v>
      </c>
    </row>
    <row r="504" spans="1:16" x14ac:dyDescent="0.25">
      <c r="A504" s="182"/>
      <c r="B504" s="184"/>
      <c r="C504" s="2" t="s">
        <v>58</v>
      </c>
      <c r="D504" s="24">
        <v>32000</v>
      </c>
      <c r="E504" s="24"/>
      <c r="F504" s="24"/>
      <c r="G504" s="24"/>
      <c r="H504" s="24"/>
      <c r="I504" s="24"/>
      <c r="J504" s="24"/>
      <c r="K504" s="24"/>
      <c r="L504" s="24"/>
      <c r="M504" s="24"/>
      <c r="N504" s="24">
        <f t="shared" si="128"/>
        <v>32000</v>
      </c>
      <c r="O504" s="33">
        <v>7460</v>
      </c>
      <c r="P504" s="14">
        <f t="shared" si="127"/>
        <v>24540</v>
      </c>
    </row>
    <row r="505" spans="1:16" x14ac:dyDescent="0.25">
      <c r="A505" s="182"/>
      <c r="B505" s="184"/>
      <c r="C505" s="2" t="s">
        <v>44</v>
      </c>
      <c r="D505" s="24">
        <v>26689</v>
      </c>
      <c r="E505" s="24"/>
      <c r="F505" s="24"/>
      <c r="G505" s="24"/>
      <c r="H505" s="24">
        <v>118567</v>
      </c>
      <c r="I505" s="24"/>
      <c r="J505" s="24">
        <v>10630</v>
      </c>
      <c r="K505" s="24"/>
      <c r="L505" s="24"/>
      <c r="M505" s="24"/>
      <c r="N505" s="24">
        <f t="shared" si="128"/>
        <v>155886</v>
      </c>
      <c r="O505" s="33">
        <v>13539</v>
      </c>
      <c r="P505" s="14">
        <f t="shared" si="127"/>
        <v>142347</v>
      </c>
    </row>
    <row r="506" spans="1:16" x14ac:dyDescent="0.25">
      <c r="A506" s="182"/>
      <c r="B506" s="184"/>
      <c r="C506" s="2" t="s">
        <v>59</v>
      </c>
      <c r="D506" s="24">
        <v>0</v>
      </c>
      <c r="E506" s="24"/>
      <c r="F506" s="24"/>
      <c r="G506" s="24"/>
      <c r="H506" s="24"/>
      <c r="I506" s="24"/>
      <c r="J506" s="24"/>
      <c r="K506" s="24"/>
      <c r="L506" s="24"/>
      <c r="M506" s="24"/>
      <c r="N506" s="24">
        <f t="shared" si="128"/>
        <v>0</v>
      </c>
      <c r="O506" s="33">
        <v>0</v>
      </c>
      <c r="P506" s="14">
        <f t="shared" si="127"/>
        <v>0</v>
      </c>
    </row>
    <row r="507" spans="1:16" x14ac:dyDescent="0.25">
      <c r="A507" s="182"/>
      <c r="B507" s="184"/>
      <c r="C507" s="6" t="s">
        <v>45</v>
      </c>
      <c r="D507" s="95">
        <f>SUM(D497:D506)</f>
        <v>411263</v>
      </c>
      <c r="E507" s="95">
        <f t="shared" ref="E507:P507" si="129">SUM(E497:E506)</f>
        <v>0</v>
      </c>
      <c r="F507" s="95">
        <f t="shared" si="129"/>
        <v>0</v>
      </c>
      <c r="G507" s="95"/>
      <c r="H507" s="95">
        <f t="shared" si="129"/>
        <v>557700</v>
      </c>
      <c r="I507" s="95">
        <f t="shared" si="129"/>
        <v>0</v>
      </c>
      <c r="J507" s="95">
        <f t="shared" si="129"/>
        <v>50000</v>
      </c>
      <c r="K507" s="95">
        <f t="shared" si="129"/>
        <v>0</v>
      </c>
      <c r="L507" s="95">
        <f t="shared" si="129"/>
        <v>0</v>
      </c>
      <c r="M507" s="95">
        <f t="shared" si="129"/>
        <v>0</v>
      </c>
      <c r="N507" s="95">
        <f t="shared" si="129"/>
        <v>1018963</v>
      </c>
      <c r="O507" s="49">
        <f t="shared" si="129"/>
        <v>308163</v>
      </c>
      <c r="P507" s="26">
        <f t="shared" si="129"/>
        <v>710800</v>
      </c>
    </row>
    <row r="508" spans="1:16" x14ac:dyDescent="0.25">
      <c r="A508" s="183" t="s">
        <v>123</v>
      </c>
      <c r="B508" s="185" t="s">
        <v>17</v>
      </c>
      <c r="C508" s="2" t="s">
        <v>39</v>
      </c>
      <c r="D508" s="24">
        <v>569286</v>
      </c>
      <c r="E508" s="24"/>
      <c r="F508" s="24"/>
      <c r="G508" s="24"/>
      <c r="H508" s="24"/>
      <c r="I508" s="24"/>
      <c r="J508" s="24"/>
      <c r="K508" s="24"/>
      <c r="L508" s="24"/>
      <c r="M508" s="24"/>
      <c r="N508" s="24">
        <f>D508+E508+F508+H508+I508+K508+J508+L508</f>
        <v>569286</v>
      </c>
      <c r="O508" s="33">
        <v>370515</v>
      </c>
      <c r="P508" s="14">
        <f t="shared" ref="P508:P509" si="130">N508-O508</f>
        <v>198771</v>
      </c>
    </row>
    <row r="509" spans="1:16" x14ac:dyDescent="0.25">
      <c r="A509" s="195"/>
      <c r="B509" s="197"/>
      <c r="C509" s="2" t="s">
        <v>41</v>
      </c>
      <c r="D509" s="24">
        <v>94656</v>
      </c>
      <c r="E509" s="24"/>
      <c r="F509" s="24"/>
      <c r="G509" s="24"/>
      <c r="H509" s="24"/>
      <c r="I509" s="24"/>
      <c r="J509" s="24"/>
      <c r="K509" s="24"/>
      <c r="L509" s="24"/>
      <c r="M509" s="24"/>
      <c r="N509" s="24">
        <f>D509+E509+F509+H509+I509+K509+J509</f>
        <v>94656</v>
      </c>
      <c r="O509" s="33">
        <v>63849</v>
      </c>
      <c r="P509" s="14">
        <f t="shared" si="130"/>
        <v>30807</v>
      </c>
    </row>
    <row r="510" spans="1:16" x14ac:dyDescent="0.25">
      <c r="A510" s="186" t="s">
        <v>124</v>
      </c>
      <c r="B510" s="187"/>
      <c r="C510" s="188"/>
      <c r="D510" s="113">
        <f>SUM(D489+D495+D496+D507+D508+D509)</f>
        <v>7626408</v>
      </c>
      <c r="E510" s="101">
        <f t="shared" ref="E510:P510" si="131">SUM(E489,E495,E496,E507,E508,E509)</f>
        <v>0</v>
      </c>
      <c r="F510" s="101">
        <f t="shared" si="131"/>
        <v>0</v>
      </c>
      <c r="G510" s="101"/>
      <c r="H510" s="101">
        <f t="shared" si="131"/>
        <v>557700</v>
      </c>
      <c r="I510" s="101">
        <f t="shared" si="131"/>
        <v>0</v>
      </c>
      <c r="J510" s="101">
        <f t="shared" si="131"/>
        <v>50000</v>
      </c>
      <c r="K510" s="101">
        <f t="shared" si="131"/>
        <v>0</v>
      </c>
      <c r="L510" s="101">
        <f t="shared" si="131"/>
        <v>0</v>
      </c>
      <c r="M510" s="101">
        <f t="shared" si="131"/>
        <v>0</v>
      </c>
      <c r="N510" s="101">
        <f t="shared" si="131"/>
        <v>8234108</v>
      </c>
      <c r="O510" s="133">
        <f>SUM(O489,O495,O496,O507,O508,O509)</f>
        <v>5078753</v>
      </c>
      <c r="P510" s="61">
        <f t="shared" si="131"/>
        <v>3155355</v>
      </c>
    </row>
    <row r="511" spans="1:16" x14ac:dyDescent="0.25">
      <c r="A511" s="182" t="s">
        <v>73</v>
      </c>
      <c r="B511" s="4" t="s">
        <v>5</v>
      </c>
      <c r="C511" s="2" t="s">
        <v>66</v>
      </c>
      <c r="D511" s="24">
        <v>0</v>
      </c>
      <c r="E511" s="24"/>
      <c r="F511" s="24"/>
      <c r="G511" s="24"/>
      <c r="H511" s="24"/>
      <c r="I511" s="24"/>
      <c r="J511" s="24"/>
      <c r="K511" s="24"/>
      <c r="L511" s="24"/>
      <c r="M511" s="24"/>
      <c r="N511" s="24">
        <f t="shared" ref="N511:N516" si="132">D511+E511+F511+H511+I511+K511+J511</f>
        <v>0</v>
      </c>
      <c r="O511" s="33">
        <v>0</v>
      </c>
      <c r="P511" s="14">
        <f t="shared" ref="P511:P516" si="133">N511-O511</f>
        <v>0</v>
      </c>
    </row>
    <row r="512" spans="1:16" x14ac:dyDescent="0.25">
      <c r="A512" s="182"/>
      <c r="B512" s="185" t="s">
        <v>17</v>
      </c>
      <c r="C512" s="2" t="s">
        <v>39</v>
      </c>
      <c r="D512" s="24">
        <v>5368155</v>
      </c>
      <c r="E512" s="24">
        <v>-60000</v>
      </c>
      <c r="F512" s="24"/>
      <c r="G512" s="24"/>
      <c r="H512" s="24"/>
      <c r="I512" s="24"/>
      <c r="J512" s="24"/>
      <c r="K512" s="24"/>
      <c r="L512" s="24"/>
      <c r="M512" s="24"/>
      <c r="N512" s="24">
        <f t="shared" si="132"/>
        <v>5308155</v>
      </c>
      <c r="O512" s="33">
        <v>3696899</v>
      </c>
      <c r="P512" s="14">
        <f t="shared" si="133"/>
        <v>1611256</v>
      </c>
    </row>
    <row r="513" spans="1:16" x14ac:dyDescent="0.25">
      <c r="A513" s="182"/>
      <c r="B513" s="196"/>
      <c r="C513" s="2" t="s">
        <v>46</v>
      </c>
      <c r="D513" s="24">
        <v>200000</v>
      </c>
      <c r="E513" s="24"/>
      <c r="F513" s="24"/>
      <c r="G513" s="24"/>
      <c r="H513" s="24"/>
      <c r="I513" s="24"/>
      <c r="J513" s="24"/>
      <c r="K513" s="24"/>
      <c r="L513" s="24"/>
      <c r="M513" s="24"/>
      <c r="N513" s="24">
        <f t="shared" si="132"/>
        <v>200000</v>
      </c>
      <c r="O513" s="33">
        <v>100000</v>
      </c>
      <c r="P513" s="14">
        <f t="shared" si="133"/>
        <v>100000</v>
      </c>
    </row>
    <row r="514" spans="1:16" x14ac:dyDescent="0.25">
      <c r="A514" s="182"/>
      <c r="B514" s="196"/>
      <c r="C514" s="2" t="s">
        <v>47</v>
      </c>
      <c r="D514" s="24">
        <v>10000</v>
      </c>
      <c r="E514" s="24"/>
      <c r="F514" s="24"/>
      <c r="G514" s="24"/>
      <c r="H514" s="24"/>
      <c r="I514" s="24"/>
      <c r="J514" s="24"/>
      <c r="K514" s="24"/>
      <c r="L514" s="24"/>
      <c r="M514" s="24"/>
      <c r="N514" s="24">
        <f t="shared" si="132"/>
        <v>10000</v>
      </c>
      <c r="O514" s="33">
        <v>0</v>
      </c>
      <c r="P514" s="14">
        <f t="shared" si="133"/>
        <v>10000</v>
      </c>
    </row>
    <row r="515" spans="1:16" x14ac:dyDescent="0.25">
      <c r="A515" s="182"/>
      <c r="B515" s="196"/>
      <c r="C515" s="2" t="s">
        <v>49</v>
      </c>
      <c r="D515" s="24">
        <v>24000</v>
      </c>
      <c r="E515" s="24"/>
      <c r="F515" s="24"/>
      <c r="G515" s="24"/>
      <c r="H515" s="24"/>
      <c r="I515" s="24"/>
      <c r="J515" s="24"/>
      <c r="K515" s="24"/>
      <c r="L515" s="24"/>
      <c r="M515" s="24"/>
      <c r="N515" s="24">
        <f t="shared" si="132"/>
        <v>24000</v>
      </c>
      <c r="O515" s="33">
        <v>12000</v>
      </c>
      <c r="P515" s="14">
        <f t="shared" si="133"/>
        <v>12000</v>
      </c>
    </row>
    <row r="516" spans="1:16" x14ac:dyDescent="0.25">
      <c r="A516" s="182"/>
      <c r="B516" s="196"/>
      <c r="C516" s="2" t="s">
        <v>50</v>
      </c>
      <c r="D516" s="24">
        <v>59014</v>
      </c>
      <c r="E516" s="24">
        <v>60000</v>
      </c>
      <c r="F516" s="24"/>
      <c r="G516" s="24"/>
      <c r="H516" s="24"/>
      <c r="I516" s="24"/>
      <c r="J516" s="24"/>
      <c r="K516" s="24"/>
      <c r="L516" s="24"/>
      <c r="M516" s="24"/>
      <c r="N516" s="24">
        <f t="shared" si="132"/>
        <v>119014</v>
      </c>
      <c r="O516" s="33">
        <v>59014</v>
      </c>
      <c r="P516" s="21">
        <f t="shared" si="133"/>
        <v>60000</v>
      </c>
    </row>
    <row r="517" spans="1:16" x14ac:dyDescent="0.25">
      <c r="A517" s="182"/>
      <c r="B517" s="196"/>
      <c r="C517" s="6" t="s">
        <v>40</v>
      </c>
      <c r="D517" s="95">
        <f>SUM(D512:D516)</f>
        <v>5661169</v>
      </c>
      <c r="E517" s="95">
        <f t="shared" ref="E517:P517" si="134">SUM(E512:E516)</f>
        <v>0</v>
      </c>
      <c r="F517" s="95">
        <f t="shared" si="134"/>
        <v>0</v>
      </c>
      <c r="G517" s="95"/>
      <c r="H517" s="95">
        <f t="shared" si="134"/>
        <v>0</v>
      </c>
      <c r="I517" s="95">
        <f t="shared" si="134"/>
        <v>0</v>
      </c>
      <c r="J517" s="95">
        <f t="shared" si="134"/>
        <v>0</v>
      </c>
      <c r="K517" s="95">
        <f t="shared" si="134"/>
        <v>0</v>
      </c>
      <c r="L517" s="95">
        <f t="shared" si="134"/>
        <v>0</v>
      </c>
      <c r="M517" s="95">
        <f t="shared" si="134"/>
        <v>0</v>
      </c>
      <c r="N517" s="95">
        <f t="shared" si="134"/>
        <v>5661169</v>
      </c>
      <c r="O517" s="49">
        <f t="shared" si="134"/>
        <v>3867913</v>
      </c>
      <c r="P517" s="26">
        <f t="shared" si="134"/>
        <v>1793256</v>
      </c>
    </row>
    <row r="518" spans="1:16" x14ac:dyDescent="0.25">
      <c r="A518" s="182"/>
      <c r="B518" s="196"/>
      <c r="C518" s="57" t="s">
        <v>41</v>
      </c>
      <c r="D518" s="96">
        <v>1020706</v>
      </c>
      <c r="E518" s="96"/>
      <c r="F518" s="96"/>
      <c r="G518" s="96"/>
      <c r="H518" s="96"/>
      <c r="I518" s="96"/>
      <c r="J518" s="96"/>
      <c r="K518" s="96"/>
      <c r="L518" s="96"/>
      <c r="M518" s="96"/>
      <c r="N518" s="97">
        <f>D518+E518+F518+H518+I518+K518</f>
        <v>1020706</v>
      </c>
      <c r="O518" s="129">
        <v>666313</v>
      </c>
      <c r="P518" s="55">
        <f t="shared" ref="P518:P529" si="135">N518-O518</f>
        <v>354393</v>
      </c>
    </row>
    <row r="519" spans="1:16" x14ac:dyDescent="0.25">
      <c r="A519" s="182"/>
      <c r="B519" s="196"/>
      <c r="C519" s="2" t="s">
        <v>42</v>
      </c>
      <c r="D519" s="24">
        <v>40000</v>
      </c>
      <c r="E519" s="24"/>
      <c r="F519" s="24"/>
      <c r="G519" s="24"/>
      <c r="H519" s="24">
        <v>200000</v>
      </c>
      <c r="I519" s="24"/>
      <c r="J519" s="24"/>
      <c r="K519" s="24"/>
      <c r="L519" s="24"/>
      <c r="M519" s="24"/>
      <c r="N519" s="24">
        <f t="shared" ref="N519:N529" si="136">D519+E519+F519+H519+I519+K519+J519</f>
        <v>240000</v>
      </c>
      <c r="O519" s="33">
        <v>0</v>
      </c>
      <c r="P519" s="14">
        <f t="shared" si="135"/>
        <v>240000</v>
      </c>
    </row>
    <row r="520" spans="1:16" x14ac:dyDescent="0.25">
      <c r="A520" s="182"/>
      <c r="B520" s="196"/>
      <c r="C520" s="2" t="s">
        <v>52</v>
      </c>
      <c r="D520" s="24">
        <v>25000</v>
      </c>
      <c r="E520" s="24"/>
      <c r="F520" s="24"/>
      <c r="G520" s="24"/>
      <c r="H520" s="24">
        <v>239134</v>
      </c>
      <c r="I520" s="24">
        <v>-101891</v>
      </c>
      <c r="J520" s="24"/>
      <c r="K520" s="24"/>
      <c r="L520" s="24"/>
      <c r="M520" s="24"/>
      <c r="N520" s="24">
        <f t="shared" si="136"/>
        <v>162243</v>
      </c>
      <c r="O520" s="33">
        <v>0</v>
      </c>
      <c r="P520" s="14">
        <f t="shared" si="135"/>
        <v>162243</v>
      </c>
    </row>
    <row r="521" spans="1:16" x14ac:dyDescent="0.25">
      <c r="A521" s="182"/>
      <c r="B521" s="196"/>
      <c r="C521" s="30" t="s">
        <v>54</v>
      </c>
      <c r="D521" s="24">
        <v>0</v>
      </c>
      <c r="E521" s="24"/>
      <c r="F521" s="24"/>
      <c r="G521" s="24"/>
      <c r="H521" s="24"/>
      <c r="I521" s="24"/>
      <c r="J521" s="24"/>
      <c r="K521" s="24"/>
      <c r="L521" s="24"/>
      <c r="M521" s="24"/>
      <c r="N521" s="24">
        <f t="shared" si="136"/>
        <v>0</v>
      </c>
      <c r="O521" s="33">
        <v>0</v>
      </c>
      <c r="P521" s="33">
        <f t="shared" si="135"/>
        <v>0</v>
      </c>
    </row>
    <row r="522" spans="1:16" x14ac:dyDescent="0.25">
      <c r="A522" s="182"/>
      <c r="B522" s="196"/>
      <c r="C522" s="2" t="s">
        <v>55</v>
      </c>
      <c r="D522" s="24">
        <v>0</v>
      </c>
      <c r="E522" s="24"/>
      <c r="F522" s="24"/>
      <c r="G522" s="24"/>
      <c r="H522" s="24"/>
      <c r="I522" s="24"/>
      <c r="J522" s="24"/>
      <c r="K522" s="24"/>
      <c r="L522" s="24"/>
      <c r="M522" s="24"/>
      <c r="N522" s="24">
        <f t="shared" si="136"/>
        <v>0</v>
      </c>
      <c r="O522" s="33">
        <v>0</v>
      </c>
      <c r="P522" s="14">
        <f t="shared" si="135"/>
        <v>0</v>
      </c>
    </row>
    <row r="523" spans="1:16" x14ac:dyDescent="0.25">
      <c r="A523" s="182"/>
      <c r="B523" s="196"/>
      <c r="C523" s="2" t="s">
        <v>61</v>
      </c>
      <c r="D523" s="24">
        <v>0</v>
      </c>
      <c r="E523" s="24"/>
      <c r="F523" s="24"/>
      <c r="G523" s="24"/>
      <c r="H523" s="24"/>
      <c r="I523" s="24"/>
      <c r="J523" s="24"/>
      <c r="K523" s="24"/>
      <c r="L523" s="24"/>
      <c r="M523" s="24"/>
      <c r="N523" s="24">
        <f t="shared" si="136"/>
        <v>0</v>
      </c>
      <c r="O523" s="33">
        <v>0</v>
      </c>
      <c r="P523" s="21">
        <f t="shared" si="135"/>
        <v>0</v>
      </c>
    </row>
    <row r="524" spans="1:16" x14ac:dyDescent="0.25">
      <c r="A524" s="182"/>
      <c r="B524" s="196"/>
      <c r="C524" s="2" t="s">
        <v>56</v>
      </c>
      <c r="D524" s="24">
        <v>0</v>
      </c>
      <c r="E524" s="24"/>
      <c r="F524" s="24"/>
      <c r="G524" s="24"/>
      <c r="H524" s="24"/>
      <c r="I524" s="24"/>
      <c r="J524" s="24"/>
      <c r="K524" s="24"/>
      <c r="L524" s="24"/>
      <c r="M524" s="24"/>
      <c r="N524" s="24">
        <f t="shared" si="136"/>
        <v>0</v>
      </c>
      <c r="O524" s="33">
        <v>0</v>
      </c>
      <c r="P524" s="21">
        <f t="shared" si="135"/>
        <v>0</v>
      </c>
    </row>
    <row r="525" spans="1:16" x14ac:dyDescent="0.25">
      <c r="A525" s="182"/>
      <c r="B525" s="196"/>
      <c r="C525" s="2" t="s">
        <v>43</v>
      </c>
      <c r="D525" s="24">
        <v>16800</v>
      </c>
      <c r="E525" s="24"/>
      <c r="F525" s="24"/>
      <c r="G525" s="24"/>
      <c r="H525" s="24"/>
      <c r="I525" s="24"/>
      <c r="J525" s="24"/>
      <c r="K525" s="24"/>
      <c r="L525" s="24"/>
      <c r="M525" s="24"/>
      <c r="N525" s="24">
        <f t="shared" si="136"/>
        <v>16800</v>
      </c>
      <c r="O525" s="33">
        <v>8400</v>
      </c>
      <c r="P525" s="21">
        <f t="shared" si="135"/>
        <v>8400</v>
      </c>
    </row>
    <row r="526" spans="1:16" x14ac:dyDescent="0.25">
      <c r="A526" s="182"/>
      <c r="B526" s="196"/>
      <c r="C526" s="2" t="s">
        <v>57</v>
      </c>
      <c r="D526" s="24">
        <v>0</v>
      </c>
      <c r="E526" s="24"/>
      <c r="F526" s="24"/>
      <c r="G526" s="24"/>
      <c r="H526" s="24"/>
      <c r="I526" s="24"/>
      <c r="J526" s="24"/>
      <c r="K526" s="24"/>
      <c r="L526" s="24"/>
      <c r="M526" s="24"/>
      <c r="N526" s="24">
        <f t="shared" si="136"/>
        <v>0</v>
      </c>
      <c r="O526" s="33">
        <v>0</v>
      </c>
      <c r="P526" s="21">
        <f t="shared" si="135"/>
        <v>0</v>
      </c>
    </row>
    <row r="527" spans="1:16" x14ac:dyDescent="0.25">
      <c r="A527" s="182"/>
      <c r="B527" s="196"/>
      <c r="C527" s="2" t="s">
        <v>58</v>
      </c>
      <c r="D527" s="24">
        <v>0</v>
      </c>
      <c r="E527" s="24"/>
      <c r="F527" s="24"/>
      <c r="G527" s="24"/>
      <c r="H527" s="24"/>
      <c r="I527" s="24"/>
      <c r="J527" s="24"/>
      <c r="K527" s="24"/>
      <c r="L527" s="24"/>
      <c r="M527" s="24"/>
      <c r="N527" s="24">
        <f t="shared" si="136"/>
        <v>0</v>
      </c>
      <c r="O527" s="33">
        <v>0</v>
      </c>
      <c r="P527" s="21">
        <f t="shared" si="135"/>
        <v>0</v>
      </c>
    </row>
    <row r="528" spans="1:16" x14ac:dyDescent="0.25">
      <c r="A528" s="182"/>
      <c r="B528" s="196"/>
      <c r="C528" s="2" t="s">
        <v>44</v>
      </c>
      <c r="D528" s="24">
        <v>13150</v>
      </c>
      <c r="E528" s="24"/>
      <c r="F528" s="24"/>
      <c r="G528" s="24"/>
      <c r="H528" s="24">
        <v>118566</v>
      </c>
      <c r="I528" s="24">
        <v>-27510</v>
      </c>
      <c r="J528" s="24"/>
      <c r="K528" s="24"/>
      <c r="L528" s="24"/>
      <c r="M528" s="24"/>
      <c r="N528" s="24">
        <f t="shared" si="136"/>
        <v>104206</v>
      </c>
      <c r="O528" s="33">
        <v>0</v>
      </c>
      <c r="P528" s="21">
        <f t="shared" si="135"/>
        <v>104206</v>
      </c>
    </row>
    <row r="529" spans="1:16" x14ac:dyDescent="0.25">
      <c r="A529" s="182"/>
      <c r="B529" s="196"/>
      <c r="C529" s="2" t="s">
        <v>59</v>
      </c>
      <c r="D529" s="24">
        <v>0</v>
      </c>
      <c r="E529" s="24"/>
      <c r="F529" s="24"/>
      <c r="G529" s="24"/>
      <c r="H529" s="24"/>
      <c r="I529" s="24"/>
      <c r="J529" s="24"/>
      <c r="K529" s="24"/>
      <c r="L529" s="24"/>
      <c r="M529" s="24"/>
      <c r="N529" s="24">
        <f t="shared" si="136"/>
        <v>0</v>
      </c>
      <c r="O529" s="33">
        <v>0</v>
      </c>
      <c r="P529" s="14">
        <f t="shared" si="135"/>
        <v>0</v>
      </c>
    </row>
    <row r="530" spans="1:16" x14ac:dyDescent="0.25">
      <c r="A530" s="182"/>
      <c r="B530" s="196"/>
      <c r="C530" s="6" t="s">
        <v>45</v>
      </c>
      <c r="D530" s="95">
        <f>SUM(D519:D529)</f>
        <v>94950</v>
      </c>
      <c r="E530" s="95">
        <f t="shared" ref="E530:P530" si="137">SUM(E519:E529)</f>
        <v>0</v>
      </c>
      <c r="F530" s="95">
        <f t="shared" si="137"/>
        <v>0</v>
      </c>
      <c r="G530" s="95"/>
      <c r="H530" s="95">
        <f t="shared" si="137"/>
        <v>557700</v>
      </c>
      <c r="I530" s="95">
        <f t="shared" si="137"/>
        <v>-129401</v>
      </c>
      <c r="J530" s="95">
        <f t="shared" si="137"/>
        <v>0</v>
      </c>
      <c r="K530" s="95">
        <f t="shared" si="137"/>
        <v>0</v>
      </c>
      <c r="L530" s="95">
        <f t="shared" si="137"/>
        <v>0</v>
      </c>
      <c r="M530" s="95">
        <f t="shared" si="137"/>
        <v>0</v>
      </c>
      <c r="N530" s="95">
        <f t="shared" si="137"/>
        <v>523249</v>
      </c>
      <c r="O530" s="49">
        <f t="shared" si="137"/>
        <v>8400</v>
      </c>
      <c r="P530" s="26">
        <f t="shared" si="137"/>
        <v>514849</v>
      </c>
    </row>
    <row r="531" spans="1:16" x14ac:dyDescent="0.25">
      <c r="A531" s="182"/>
      <c r="B531" s="196"/>
      <c r="C531" s="2" t="s">
        <v>111</v>
      </c>
      <c r="D531" s="24">
        <v>0</v>
      </c>
      <c r="E531" s="24"/>
      <c r="F531" s="24"/>
      <c r="G531" s="24"/>
      <c r="H531" s="24"/>
      <c r="I531" s="24"/>
      <c r="J531" s="24"/>
      <c r="K531" s="24"/>
      <c r="L531" s="24"/>
      <c r="M531" s="24"/>
      <c r="N531" s="24">
        <f>D531+E531+F531+H531+I531+K531+J531</f>
        <v>0</v>
      </c>
      <c r="O531" s="33">
        <v>0</v>
      </c>
      <c r="P531" s="14">
        <f t="shared" ref="P531:P532" si="138">N531-O531</f>
        <v>0</v>
      </c>
    </row>
    <row r="532" spans="1:16" x14ac:dyDescent="0.25">
      <c r="A532" s="182"/>
      <c r="B532" s="196"/>
      <c r="C532" s="2" t="s">
        <v>112</v>
      </c>
      <c r="D532" s="24">
        <v>0</v>
      </c>
      <c r="E532" s="24"/>
      <c r="F532" s="24"/>
      <c r="G532" s="24"/>
      <c r="H532" s="24"/>
      <c r="I532" s="24"/>
      <c r="J532" s="24"/>
      <c r="K532" s="24"/>
      <c r="L532" s="24"/>
      <c r="M532" s="24"/>
      <c r="N532" s="24">
        <f>D532+E532+F532+H532+I532+K532+J532</f>
        <v>0</v>
      </c>
      <c r="O532" s="33">
        <v>0</v>
      </c>
      <c r="P532" s="14">
        <f t="shared" si="138"/>
        <v>0</v>
      </c>
    </row>
    <row r="533" spans="1:16" x14ac:dyDescent="0.25">
      <c r="A533" s="182"/>
      <c r="B533" s="197"/>
      <c r="C533" s="6" t="s">
        <v>113</v>
      </c>
      <c r="D533" s="95">
        <f>SUM(D531:D532)</f>
        <v>0</v>
      </c>
      <c r="E533" s="95">
        <f t="shared" ref="E533:P533" si="139">SUM(E531:E532)</f>
        <v>0</v>
      </c>
      <c r="F533" s="95">
        <f t="shared" si="139"/>
        <v>0</v>
      </c>
      <c r="G533" s="95"/>
      <c r="H533" s="95">
        <f t="shared" si="139"/>
        <v>0</v>
      </c>
      <c r="I533" s="95">
        <f t="shared" si="139"/>
        <v>0</v>
      </c>
      <c r="J533" s="95">
        <f t="shared" si="139"/>
        <v>0</v>
      </c>
      <c r="K533" s="95">
        <f t="shared" si="139"/>
        <v>0</v>
      </c>
      <c r="L533" s="95">
        <f t="shared" si="139"/>
        <v>0</v>
      </c>
      <c r="M533" s="95">
        <f t="shared" si="139"/>
        <v>0</v>
      </c>
      <c r="N533" s="95">
        <f t="shared" si="139"/>
        <v>0</v>
      </c>
      <c r="O533" s="49">
        <f t="shared" si="139"/>
        <v>0</v>
      </c>
      <c r="P533" s="26">
        <f t="shared" si="139"/>
        <v>0</v>
      </c>
    </row>
    <row r="534" spans="1:16" x14ac:dyDescent="0.25">
      <c r="A534" s="182"/>
      <c r="B534" s="184" t="s">
        <v>20</v>
      </c>
      <c r="C534" s="2" t="s">
        <v>61</v>
      </c>
      <c r="D534" s="24">
        <v>36000</v>
      </c>
      <c r="E534" s="24"/>
      <c r="F534" s="24"/>
      <c r="G534" s="24"/>
      <c r="H534" s="24"/>
      <c r="I534" s="24"/>
      <c r="J534" s="24"/>
      <c r="K534" s="24"/>
      <c r="L534" s="24"/>
      <c r="M534" s="24"/>
      <c r="N534" s="24">
        <f>D534+E534+F534+H534+I534+K534+J534</f>
        <v>36000</v>
      </c>
      <c r="O534" s="33">
        <v>21000</v>
      </c>
      <c r="P534" s="14">
        <f t="shared" ref="P534:P538" si="140">N534-O534</f>
        <v>15000</v>
      </c>
    </row>
    <row r="535" spans="1:16" x14ac:dyDescent="0.25">
      <c r="A535" s="182"/>
      <c r="B535" s="184"/>
      <c r="C535" s="2" t="s">
        <v>56</v>
      </c>
      <c r="D535" s="24">
        <v>6000</v>
      </c>
      <c r="E535" s="24"/>
      <c r="F535" s="24"/>
      <c r="G535" s="24"/>
      <c r="H535" s="24"/>
      <c r="I535" s="24"/>
      <c r="J535" s="24">
        <v>39370</v>
      </c>
      <c r="K535" s="24"/>
      <c r="L535" s="24"/>
      <c r="M535" s="24"/>
      <c r="N535" s="24">
        <f>D535+E535+F535+H535+I535+K535+J535</f>
        <v>45370</v>
      </c>
      <c r="O535" s="33">
        <v>6000</v>
      </c>
      <c r="P535" s="14">
        <f t="shared" si="140"/>
        <v>39370</v>
      </c>
    </row>
    <row r="536" spans="1:16" x14ac:dyDescent="0.25">
      <c r="A536" s="182"/>
      <c r="B536" s="184"/>
      <c r="C536" s="30" t="s">
        <v>63</v>
      </c>
      <c r="D536" s="24">
        <v>0</v>
      </c>
      <c r="E536" s="24"/>
      <c r="F536" s="24"/>
      <c r="G536" s="24"/>
      <c r="H536" s="24"/>
      <c r="I536" s="24"/>
      <c r="J536" s="24"/>
      <c r="K536" s="24"/>
      <c r="L536" s="24"/>
      <c r="M536" s="24"/>
      <c r="N536" s="24">
        <f>D536+E536+F536+H536+I536+K536+J536</f>
        <v>0</v>
      </c>
      <c r="O536" s="33">
        <v>0</v>
      </c>
      <c r="P536" s="14">
        <f t="shared" si="140"/>
        <v>0</v>
      </c>
    </row>
    <row r="537" spans="1:16" x14ac:dyDescent="0.25">
      <c r="A537" s="182"/>
      <c r="B537" s="184"/>
      <c r="C537" s="2" t="s">
        <v>57</v>
      </c>
      <c r="D537" s="24">
        <v>0</v>
      </c>
      <c r="E537" s="24"/>
      <c r="F537" s="24"/>
      <c r="G537" s="24"/>
      <c r="H537" s="24"/>
      <c r="I537" s="24"/>
      <c r="J537" s="24"/>
      <c r="K537" s="24"/>
      <c r="L537" s="24"/>
      <c r="M537" s="24"/>
      <c r="N537" s="24">
        <f>D537+E537+F537+H537+I537+K537+J537</f>
        <v>0</v>
      </c>
      <c r="O537" s="33">
        <v>0</v>
      </c>
      <c r="P537" s="14">
        <f t="shared" si="140"/>
        <v>0</v>
      </c>
    </row>
    <row r="538" spans="1:16" x14ac:dyDescent="0.25">
      <c r="A538" s="182"/>
      <c r="B538" s="184"/>
      <c r="C538" s="2" t="s">
        <v>44</v>
      </c>
      <c r="D538" s="24">
        <v>11340</v>
      </c>
      <c r="E538" s="24"/>
      <c r="F538" s="24"/>
      <c r="G538" s="24"/>
      <c r="H538" s="24"/>
      <c r="I538" s="24"/>
      <c r="J538" s="24">
        <v>10630</v>
      </c>
      <c r="K538" s="24"/>
      <c r="L538" s="24"/>
      <c r="M538" s="24"/>
      <c r="N538" s="24">
        <f>D538+E538+F538+H538+I538+K538+J538</f>
        <v>21970</v>
      </c>
      <c r="O538" s="33">
        <v>7290</v>
      </c>
      <c r="P538" s="14">
        <f t="shared" si="140"/>
        <v>14680</v>
      </c>
    </row>
    <row r="539" spans="1:16" x14ac:dyDescent="0.25">
      <c r="A539" s="182"/>
      <c r="B539" s="184"/>
      <c r="C539" s="6" t="s">
        <v>45</v>
      </c>
      <c r="D539" s="95">
        <f>SUM(D534:D538)</f>
        <v>53340</v>
      </c>
      <c r="E539" s="95">
        <f t="shared" ref="E539:P539" si="141">SUM(E534:E538)</f>
        <v>0</v>
      </c>
      <c r="F539" s="95">
        <f t="shared" si="141"/>
        <v>0</v>
      </c>
      <c r="G539" s="95"/>
      <c r="H539" s="95">
        <f t="shared" si="141"/>
        <v>0</v>
      </c>
      <c r="I539" s="95">
        <f t="shared" si="141"/>
        <v>0</v>
      </c>
      <c r="J539" s="95">
        <f t="shared" si="141"/>
        <v>50000</v>
      </c>
      <c r="K539" s="95">
        <f t="shared" si="141"/>
        <v>0</v>
      </c>
      <c r="L539" s="95">
        <f t="shared" si="141"/>
        <v>0</v>
      </c>
      <c r="M539" s="95">
        <f t="shared" si="141"/>
        <v>0</v>
      </c>
      <c r="N539" s="95">
        <f t="shared" si="141"/>
        <v>103340</v>
      </c>
      <c r="O539" s="49">
        <f t="shared" si="141"/>
        <v>34290</v>
      </c>
      <c r="P539" s="26">
        <f t="shared" si="141"/>
        <v>69050</v>
      </c>
    </row>
    <row r="540" spans="1:16" x14ac:dyDescent="0.25">
      <c r="A540" s="183" t="s">
        <v>95</v>
      </c>
      <c r="B540" s="185" t="s">
        <v>17</v>
      </c>
      <c r="C540" s="2" t="s">
        <v>39</v>
      </c>
      <c r="D540" s="24">
        <v>992094</v>
      </c>
      <c r="E540" s="24"/>
      <c r="F540" s="24"/>
      <c r="G540" s="24"/>
      <c r="H540" s="24"/>
      <c r="I540" s="24"/>
      <c r="J540" s="24"/>
      <c r="K540" s="24"/>
      <c r="L540" s="24"/>
      <c r="M540" s="24"/>
      <c r="N540" s="24">
        <f>D540+E540+F540+H540+I540+K540+J540+L540</f>
        <v>992094</v>
      </c>
      <c r="O540" s="33">
        <v>759814</v>
      </c>
      <c r="P540" s="14">
        <f t="shared" ref="P540:P543" si="142">N540-O540</f>
        <v>232280</v>
      </c>
    </row>
    <row r="541" spans="1:16" x14ac:dyDescent="0.25">
      <c r="A541" s="195"/>
      <c r="B541" s="197"/>
      <c r="C541" s="2" t="s">
        <v>41</v>
      </c>
      <c r="D541" s="24">
        <v>167258</v>
      </c>
      <c r="E541" s="24"/>
      <c r="F541" s="24"/>
      <c r="G541" s="24"/>
      <c r="H541" s="24"/>
      <c r="I541" s="24"/>
      <c r="J541" s="24"/>
      <c r="K541" s="24"/>
      <c r="L541" s="24"/>
      <c r="M541" s="24"/>
      <c r="N541" s="24">
        <f>D541+E541+F541+H541+I541+K541+J541+L541</f>
        <v>167258</v>
      </c>
      <c r="O541" s="33">
        <v>131253</v>
      </c>
      <c r="P541" s="14">
        <f t="shared" si="142"/>
        <v>36005</v>
      </c>
    </row>
    <row r="542" spans="1:16" x14ac:dyDescent="0.25">
      <c r="A542" s="183" t="s">
        <v>96</v>
      </c>
      <c r="B542" s="185" t="s">
        <v>17</v>
      </c>
      <c r="C542" s="2" t="s">
        <v>50</v>
      </c>
      <c r="D542" s="24">
        <v>39750</v>
      </c>
      <c r="E542" s="24"/>
      <c r="F542" s="24"/>
      <c r="G542" s="24"/>
      <c r="H542" s="24"/>
      <c r="I542" s="24"/>
      <c r="J542" s="24"/>
      <c r="K542" s="24"/>
      <c r="L542" s="24"/>
      <c r="M542" s="24"/>
      <c r="N542" s="24">
        <f>D542+E542+F542+H542+I542+K542+J542+L542</f>
        <v>39750</v>
      </c>
      <c r="O542" s="33">
        <v>10500</v>
      </c>
      <c r="P542" s="14">
        <f t="shared" si="142"/>
        <v>29250</v>
      </c>
    </row>
    <row r="543" spans="1:16" x14ac:dyDescent="0.25">
      <c r="A543" s="195"/>
      <c r="B543" s="197"/>
      <c r="C543" s="2" t="s">
        <v>41</v>
      </c>
      <c r="D543" s="24">
        <v>6956</v>
      </c>
      <c r="E543" s="24"/>
      <c r="F543" s="24"/>
      <c r="G543" s="24"/>
      <c r="H543" s="24"/>
      <c r="I543" s="24"/>
      <c r="J543" s="24"/>
      <c r="K543" s="24"/>
      <c r="L543" s="24"/>
      <c r="M543" s="24"/>
      <c r="N543" s="24">
        <f>D543+E543+F543+H543+I543+K543+J543+L543</f>
        <v>6956</v>
      </c>
      <c r="O543" s="33">
        <v>1830</v>
      </c>
      <c r="P543" s="14">
        <f t="shared" si="142"/>
        <v>5126</v>
      </c>
    </row>
    <row r="544" spans="1:16" x14ac:dyDescent="0.25">
      <c r="A544" s="186" t="s">
        <v>125</v>
      </c>
      <c r="B544" s="187"/>
      <c r="C544" s="188"/>
      <c r="D544" s="113">
        <f>SUM(D511+D517+D518+D530+D533+D539+D540+D541+D542+D543)</f>
        <v>8036223</v>
      </c>
      <c r="E544" s="103">
        <f t="shared" ref="E544:P544" si="143">SUM(E543,E542,E541,E540,E539,E533,E530,E518,E517,E511)</f>
        <v>0</v>
      </c>
      <c r="F544" s="103">
        <f t="shared" si="143"/>
        <v>0</v>
      </c>
      <c r="G544" s="103"/>
      <c r="H544" s="103">
        <f t="shared" si="143"/>
        <v>557700</v>
      </c>
      <c r="I544" s="103">
        <f t="shared" si="143"/>
        <v>-129401</v>
      </c>
      <c r="J544" s="103">
        <f t="shared" si="143"/>
        <v>50000</v>
      </c>
      <c r="K544" s="103">
        <f t="shared" si="143"/>
        <v>0</v>
      </c>
      <c r="L544" s="103">
        <f t="shared" si="143"/>
        <v>0</v>
      </c>
      <c r="M544" s="103">
        <f t="shared" si="143"/>
        <v>0</v>
      </c>
      <c r="N544" s="103">
        <f t="shared" si="143"/>
        <v>8514522</v>
      </c>
      <c r="O544" s="134">
        <f>SUM(O543,O542,O541,O540,O539,O533,O530,O518,O517,O511)</f>
        <v>5480313</v>
      </c>
      <c r="P544" s="62">
        <f t="shared" si="143"/>
        <v>3034209</v>
      </c>
    </row>
    <row r="545" spans="1:16" x14ac:dyDescent="0.25">
      <c r="A545" s="183" t="s">
        <v>74</v>
      </c>
      <c r="B545" s="3" t="s">
        <v>5</v>
      </c>
      <c r="C545" s="2" t="s">
        <v>66</v>
      </c>
      <c r="D545" s="24">
        <v>0</v>
      </c>
      <c r="E545" s="24"/>
      <c r="F545" s="24"/>
      <c r="G545" s="24"/>
      <c r="H545" s="24"/>
      <c r="I545" s="24"/>
      <c r="J545" s="24"/>
      <c r="K545" s="24"/>
      <c r="L545" s="24"/>
      <c r="M545" s="24"/>
      <c r="N545" s="24">
        <f>D545+E545+F545+H545+I545+K545+J545</f>
        <v>0</v>
      </c>
      <c r="O545" s="33">
        <v>0</v>
      </c>
      <c r="P545" s="14">
        <f t="shared" ref="P545:P547" si="144">N545-O545</f>
        <v>0</v>
      </c>
    </row>
    <row r="546" spans="1:16" x14ac:dyDescent="0.25">
      <c r="A546" s="194"/>
      <c r="B546" s="184" t="s">
        <v>38</v>
      </c>
      <c r="C546" s="2" t="s">
        <v>39</v>
      </c>
      <c r="D546" s="24">
        <v>0</v>
      </c>
      <c r="E546" s="24"/>
      <c r="F546" s="24"/>
      <c r="G546" s="24"/>
      <c r="H546" s="24"/>
      <c r="I546" s="24"/>
      <c r="J546" s="24"/>
      <c r="K546" s="24"/>
      <c r="L546" s="24"/>
      <c r="M546" s="24"/>
      <c r="N546" s="24">
        <f>D546+E546+F546+H546+I546+K546+J546</f>
        <v>0</v>
      </c>
      <c r="O546" s="33">
        <v>0</v>
      </c>
      <c r="P546" s="14">
        <f t="shared" si="144"/>
        <v>0</v>
      </c>
    </row>
    <row r="547" spans="1:16" x14ac:dyDescent="0.25">
      <c r="A547" s="194"/>
      <c r="B547" s="184"/>
      <c r="C547" s="2" t="s">
        <v>50</v>
      </c>
      <c r="D547" s="24">
        <v>0</v>
      </c>
      <c r="E547" s="24"/>
      <c r="F547" s="24"/>
      <c r="G547" s="24"/>
      <c r="H547" s="24"/>
      <c r="I547" s="24"/>
      <c r="J547" s="24"/>
      <c r="K547" s="24"/>
      <c r="L547" s="24"/>
      <c r="M547" s="24"/>
      <c r="N547" s="24">
        <f>D547+E547+F547+H547+I547+K547+J547</f>
        <v>0</v>
      </c>
      <c r="O547" s="33">
        <v>0</v>
      </c>
      <c r="P547" s="14">
        <f t="shared" si="144"/>
        <v>0</v>
      </c>
    </row>
    <row r="548" spans="1:16" x14ac:dyDescent="0.25">
      <c r="A548" s="194"/>
      <c r="B548" s="184"/>
      <c r="C548" s="6" t="s">
        <v>40</v>
      </c>
      <c r="D548" s="95">
        <f>SUM(D546:D547)</f>
        <v>0</v>
      </c>
      <c r="E548" s="95">
        <f t="shared" ref="E548:P548" si="145">SUM(E546:E547)</f>
        <v>0</v>
      </c>
      <c r="F548" s="95">
        <f t="shared" si="145"/>
        <v>0</v>
      </c>
      <c r="G548" s="95"/>
      <c r="H548" s="95">
        <f t="shared" si="145"/>
        <v>0</v>
      </c>
      <c r="I548" s="95">
        <f t="shared" si="145"/>
        <v>0</v>
      </c>
      <c r="J548" s="95">
        <f t="shared" si="145"/>
        <v>0</v>
      </c>
      <c r="K548" s="95">
        <f t="shared" si="145"/>
        <v>0</v>
      </c>
      <c r="L548" s="95">
        <f t="shared" si="145"/>
        <v>0</v>
      </c>
      <c r="M548" s="95">
        <f t="shared" si="145"/>
        <v>0</v>
      </c>
      <c r="N548" s="95">
        <f t="shared" si="145"/>
        <v>0</v>
      </c>
      <c r="O548" s="49">
        <f t="shared" si="145"/>
        <v>0</v>
      </c>
      <c r="P548" s="26">
        <f t="shared" si="145"/>
        <v>0</v>
      </c>
    </row>
    <row r="549" spans="1:16" x14ac:dyDescent="0.25">
      <c r="A549" s="194"/>
      <c r="B549" s="184"/>
      <c r="C549" s="57" t="s">
        <v>41</v>
      </c>
      <c r="D549" s="96">
        <v>0</v>
      </c>
      <c r="E549" s="96"/>
      <c r="F549" s="96"/>
      <c r="G549" s="96"/>
      <c r="H549" s="96"/>
      <c r="I549" s="96"/>
      <c r="J549" s="96"/>
      <c r="K549" s="96"/>
      <c r="L549" s="96"/>
      <c r="M549" s="96"/>
      <c r="N549" s="97">
        <f>D549+E549+F549+H549+I549+K549</f>
        <v>0</v>
      </c>
      <c r="O549" s="129">
        <v>0</v>
      </c>
      <c r="P549" s="55">
        <f t="shared" ref="P549:P554" si="146">N549-O549</f>
        <v>0</v>
      </c>
    </row>
    <row r="550" spans="1:16" x14ac:dyDescent="0.25">
      <c r="A550" s="194"/>
      <c r="B550" s="185" t="s">
        <v>17</v>
      </c>
      <c r="C550" s="2" t="s">
        <v>39</v>
      </c>
      <c r="D550" s="24">
        <v>4861805</v>
      </c>
      <c r="E550" s="24"/>
      <c r="F550" s="24"/>
      <c r="G550" s="24"/>
      <c r="H550" s="24"/>
      <c r="I550" s="24"/>
      <c r="J550" s="24"/>
      <c r="K550" s="24"/>
      <c r="L550" s="24"/>
      <c r="M550" s="24"/>
      <c r="N550" s="24">
        <f>D550+E550+F550+H550+I550+K550+J550</f>
        <v>4861805</v>
      </c>
      <c r="O550" s="33">
        <v>3131537</v>
      </c>
      <c r="P550" s="14">
        <f t="shared" si="146"/>
        <v>1730268</v>
      </c>
    </row>
    <row r="551" spans="1:16" x14ac:dyDescent="0.25">
      <c r="A551" s="194"/>
      <c r="B551" s="196"/>
      <c r="C551" s="2" t="s">
        <v>46</v>
      </c>
      <c r="D551" s="24">
        <v>200000</v>
      </c>
      <c r="E551" s="24"/>
      <c r="F551" s="24"/>
      <c r="G551" s="24"/>
      <c r="H551" s="24"/>
      <c r="I551" s="24"/>
      <c r="J551" s="24"/>
      <c r="K551" s="24"/>
      <c r="L551" s="24"/>
      <c r="M551" s="24"/>
      <c r="N551" s="24">
        <f>D551+E551+F551+H551+I551+K551+J551</f>
        <v>200000</v>
      </c>
      <c r="O551" s="33">
        <v>100000</v>
      </c>
      <c r="P551" s="14">
        <f t="shared" si="146"/>
        <v>100000</v>
      </c>
    </row>
    <row r="552" spans="1:16" x14ac:dyDescent="0.25">
      <c r="A552" s="194"/>
      <c r="B552" s="196"/>
      <c r="C552" s="2" t="s">
        <v>47</v>
      </c>
      <c r="D552" s="24">
        <v>10000</v>
      </c>
      <c r="E552" s="24"/>
      <c r="F552" s="24"/>
      <c r="G552" s="24"/>
      <c r="H552" s="24"/>
      <c r="I552" s="24"/>
      <c r="J552" s="24"/>
      <c r="K552" s="24"/>
      <c r="L552" s="24"/>
      <c r="M552" s="24"/>
      <c r="N552" s="24">
        <f>D552+E552+F552+H552+I552+K552+J552</f>
        <v>10000</v>
      </c>
      <c r="O552" s="33">
        <v>0</v>
      </c>
      <c r="P552" s="14">
        <f t="shared" si="146"/>
        <v>10000</v>
      </c>
    </row>
    <row r="553" spans="1:16" x14ac:dyDescent="0.25">
      <c r="A553" s="194"/>
      <c r="B553" s="196"/>
      <c r="C553" s="2" t="s">
        <v>49</v>
      </c>
      <c r="D553" s="24">
        <v>24000</v>
      </c>
      <c r="E553" s="24"/>
      <c r="F553" s="24"/>
      <c r="G553" s="24"/>
      <c r="H553" s="24"/>
      <c r="I553" s="24"/>
      <c r="J553" s="24"/>
      <c r="K553" s="24"/>
      <c r="L553" s="24"/>
      <c r="M553" s="24"/>
      <c r="N553" s="24">
        <f>D553+E553+F553+H553+I553+K553+J553</f>
        <v>24000</v>
      </c>
      <c r="O553" s="33">
        <v>12000</v>
      </c>
      <c r="P553" s="14">
        <f t="shared" si="146"/>
        <v>12000</v>
      </c>
    </row>
    <row r="554" spans="1:16" x14ac:dyDescent="0.25">
      <c r="A554" s="194"/>
      <c r="B554" s="196"/>
      <c r="C554" s="2" t="s">
        <v>50</v>
      </c>
      <c r="D554" s="24">
        <v>0</v>
      </c>
      <c r="E554" s="24"/>
      <c r="F554" s="24"/>
      <c r="G554" s="24"/>
      <c r="H554" s="24"/>
      <c r="I554" s="24"/>
      <c r="J554" s="24"/>
      <c r="K554" s="24"/>
      <c r="L554" s="24"/>
      <c r="M554" s="24"/>
      <c r="N554" s="24">
        <f>D554+E554+F554+H554+I554+K554+J554</f>
        <v>0</v>
      </c>
      <c r="O554" s="33">
        <v>0</v>
      </c>
      <c r="P554" s="14">
        <f t="shared" si="146"/>
        <v>0</v>
      </c>
    </row>
    <row r="555" spans="1:16" x14ac:dyDescent="0.25">
      <c r="A555" s="194"/>
      <c r="B555" s="196"/>
      <c r="C555" s="6" t="s">
        <v>40</v>
      </c>
      <c r="D555" s="95">
        <f>SUM(D550:D554)</f>
        <v>5095805</v>
      </c>
      <c r="E555" s="95">
        <f t="shared" ref="E555:P555" si="147">SUM(E550:E554)</f>
        <v>0</v>
      </c>
      <c r="F555" s="95">
        <f t="shared" si="147"/>
        <v>0</v>
      </c>
      <c r="G555" s="95"/>
      <c r="H555" s="95">
        <f t="shared" si="147"/>
        <v>0</v>
      </c>
      <c r="I555" s="95">
        <f t="shared" si="147"/>
        <v>0</v>
      </c>
      <c r="J555" s="95">
        <f t="shared" si="147"/>
        <v>0</v>
      </c>
      <c r="K555" s="95">
        <f t="shared" si="147"/>
        <v>0</v>
      </c>
      <c r="L555" s="95">
        <f t="shared" si="147"/>
        <v>0</v>
      </c>
      <c r="M555" s="95">
        <f t="shared" si="147"/>
        <v>0</v>
      </c>
      <c r="N555" s="95">
        <f t="shared" si="147"/>
        <v>5095805</v>
      </c>
      <c r="O555" s="49">
        <f t="shared" si="147"/>
        <v>3243537</v>
      </c>
      <c r="P555" s="26">
        <f t="shared" si="147"/>
        <v>1852268</v>
      </c>
    </row>
    <row r="556" spans="1:16" x14ac:dyDescent="0.25">
      <c r="A556" s="194"/>
      <c r="B556" s="196"/>
      <c r="C556" s="57" t="s">
        <v>41</v>
      </c>
      <c r="D556" s="96">
        <v>921856</v>
      </c>
      <c r="E556" s="96"/>
      <c r="F556" s="96"/>
      <c r="G556" s="96"/>
      <c r="H556" s="96"/>
      <c r="I556" s="96"/>
      <c r="J556" s="96"/>
      <c r="K556" s="96"/>
      <c r="L556" s="96"/>
      <c r="M556" s="96"/>
      <c r="N556" s="97">
        <f>D556+E556+F556+H556+I556+K556</f>
        <v>921856</v>
      </c>
      <c r="O556" s="129">
        <v>559063</v>
      </c>
      <c r="P556" s="55">
        <f t="shared" ref="P556:P567" si="148">N556-O556</f>
        <v>362793</v>
      </c>
    </row>
    <row r="557" spans="1:16" x14ac:dyDescent="0.25">
      <c r="A557" s="194"/>
      <c r="B557" s="196"/>
      <c r="C557" s="2" t="s">
        <v>42</v>
      </c>
      <c r="D557" s="24">
        <v>40000</v>
      </c>
      <c r="E557" s="24">
        <v>-150000</v>
      </c>
      <c r="F557" s="24">
        <v>337795</v>
      </c>
      <c r="G557" s="24"/>
      <c r="H557" s="24">
        <v>200000</v>
      </c>
      <c r="I557" s="24"/>
      <c r="J557" s="24"/>
      <c r="K557" s="24"/>
      <c r="L557" s="24"/>
      <c r="M557" s="24"/>
      <c r="N557" s="24">
        <f t="shared" ref="N557:N567" si="149">D557+E557+F557+H557+I557+K557+J557</f>
        <v>427795</v>
      </c>
      <c r="O557" s="32">
        <v>22558</v>
      </c>
      <c r="P557" s="21">
        <f t="shared" si="148"/>
        <v>405237</v>
      </c>
    </row>
    <row r="558" spans="1:16" x14ac:dyDescent="0.25">
      <c r="A558" s="194"/>
      <c r="B558" s="196"/>
      <c r="C558" s="2" t="s">
        <v>52</v>
      </c>
      <c r="D558" s="24">
        <v>65000</v>
      </c>
      <c r="E558" s="24">
        <v>150000</v>
      </c>
      <c r="F558" s="24"/>
      <c r="G558" s="24"/>
      <c r="H558" s="24">
        <v>239133</v>
      </c>
      <c r="I558" s="24"/>
      <c r="J558" s="24">
        <v>39370</v>
      </c>
      <c r="K558" s="24"/>
      <c r="L558" s="24"/>
      <c r="M558" s="24"/>
      <c r="N558" s="24">
        <f t="shared" si="149"/>
        <v>493503</v>
      </c>
      <c r="O558" s="32">
        <v>57958</v>
      </c>
      <c r="P558" s="21">
        <f t="shared" si="148"/>
        <v>435545</v>
      </c>
    </row>
    <row r="559" spans="1:16" x14ac:dyDescent="0.25">
      <c r="A559" s="194"/>
      <c r="B559" s="196"/>
      <c r="C559" s="30" t="s">
        <v>54</v>
      </c>
      <c r="D559" s="24">
        <v>0</v>
      </c>
      <c r="E559" s="24"/>
      <c r="F559" s="24"/>
      <c r="G559" s="24"/>
      <c r="H559" s="24"/>
      <c r="I559" s="24"/>
      <c r="J559" s="24"/>
      <c r="K559" s="24"/>
      <c r="L559" s="24"/>
      <c r="M559" s="24"/>
      <c r="N559" s="24">
        <f t="shared" si="149"/>
        <v>0</v>
      </c>
      <c r="O559" s="32">
        <v>0</v>
      </c>
      <c r="P559" s="32">
        <f t="shared" si="148"/>
        <v>0</v>
      </c>
    </row>
    <row r="560" spans="1:16" x14ac:dyDescent="0.25">
      <c r="A560" s="194"/>
      <c r="B560" s="196"/>
      <c r="C560" s="2" t="s">
        <v>55</v>
      </c>
      <c r="D560" s="24">
        <v>0</v>
      </c>
      <c r="E560" s="24"/>
      <c r="F560" s="24"/>
      <c r="G560" s="24"/>
      <c r="H560" s="24"/>
      <c r="I560" s="24"/>
      <c r="J560" s="24"/>
      <c r="K560" s="24"/>
      <c r="L560" s="24"/>
      <c r="M560" s="24"/>
      <c r="N560" s="24">
        <f t="shared" si="149"/>
        <v>0</v>
      </c>
      <c r="O560" s="32">
        <v>0</v>
      </c>
      <c r="P560" s="21">
        <f t="shared" si="148"/>
        <v>0</v>
      </c>
    </row>
    <row r="561" spans="1:16" x14ac:dyDescent="0.25">
      <c r="A561" s="194"/>
      <c r="B561" s="196"/>
      <c r="C561" s="2" t="s">
        <v>61</v>
      </c>
      <c r="D561" s="24">
        <v>0</v>
      </c>
      <c r="E561" s="24"/>
      <c r="F561" s="24"/>
      <c r="G561" s="24"/>
      <c r="H561" s="24"/>
      <c r="I561" s="24"/>
      <c r="J561" s="24"/>
      <c r="K561" s="24"/>
      <c r="L561" s="24"/>
      <c r="M561" s="24"/>
      <c r="N561" s="24">
        <f t="shared" si="149"/>
        <v>0</v>
      </c>
      <c r="O561" s="32">
        <v>0</v>
      </c>
      <c r="P561" s="21">
        <f t="shared" si="148"/>
        <v>0</v>
      </c>
    </row>
    <row r="562" spans="1:16" x14ac:dyDescent="0.25">
      <c r="A562" s="194"/>
      <c r="B562" s="196"/>
      <c r="C562" s="2" t="s">
        <v>56</v>
      </c>
      <c r="D562" s="24"/>
      <c r="E562" s="24"/>
      <c r="F562" s="24"/>
      <c r="G562" s="24"/>
      <c r="H562" s="24"/>
      <c r="I562" s="24"/>
      <c r="J562" s="24"/>
      <c r="K562" s="24"/>
      <c r="L562" s="24"/>
      <c r="M562" s="24"/>
      <c r="N562" s="24">
        <f t="shared" si="149"/>
        <v>0</v>
      </c>
      <c r="O562" s="32">
        <v>0</v>
      </c>
      <c r="P562" s="21">
        <f t="shared" si="148"/>
        <v>0</v>
      </c>
    </row>
    <row r="563" spans="1:16" x14ac:dyDescent="0.25">
      <c r="A563" s="194"/>
      <c r="B563" s="196"/>
      <c r="C563" s="2" t="s">
        <v>43</v>
      </c>
      <c r="D563" s="24">
        <v>16800</v>
      </c>
      <c r="E563" s="24"/>
      <c r="F563" s="24"/>
      <c r="G563" s="24"/>
      <c r="H563" s="24"/>
      <c r="I563" s="24"/>
      <c r="J563" s="24"/>
      <c r="K563" s="24"/>
      <c r="L563" s="24"/>
      <c r="M563" s="24"/>
      <c r="N563" s="24">
        <f t="shared" si="149"/>
        <v>16800</v>
      </c>
      <c r="O563" s="32">
        <v>8400</v>
      </c>
      <c r="P563" s="21">
        <f t="shared" si="148"/>
        <v>8400</v>
      </c>
    </row>
    <row r="564" spans="1:16" x14ac:dyDescent="0.25">
      <c r="A564" s="194"/>
      <c r="B564" s="196"/>
      <c r="C564" s="2" t="s">
        <v>57</v>
      </c>
      <c r="D564" s="24">
        <v>0</v>
      </c>
      <c r="E564" s="24"/>
      <c r="F564" s="24"/>
      <c r="G564" s="24"/>
      <c r="H564" s="24"/>
      <c r="I564" s="24"/>
      <c r="J564" s="24"/>
      <c r="K564" s="24"/>
      <c r="L564" s="24"/>
      <c r="M564" s="24"/>
      <c r="N564" s="24">
        <f t="shared" si="149"/>
        <v>0</v>
      </c>
      <c r="O564" s="32">
        <v>0</v>
      </c>
      <c r="P564" s="21">
        <f t="shared" si="148"/>
        <v>0</v>
      </c>
    </row>
    <row r="565" spans="1:16" x14ac:dyDescent="0.25">
      <c r="A565" s="194"/>
      <c r="B565" s="196"/>
      <c r="C565" s="2" t="s">
        <v>58</v>
      </c>
      <c r="D565" s="24">
        <v>2000</v>
      </c>
      <c r="E565" s="24"/>
      <c r="F565" s="24"/>
      <c r="G565" s="24"/>
      <c r="H565" s="24"/>
      <c r="I565" s="24"/>
      <c r="J565" s="24"/>
      <c r="K565" s="24"/>
      <c r="L565" s="24"/>
      <c r="M565" s="24"/>
      <c r="N565" s="24">
        <f t="shared" si="149"/>
        <v>2000</v>
      </c>
      <c r="O565" s="32">
        <v>0</v>
      </c>
      <c r="P565" s="21">
        <f t="shared" si="148"/>
        <v>2000</v>
      </c>
    </row>
    <row r="566" spans="1:16" x14ac:dyDescent="0.25">
      <c r="A566" s="194"/>
      <c r="B566" s="196"/>
      <c r="C566" s="2" t="s">
        <v>44</v>
      </c>
      <c r="D566" s="24">
        <v>23950</v>
      </c>
      <c r="E566" s="24"/>
      <c r="F566" s="24">
        <v>91205</v>
      </c>
      <c r="G566" s="24"/>
      <c r="H566" s="24">
        <v>118567</v>
      </c>
      <c r="I566" s="24"/>
      <c r="J566" s="24">
        <v>10630</v>
      </c>
      <c r="K566" s="24"/>
      <c r="L566" s="24"/>
      <c r="M566" s="24"/>
      <c r="N566" s="24">
        <f t="shared" si="149"/>
        <v>244352</v>
      </c>
      <c r="O566" s="32">
        <v>18083</v>
      </c>
      <c r="P566" s="21">
        <f t="shared" si="148"/>
        <v>226269</v>
      </c>
    </row>
    <row r="567" spans="1:16" x14ac:dyDescent="0.25">
      <c r="A567" s="194"/>
      <c r="B567" s="196"/>
      <c r="C567" s="2" t="s">
        <v>59</v>
      </c>
      <c r="D567" s="24">
        <v>0</v>
      </c>
      <c r="E567" s="24"/>
      <c r="F567" s="24"/>
      <c r="G567" s="24"/>
      <c r="H567" s="24"/>
      <c r="I567" s="24"/>
      <c r="J567" s="24"/>
      <c r="K567" s="24"/>
      <c r="L567" s="24"/>
      <c r="M567" s="24"/>
      <c r="N567" s="24">
        <f t="shared" si="149"/>
        <v>0</v>
      </c>
      <c r="O567" s="33">
        <v>0</v>
      </c>
      <c r="P567" s="14">
        <f t="shared" si="148"/>
        <v>0</v>
      </c>
    </row>
    <row r="568" spans="1:16" x14ac:dyDescent="0.25">
      <c r="A568" s="194"/>
      <c r="B568" s="196"/>
      <c r="C568" s="6" t="s">
        <v>45</v>
      </c>
      <c r="D568" s="95">
        <f>SUM(D557:D567)</f>
        <v>147750</v>
      </c>
      <c r="E568" s="95">
        <f t="shared" ref="E568:P568" si="150">SUM(E557:E567)</f>
        <v>0</v>
      </c>
      <c r="F568" s="95">
        <f t="shared" si="150"/>
        <v>429000</v>
      </c>
      <c r="G568" s="95">
        <f t="shared" si="150"/>
        <v>0</v>
      </c>
      <c r="H568" s="95">
        <f t="shared" si="150"/>
        <v>557700</v>
      </c>
      <c r="I568" s="95">
        <f t="shared" si="150"/>
        <v>0</v>
      </c>
      <c r="J568" s="95">
        <f t="shared" si="150"/>
        <v>50000</v>
      </c>
      <c r="K568" s="95">
        <f t="shared" si="150"/>
        <v>0</v>
      </c>
      <c r="L568" s="95">
        <f t="shared" si="150"/>
        <v>0</v>
      </c>
      <c r="M568" s="95">
        <f t="shared" si="150"/>
        <v>0</v>
      </c>
      <c r="N568" s="95">
        <f t="shared" si="150"/>
        <v>1184450</v>
      </c>
      <c r="O568" s="49">
        <f t="shared" si="150"/>
        <v>106999</v>
      </c>
      <c r="P568" s="26">
        <f t="shared" si="150"/>
        <v>1077451</v>
      </c>
    </row>
    <row r="569" spans="1:16" x14ac:dyDescent="0.25">
      <c r="A569" s="194"/>
      <c r="B569" s="196"/>
      <c r="C569" s="2" t="s">
        <v>111</v>
      </c>
      <c r="D569" s="24">
        <v>0</v>
      </c>
      <c r="E569" s="24"/>
      <c r="F569" s="24"/>
      <c r="G569" s="24"/>
      <c r="H569" s="24"/>
      <c r="I569" s="24"/>
      <c r="J569" s="24"/>
      <c r="K569" s="24"/>
      <c r="L569" s="24"/>
      <c r="M569" s="24"/>
      <c r="N569" s="24">
        <f>D569+E569+F569+H569+I569+K569+J569</f>
        <v>0</v>
      </c>
      <c r="O569" s="33">
        <v>0</v>
      </c>
      <c r="P569" s="14">
        <f t="shared" ref="P569:P570" si="151">N569-O569</f>
        <v>0</v>
      </c>
    </row>
    <row r="570" spans="1:16" x14ac:dyDescent="0.25">
      <c r="A570" s="194"/>
      <c r="B570" s="196"/>
      <c r="C570" s="2" t="s">
        <v>112</v>
      </c>
      <c r="D570" s="24">
        <v>0</v>
      </c>
      <c r="E570" s="24"/>
      <c r="F570" s="24"/>
      <c r="G570" s="24"/>
      <c r="H570" s="24"/>
      <c r="I570" s="24"/>
      <c r="J570" s="24"/>
      <c r="K570" s="24"/>
      <c r="L570" s="24"/>
      <c r="M570" s="24"/>
      <c r="N570" s="24">
        <f>D570+E570+F570+H570+I570+K570+J570</f>
        <v>0</v>
      </c>
      <c r="O570" s="33">
        <v>0</v>
      </c>
      <c r="P570" s="14">
        <f t="shared" si="151"/>
        <v>0</v>
      </c>
    </row>
    <row r="571" spans="1:16" x14ac:dyDescent="0.25">
      <c r="A571" s="194"/>
      <c r="B571" s="197"/>
      <c r="C571" s="6" t="s">
        <v>113</v>
      </c>
      <c r="D571" s="95">
        <f>SUM(D569:D570)</f>
        <v>0</v>
      </c>
      <c r="E571" s="95">
        <f t="shared" ref="E571:P571" si="152">SUM(E569:E570)</f>
        <v>0</v>
      </c>
      <c r="F571" s="95">
        <f t="shared" si="152"/>
        <v>0</v>
      </c>
      <c r="G571" s="95"/>
      <c r="H571" s="95">
        <f t="shared" si="152"/>
        <v>0</v>
      </c>
      <c r="I571" s="95">
        <f t="shared" si="152"/>
        <v>0</v>
      </c>
      <c r="J571" s="95">
        <f t="shared" si="152"/>
        <v>0</v>
      </c>
      <c r="K571" s="95">
        <f t="shared" si="152"/>
        <v>0</v>
      </c>
      <c r="L571" s="95">
        <f t="shared" si="152"/>
        <v>0</v>
      </c>
      <c r="M571" s="95">
        <f t="shared" si="152"/>
        <v>0</v>
      </c>
      <c r="N571" s="95">
        <f t="shared" si="152"/>
        <v>0</v>
      </c>
      <c r="O571" s="49">
        <f t="shared" si="152"/>
        <v>0</v>
      </c>
      <c r="P571" s="26">
        <f t="shared" si="152"/>
        <v>0</v>
      </c>
    </row>
    <row r="572" spans="1:16" x14ac:dyDescent="0.25">
      <c r="A572" s="194"/>
      <c r="B572" s="185" t="s">
        <v>20</v>
      </c>
      <c r="C572" s="12" t="s">
        <v>61</v>
      </c>
      <c r="D572" s="104">
        <v>306000</v>
      </c>
      <c r="E572" s="104"/>
      <c r="F572" s="104"/>
      <c r="G572" s="104"/>
      <c r="H572" s="104"/>
      <c r="I572" s="104"/>
      <c r="J572" s="104"/>
      <c r="K572" s="104"/>
      <c r="L572" s="104"/>
      <c r="M572" s="104"/>
      <c r="N572" s="24">
        <f>D572+E572+F572+H572+I572+K572+J572</f>
        <v>306000</v>
      </c>
      <c r="O572" s="132">
        <v>196000</v>
      </c>
      <c r="P572" s="14">
        <f t="shared" ref="P572:P575" si="153">N572-O572</f>
        <v>110000</v>
      </c>
    </row>
    <row r="573" spans="1:16" x14ac:dyDescent="0.25">
      <c r="A573" s="194"/>
      <c r="B573" s="196"/>
      <c r="C573" s="12" t="s">
        <v>56</v>
      </c>
      <c r="D573" s="104">
        <v>18000</v>
      </c>
      <c r="E573" s="104"/>
      <c r="F573" s="104"/>
      <c r="G573" s="104"/>
      <c r="H573" s="104"/>
      <c r="I573" s="104"/>
      <c r="J573" s="104">
        <v>7874</v>
      </c>
      <c r="K573" s="104"/>
      <c r="L573" s="104"/>
      <c r="M573" s="104"/>
      <c r="N573" s="24">
        <f>D573+E573+F573+H573+I573+K573+J573</f>
        <v>25874</v>
      </c>
      <c r="O573" s="132">
        <v>18000</v>
      </c>
      <c r="P573" s="14">
        <f t="shared" si="153"/>
        <v>7874</v>
      </c>
    </row>
    <row r="574" spans="1:16" x14ac:dyDescent="0.25">
      <c r="A574" s="194"/>
      <c r="B574" s="196"/>
      <c r="C574" s="64" t="s">
        <v>57</v>
      </c>
      <c r="D574" s="104">
        <v>0</v>
      </c>
      <c r="E574" s="104"/>
      <c r="F574" s="104"/>
      <c r="G574" s="104"/>
      <c r="H574" s="104"/>
      <c r="I574" s="104"/>
      <c r="J574" s="104"/>
      <c r="K574" s="104"/>
      <c r="L574" s="104"/>
      <c r="M574" s="104"/>
      <c r="N574" s="24">
        <f>D574+E574+F574+H574+I574+K574+J574</f>
        <v>0</v>
      </c>
      <c r="O574" s="132">
        <v>0</v>
      </c>
      <c r="P574" s="14">
        <f t="shared" si="153"/>
        <v>0</v>
      </c>
    </row>
    <row r="575" spans="1:16" x14ac:dyDescent="0.25">
      <c r="A575" s="194"/>
      <c r="B575" s="196"/>
      <c r="C575" s="12" t="s">
        <v>44</v>
      </c>
      <c r="D575" s="104">
        <v>87480</v>
      </c>
      <c r="E575" s="104"/>
      <c r="F575" s="104"/>
      <c r="G575" s="104"/>
      <c r="H575" s="104"/>
      <c r="I575" s="104"/>
      <c r="J575" s="104">
        <v>2126</v>
      </c>
      <c r="K575" s="104"/>
      <c r="L575" s="104"/>
      <c r="M575" s="104"/>
      <c r="N575" s="24">
        <f>D575+E575+F575+H575+I575+K575+J575</f>
        <v>89606</v>
      </c>
      <c r="O575" s="132">
        <v>57780</v>
      </c>
      <c r="P575" s="14">
        <f t="shared" si="153"/>
        <v>31826</v>
      </c>
    </row>
    <row r="576" spans="1:16" x14ac:dyDescent="0.25">
      <c r="A576" s="195"/>
      <c r="B576" s="197"/>
      <c r="C576" s="6" t="s">
        <v>45</v>
      </c>
      <c r="D576" s="95">
        <f>SUM(D572:D575)</f>
        <v>411480</v>
      </c>
      <c r="E576" s="95">
        <f t="shared" ref="E576:P576" si="154">SUM(E572:E575)</f>
        <v>0</v>
      </c>
      <c r="F576" s="95">
        <f t="shared" si="154"/>
        <v>0</v>
      </c>
      <c r="G576" s="95"/>
      <c r="H576" s="95">
        <f t="shared" si="154"/>
        <v>0</v>
      </c>
      <c r="I576" s="95">
        <f t="shared" si="154"/>
        <v>0</v>
      </c>
      <c r="J576" s="95">
        <f t="shared" si="154"/>
        <v>10000</v>
      </c>
      <c r="K576" s="95">
        <f t="shared" si="154"/>
        <v>0</v>
      </c>
      <c r="L576" s="95">
        <f t="shared" si="154"/>
        <v>0</v>
      </c>
      <c r="M576" s="95">
        <f t="shared" si="154"/>
        <v>0</v>
      </c>
      <c r="N576" s="95">
        <f t="shared" si="154"/>
        <v>421480</v>
      </c>
      <c r="O576" s="49">
        <f t="shared" si="154"/>
        <v>271780</v>
      </c>
      <c r="P576" s="26">
        <f t="shared" si="154"/>
        <v>149700</v>
      </c>
    </row>
    <row r="577" spans="1:16" x14ac:dyDescent="0.25">
      <c r="A577" s="183" t="s">
        <v>97</v>
      </c>
      <c r="B577" s="185" t="s">
        <v>17</v>
      </c>
      <c r="C577" s="2" t="s">
        <v>39</v>
      </c>
      <c r="D577" s="24">
        <v>460100</v>
      </c>
      <c r="E577" s="24"/>
      <c r="F577" s="24"/>
      <c r="G577" s="24"/>
      <c r="H577" s="24"/>
      <c r="I577" s="24"/>
      <c r="J577" s="24"/>
      <c r="K577" s="24"/>
      <c r="L577" s="24"/>
      <c r="M577" s="24"/>
      <c r="N577" s="24">
        <f>D577+E577+F577+H577+I577+K577+J577+L577</f>
        <v>460100</v>
      </c>
      <c r="O577" s="33">
        <v>298101</v>
      </c>
      <c r="P577" s="14">
        <f t="shared" ref="P577:P580" si="155">N577-O577</f>
        <v>161999</v>
      </c>
    </row>
    <row r="578" spans="1:16" x14ac:dyDescent="0.25">
      <c r="A578" s="195"/>
      <c r="B578" s="197"/>
      <c r="C578" s="2" t="s">
        <v>41</v>
      </c>
      <c r="D578" s="24">
        <v>76378</v>
      </c>
      <c r="E578" s="24"/>
      <c r="F578" s="24"/>
      <c r="G578" s="24"/>
      <c r="H578" s="24"/>
      <c r="I578" s="24"/>
      <c r="J578" s="24"/>
      <c r="K578" s="24"/>
      <c r="L578" s="24"/>
      <c r="M578" s="24"/>
      <c r="N578" s="24">
        <f>D578+E578+F578+H578+I578+K578+J578+L578</f>
        <v>76378</v>
      </c>
      <c r="O578" s="33">
        <v>51354</v>
      </c>
      <c r="P578" s="14">
        <f t="shared" si="155"/>
        <v>25024</v>
      </c>
    </row>
    <row r="579" spans="1:16" x14ac:dyDescent="0.25">
      <c r="A579" s="183" t="s">
        <v>98</v>
      </c>
      <c r="B579" s="185" t="s">
        <v>17</v>
      </c>
      <c r="C579" s="2" t="s">
        <v>50</v>
      </c>
      <c r="D579" s="24">
        <v>27600</v>
      </c>
      <c r="E579" s="24"/>
      <c r="F579" s="24"/>
      <c r="G579" s="24"/>
      <c r="H579" s="24"/>
      <c r="I579" s="24"/>
      <c r="J579" s="24"/>
      <c r="K579" s="24"/>
      <c r="L579" s="24"/>
      <c r="M579" s="24"/>
      <c r="N579" s="24">
        <f>D579+E579+F579+H579+I579+K579+J579+L579</f>
        <v>27600</v>
      </c>
      <c r="O579" s="33">
        <v>9300</v>
      </c>
      <c r="P579" s="14">
        <f t="shared" si="155"/>
        <v>18300</v>
      </c>
    </row>
    <row r="580" spans="1:16" x14ac:dyDescent="0.25">
      <c r="A580" s="195"/>
      <c r="B580" s="197"/>
      <c r="C580" s="2" t="s">
        <v>41</v>
      </c>
      <c r="D580" s="24">
        <v>4830</v>
      </c>
      <c r="E580" s="24"/>
      <c r="F580" s="24"/>
      <c r="G580" s="24"/>
      <c r="H580" s="24"/>
      <c r="I580" s="24"/>
      <c r="J580" s="24"/>
      <c r="K580" s="24"/>
      <c r="L580" s="24"/>
      <c r="M580" s="24"/>
      <c r="N580" s="24">
        <f>D580+E580+F580+H580+I580+K580+J580+L580</f>
        <v>4830</v>
      </c>
      <c r="O580" s="33">
        <v>1608</v>
      </c>
      <c r="P580" s="14">
        <f t="shared" si="155"/>
        <v>3222</v>
      </c>
    </row>
    <row r="581" spans="1:16" x14ac:dyDescent="0.25">
      <c r="A581" s="186" t="s">
        <v>126</v>
      </c>
      <c r="B581" s="187"/>
      <c r="C581" s="188"/>
      <c r="D581" s="113">
        <f>SUM(D545+D548+D549+D555+D556+D568+D571+D576+D577+D578+D579+D580)</f>
        <v>7145799</v>
      </c>
      <c r="E581" s="103">
        <f t="shared" ref="E581:P581" si="156">SUM(E545,E548,E549,E555,E556,E568,E571,E577,E578,E579,E580,E576)</f>
        <v>0</v>
      </c>
      <c r="F581" s="103">
        <f t="shared" si="156"/>
        <v>429000</v>
      </c>
      <c r="G581" s="103">
        <f t="shared" si="156"/>
        <v>0</v>
      </c>
      <c r="H581" s="103">
        <f t="shared" si="156"/>
        <v>557700</v>
      </c>
      <c r="I581" s="103">
        <f t="shared" si="156"/>
        <v>0</v>
      </c>
      <c r="J581" s="103">
        <f t="shared" si="156"/>
        <v>60000</v>
      </c>
      <c r="K581" s="103">
        <f t="shared" si="156"/>
        <v>0</v>
      </c>
      <c r="L581" s="103">
        <f t="shared" si="156"/>
        <v>0</v>
      </c>
      <c r="M581" s="103">
        <f t="shared" si="156"/>
        <v>0</v>
      </c>
      <c r="N581" s="103">
        <f t="shared" si="156"/>
        <v>8192499</v>
      </c>
      <c r="O581" s="134">
        <f>SUM(O545,O548,O549,O555,O556,O568,O571,O577,O578,O579,O580,O576)</f>
        <v>4541742</v>
      </c>
      <c r="P581" s="62">
        <f t="shared" si="156"/>
        <v>3650757</v>
      </c>
    </row>
    <row r="582" spans="1:16" x14ac:dyDescent="0.25">
      <c r="A582" s="182" t="s">
        <v>75</v>
      </c>
      <c r="B582" s="185" t="s">
        <v>38</v>
      </c>
      <c r="C582" s="30" t="s">
        <v>48</v>
      </c>
      <c r="D582" s="24">
        <v>72000</v>
      </c>
      <c r="E582" s="24"/>
      <c r="F582" s="24"/>
      <c r="G582" s="24"/>
      <c r="H582" s="24"/>
      <c r="I582" s="24"/>
      <c r="J582" s="24"/>
      <c r="K582" s="24"/>
      <c r="L582" s="24"/>
      <c r="M582" s="24"/>
      <c r="N582" s="24">
        <f>D582+E582+F582+H582+I582+K582+J582</f>
        <v>72000</v>
      </c>
      <c r="O582" s="33">
        <v>11880</v>
      </c>
      <c r="P582" s="32">
        <f t="shared" ref="P582:P584" si="157">N582-O582</f>
        <v>60120</v>
      </c>
    </row>
    <row r="583" spans="1:16" x14ac:dyDescent="0.25">
      <c r="A583" s="182"/>
      <c r="B583" s="196"/>
      <c r="C583" s="2" t="s">
        <v>39</v>
      </c>
      <c r="D583" s="24">
        <v>978360</v>
      </c>
      <c r="E583" s="24"/>
      <c r="F583" s="24"/>
      <c r="G583" s="24"/>
      <c r="H583" s="24"/>
      <c r="I583" s="24"/>
      <c r="J583" s="24"/>
      <c r="K583" s="24"/>
      <c r="L583" s="24"/>
      <c r="M583" s="24"/>
      <c r="N583" s="24">
        <f>D583+E583+F583+H583+I583+K583+J583</f>
        <v>978360</v>
      </c>
      <c r="O583" s="33">
        <v>652240</v>
      </c>
      <c r="P583" s="14">
        <f t="shared" si="157"/>
        <v>326120</v>
      </c>
    </row>
    <row r="584" spans="1:16" x14ac:dyDescent="0.25">
      <c r="A584" s="182"/>
      <c r="B584" s="196"/>
      <c r="C584" s="2" t="s">
        <v>50</v>
      </c>
      <c r="D584" s="24">
        <v>0</v>
      </c>
      <c r="E584" s="24"/>
      <c r="F584" s="24"/>
      <c r="G584" s="24"/>
      <c r="H584" s="24"/>
      <c r="I584" s="24"/>
      <c r="J584" s="24"/>
      <c r="K584" s="24"/>
      <c r="L584" s="24"/>
      <c r="M584" s="24"/>
      <c r="N584" s="24">
        <f>D584+E584+F584+H584+I584+K584+J584</f>
        <v>0</v>
      </c>
      <c r="O584" s="33">
        <v>0</v>
      </c>
      <c r="P584" s="14">
        <f t="shared" si="157"/>
        <v>0</v>
      </c>
    </row>
    <row r="585" spans="1:16" x14ac:dyDescent="0.25">
      <c r="A585" s="182"/>
      <c r="B585" s="196"/>
      <c r="C585" s="6" t="s">
        <v>40</v>
      </c>
      <c r="D585" s="95">
        <f>SUM(D582:D584)</f>
        <v>1050360</v>
      </c>
      <c r="E585" s="95">
        <f t="shared" ref="E585:N585" si="158">SUM(E582:E584)</f>
        <v>0</v>
      </c>
      <c r="F585" s="95">
        <f t="shared" si="158"/>
        <v>0</v>
      </c>
      <c r="G585" s="95"/>
      <c r="H585" s="95">
        <f t="shared" si="158"/>
        <v>0</v>
      </c>
      <c r="I585" s="95">
        <f t="shared" si="158"/>
        <v>0</v>
      </c>
      <c r="J585" s="95">
        <f t="shared" si="158"/>
        <v>0</v>
      </c>
      <c r="K585" s="95">
        <f t="shared" si="158"/>
        <v>0</v>
      </c>
      <c r="L585" s="95">
        <f t="shared" si="158"/>
        <v>0</v>
      </c>
      <c r="M585" s="95">
        <f t="shared" si="158"/>
        <v>0</v>
      </c>
      <c r="N585" s="95">
        <f t="shared" si="158"/>
        <v>1050360</v>
      </c>
      <c r="O585" s="49">
        <f>SUM(O582:O584)</f>
        <v>664120</v>
      </c>
      <c r="P585" s="18">
        <f>SUM(P582:P584)</f>
        <v>386240</v>
      </c>
    </row>
    <row r="586" spans="1:16" x14ac:dyDescent="0.25">
      <c r="A586" s="182"/>
      <c r="B586" s="196"/>
      <c r="C586" s="57" t="s">
        <v>41</v>
      </c>
      <c r="D586" s="96">
        <v>85607</v>
      </c>
      <c r="E586" s="96"/>
      <c r="F586" s="96"/>
      <c r="G586" s="96"/>
      <c r="H586" s="96"/>
      <c r="I586" s="96"/>
      <c r="J586" s="96"/>
      <c r="K586" s="96"/>
      <c r="L586" s="96"/>
      <c r="M586" s="96"/>
      <c r="N586" s="97">
        <f>D586+E586+F586+H586+I586+K586</f>
        <v>85607</v>
      </c>
      <c r="O586" s="129">
        <v>56256</v>
      </c>
      <c r="P586" s="55">
        <f t="shared" ref="P586:P590" si="159">N586-O586</f>
        <v>29351</v>
      </c>
    </row>
    <row r="587" spans="1:16" x14ac:dyDescent="0.25">
      <c r="A587" s="182"/>
      <c r="B587" s="196"/>
      <c r="C587" s="2" t="s">
        <v>42</v>
      </c>
      <c r="D587" s="24">
        <v>0</v>
      </c>
      <c r="E587" s="24"/>
      <c r="F587" s="24"/>
      <c r="G587" s="24"/>
      <c r="H587" s="24"/>
      <c r="I587" s="24"/>
      <c r="J587" s="24"/>
      <c r="K587" s="24"/>
      <c r="L587" s="24"/>
      <c r="M587" s="24"/>
      <c r="N587" s="24">
        <f>D587+E587+F587+H587+I587+K587+J587</f>
        <v>0</v>
      </c>
      <c r="O587" s="33">
        <v>0</v>
      </c>
      <c r="P587" s="32">
        <f t="shared" si="159"/>
        <v>0</v>
      </c>
    </row>
    <row r="588" spans="1:16" x14ac:dyDescent="0.25">
      <c r="A588" s="182"/>
      <c r="B588" s="196"/>
      <c r="C588" s="2" t="s">
        <v>52</v>
      </c>
      <c r="D588" s="24">
        <v>0</v>
      </c>
      <c r="E588" s="24"/>
      <c r="F588" s="24"/>
      <c r="G588" s="24"/>
      <c r="H588" s="24"/>
      <c r="I588" s="24"/>
      <c r="J588" s="24"/>
      <c r="K588" s="24"/>
      <c r="L588" s="24"/>
      <c r="M588" s="24"/>
      <c r="N588" s="24">
        <f>D588+E588+F588+H588+I588+K588+J588</f>
        <v>0</v>
      </c>
      <c r="O588" s="33">
        <v>0</v>
      </c>
      <c r="P588" s="32">
        <f t="shared" si="159"/>
        <v>0</v>
      </c>
    </row>
    <row r="589" spans="1:16" x14ac:dyDescent="0.25">
      <c r="A589" s="182"/>
      <c r="B589" s="196"/>
      <c r="C589" s="30" t="s">
        <v>43</v>
      </c>
      <c r="D589" s="24">
        <v>0</v>
      </c>
      <c r="E589" s="24"/>
      <c r="F589" s="24"/>
      <c r="G589" s="24"/>
      <c r="H589" s="24"/>
      <c r="I589" s="24"/>
      <c r="J589" s="24"/>
      <c r="K589" s="24"/>
      <c r="L589" s="24"/>
      <c r="M589" s="24"/>
      <c r="N589" s="24">
        <f>D589+E589+F589+H589+I589+K589+J589</f>
        <v>0</v>
      </c>
      <c r="O589" s="33">
        <v>0</v>
      </c>
      <c r="P589" s="32">
        <f t="shared" si="159"/>
        <v>0</v>
      </c>
    </row>
    <row r="590" spans="1:16" x14ac:dyDescent="0.25">
      <c r="A590" s="182"/>
      <c r="B590" s="196"/>
      <c r="C590" s="2" t="s">
        <v>44</v>
      </c>
      <c r="D590" s="24">
        <v>0</v>
      </c>
      <c r="E590" s="24"/>
      <c r="F590" s="24"/>
      <c r="G590" s="24"/>
      <c r="H590" s="24"/>
      <c r="I590" s="24"/>
      <c r="J590" s="24"/>
      <c r="K590" s="24"/>
      <c r="L590" s="24"/>
      <c r="M590" s="24"/>
      <c r="N590" s="24">
        <f>D590+E590+F590+H590+I590+K590+J590</f>
        <v>0</v>
      </c>
      <c r="O590" s="33">
        <v>0</v>
      </c>
      <c r="P590" s="32">
        <f t="shared" si="159"/>
        <v>0</v>
      </c>
    </row>
    <row r="591" spans="1:16" x14ac:dyDescent="0.25">
      <c r="A591" s="182"/>
      <c r="B591" s="197"/>
      <c r="C591" s="6" t="s">
        <v>45</v>
      </c>
      <c r="D591" s="95">
        <f>SUM(D587:D590)</f>
        <v>0</v>
      </c>
      <c r="E591" s="95">
        <f t="shared" ref="E591:P591" si="160">SUM(E587:E590)</f>
        <v>0</v>
      </c>
      <c r="F591" s="95">
        <f t="shared" si="160"/>
        <v>0</v>
      </c>
      <c r="G591" s="95"/>
      <c r="H591" s="95">
        <f t="shared" si="160"/>
        <v>0</v>
      </c>
      <c r="I591" s="95">
        <f t="shared" si="160"/>
        <v>0</v>
      </c>
      <c r="J591" s="95">
        <f t="shared" si="160"/>
        <v>0</v>
      </c>
      <c r="K591" s="95">
        <f t="shared" si="160"/>
        <v>0</v>
      </c>
      <c r="L591" s="95">
        <f t="shared" si="160"/>
        <v>0</v>
      </c>
      <c r="M591" s="95">
        <f t="shared" si="160"/>
        <v>0</v>
      </c>
      <c r="N591" s="95">
        <f t="shared" si="160"/>
        <v>0</v>
      </c>
      <c r="O591" s="49">
        <f t="shared" si="160"/>
        <v>0</v>
      </c>
      <c r="P591" s="34">
        <f t="shared" si="160"/>
        <v>0</v>
      </c>
    </row>
    <row r="592" spans="1:16" x14ac:dyDescent="0.25">
      <c r="A592" s="182"/>
      <c r="B592" s="184" t="s">
        <v>17</v>
      </c>
      <c r="C592" s="2" t="s">
        <v>39</v>
      </c>
      <c r="D592" s="24">
        <v>5173896</v>
      </c>
      <c r="E592" s="51"/>
      <c r="F592" s="24">
        <v>0</v>
      </c>
      <c r="G592" s="24"/>
      <c r="H592" s="24"/>
      <c r="I592" s="24"/>
      <c r="J592" s="24"/>
      <c r="K592" s="24"/>
      <c r="L592" s="24"/>
      <c r="M592" s="24"/>
      <c r="N592" s="24">
        <f t="shared" ref="N592:N598" si="161">D592+E592+F592+H592+I592+K592+J592</f>
        <v>5173896</v>
      </c>
      <c r="O592" s="33">
        <v>3443627</v>
      </c>
      <c r="P592" s="14">
        <f t="shared" ref="P592:P598" si="162">N592-O592</f>
        <v>1730269</v>
      </c>
    </row>
    <row r="593" spans="1:16" x14ac:dyDescent="0.25">
      <c r="A593" s="182"/>
      <c r="B593" s="184"/>
      <c r="C593" s="2" t="s">
        <v>62</v>
      </c>
      <c r="D593" s="24">
        <v>0</v>
      </c>
      <c r="E593" s="28"/>
      <c r="F593" s="24"/>
      <c r="G593" s="24"/>
      <c r="H593" s="24"/>
      <c r="I593" s="24"/>
      <c r="J593" s="24"/>
      <c r="K593" s="24"/>
      <c r="L593" s="24"/>
      <c r="M593" s="24"/>
      <c r="N593" s="24">
        <f t="shared" si="161"/>
        <v>0</v>
      </c>
      <c r="O593" s="33">
        <v>0</v>
      </c>
      <c r="P593" s="14">
        <f t="shared" si="162"/>
        <v>0</v>
      </c>
    </row>
    <row r="594" spans="1:16" x14ac:dyDescent="0.25">
      <c r="A594" s="182"/>
      <c r="B594" s="184"/>
      <c r="C594" s="2" t="s">
        <v>46</v>
      </c>
      <c r="D594" s="24">
        <v>200000</v>
      </c>
      <c r="E594" s="28"/>
      <c r="F594" s="24"/>
      <c r="G594" s="24"/>
      <c r="H594" s="24"/>
      <c r="I594" s="24"/>
      <c r="J594" s="24"/>
      <c r="K594" s="24"/>
      <c r="L594" s="24"/>
      <c r="M594" s="24"/>
      <c r="N594" s="24">
        <f t="shared" si="161"/>
        <v>200000</v>
      </c>
      <c r="O594" s="33">
        <v>100000</v>
      </c>
      <c r="P594" s="14">
        <f t="shared" si="162"/>
        <v>100000</v>
      </c>
    </row>
    <row r="595" spans="1:16" x14ac:dyDescent="0.25">
      <c r="A595" s="182"/>
      <c r="B595" s="184"/>
      <c r="C595" s="2" t="s">
        <v>47</v>
      </c>
      <c r="D595" s="24">
        <v>10000</v>
      </c>
      <c r="E595" s="28"/>
      <c r="F595" s="24"/>
      <c r="G595" s="24"/>
      <c r="H595" s="24"/>
      <c r="I595" s="24"/>
      <c r="J595" s="24"/>
      <c r="K595" s="24"/>
      <c r="L595" s="24"/>
      <c r="M595" s="24"/>
      <c r="N595" s="24">
        <f t="shared" si="161"/>
        <v>10000</v>
      </c>
      <c r="O595" s="33">
        <v>0</v>
      </c>
      <c r="P595" s="14">
        <f t="shared" si="162"/>
        <v>10000</v>
      </c>
    </row>
    <row r="596" spans="1:16" x14ac:dyDescent="0.25">
      <c r="A596" s="182"/>
      <c r="B596" s="184"/>
      <c r="C596" s="2" t="s">
        <v>48</v>
      </c>
      <c r="D596" s="24">
        <v>0</v>
      </c>
      <c r="E596" s="28">
        <f>4048-4048</f>
        <v>0</v>
      </c>
      <c r="F596" s="24"/>
      <c r="G596" s="24"/>
      <c r="H596" s="24"/>
      <c r="I596" s="24"/>
      <c r="J596" s="24"/>
      <c r="K596" s="24"/>
      <c r="L596" s="24"/>
      <c r="M596" s="24"/>
      <c r="N596" s="24">
        <f t="shared" si="161"/>
        <v>0</v>
      </c>
      <c r="O596" s="33">
        <v>0</v>
      </c>
      <c r="P596" s="21">
        <f t="shared" si="162"/>
        <v>0</v>
      </c>
    </row>
    <row r="597" spans="1:16" x14ac:dyDescent="0.25">
      <c r="A597" s="182"/>
      <c r="B597" s="184"/>
      <c r="C597" s="2" t="s">
        <v>49</v>
      </c>
      <c r="D597" s="24">
        <v>24000</v>
      </c>
      <c r="E597" s="28"/>
      <c r="F597" s="24"/>
      <c r="G597" s="24"/>
      <c r="H597" s="24"/>
      <c r="I597" s="24"/>
      <c r="J597" s="24"/>
      <c r="K597" s="24"/>
      <c r="L597" s="24"/>
      <c r="M597" s="24"/>
      <c r="N597" s="24">
        <f t="shared" si="161"/>
        <v>24000</v>
      </c>
      <c r="O597" s="33">
        <v>12000</v>
      </c>
      <c r="P597" s="14">
        <f t="shared" si="162"/>
        <v>12000</v>
      </c>
    </row>
    <row r="598" spans="1:16" x14ac:dyDescent="0.25">
      <c r="A598" s="182"/>
      <c r="B598" s="184"/>
      <c r="C598" s="2" t="s">
        <v>50</v>
      </c>
      <c r="D598" s="24">
        <v>0</v>
      </c>
      <c r="E598" s="51"/>
      <c r="F598" s="24"/>
      <c r="G598" s="24"/>
      <c r="H598" s="24"/>
      <c r="I598" s="24"/>
      <c r="J598" s="24"/>
      <c r="K598" s="24"/>
      <c r="L598" s="24"/>
      <c r="M598" s="24"/>
      <c r="N598" s="24">
        <f t="shared" si="161"/>
        <v>0</v>
      </c>
      <c r="O598" s="32">
        <v>0</v>
      </c>
      <c r="P598" s="21">
        <f t="shared" si="162"/>
        <v>0</v>
      </c>
    </row>
    <row r="599" spans="1:16" x14ac:dyDescent="0.25">
      <c r="A599" s="182"/>
      <c r="B599" s="184"/>
      <c r="C599" s="6" t="s">
        <v>40</v>
      </c>
      <c r="D599" s="95">
        <f>SUM(D592:D598)</f>
        <v>5407896</v>
      </c>
      <c r="E599" s="95">
        <f t="shared" ref="E599:P599" si="163">SUM(E592:E598)</f>
        <v>0</v>
      </c>
      <c r="F599" s="95">
        <f t="shared" si="163"/>
        <v>0</v>
      </c>
      <c r="G599" s="95"/>
      <c r="H599" s="95">
        <f t="shared" si="163"/>
        <v>0</v>
      </c>
      <c r="I599" s="95">
        <f t="shared" si="163"/>
        <v>0</v>
      </c>
      <c r="J599" s="95">
        <f t="shared" si="163"/>
        <v>0</v>
      </c>
      <c r="K599" s="95">
        <f t="shared" si="163"/>
        <v>0</v>
      </c>
      <c r="L599" s="95">
        <f t="shared" si="163"/>
        <v>0</v>
      </c>
      <c r="M599" s="95">
        <f t="shared" si="163"/>
        <v>0</v>
      </c>
      <c r="N599" s="95">
        <f t="shared" si="163"/>
        <v>5407896</v>
      </c>
      <c r="O599" s="49">
        <f t="shared" si="163"/>
        <v>3555627</v>
      </c>
      <c r="P599" s="26">
        <f t="shared" si="163"/>
        <v>1852269</v>
      </c>
    </row>
    <row r="600" spans="1:16" x14ac:dyDescent="0.25">
      <c r="A600" s="182"/>
      <c r="B600" s="184"/>
      <c r="C600" s="57" t="s">
        <v>41</v>
      </c>
      <c r="D600" s="96">
        <v>976382</v>
      </c>
      <c r="E600" s="96"/>
      <c r="F600" s="96"/>
      <c r="G600" s="96"/>
      <c r="H600" s="96"/>
      <c r="I600" s="96"/>
      <c r="J600" s="96"/>
      <c r="K600" s="96"/>
      <c r="L600" s="96"/>
      <c r="M600" s="96"/>
      <c r="N600" s="97">
        <f>D600+E600+F600+H600+I600+K600</f>
        <v>976382</v>
      </c>
      <c r="O600" s="129">
        <v>613672</v>
      </c>
      <c r="P600" s="55">
        <f t="shared" ref="P600:P611" si="164">N600-O600</f>
        <v>362710</v>
      </c>
    </row>
    <row r="601" spans="1:16" x14ac:dyDescent="0.25">
      <c r="A601" s="182"/>
      <c r="B601" s="184"/>
      <c r="C601" s="2" t="s">
        <v>42</v>
      </c>
      <c r="D601" s="24">
        <v>40000</v>
      </c>
      <c r="E601" s="24">
        <f>-150000-87373-1310</f>
        <v>-238683</v>
      </c>
      <c r="F601" s="24">
        <v>377165</v>
      </c>
      <c r="G601" s="24">
        <v>-26167</v>
      </c>
      <c r="H601" s="24"/>
      <c r="I601" s="24"/>
      <c r="J601" s="24">
        <v>216220</v>
      </c>
      <c r="K601" s="24"/>
      <c r="L601" s="24"/>
      <c r="M601" s="24"/>
      <c r="N601" s="24">
        <f>D601+E601+F601+H601+I601+K601+J601+G601</f>
        <v>368535</v>
      </c>
      <c r="O601" s="33">
        <v>29686</v>
      </c>
      <c r="P601" s="14">
        <f t="shared" si="164"/>
        <v>338849</v>
      </c>
    </row>
    <row r="602" spans="1:16" x14ac:dyDescent="0.25">
      <c r="A602" s="182"/>
      <c r="B602" s="184"/>
      <c r="C602" s="2" t="s">
        <v>52</v>
      </c>
      <c r="D602" s="24">
        <v>90000</v>
      </c>
      <c r="E602" s="24">
        <f>150000+87373+1310</f>
        <v>238683</v>
      </c>
      <c r="F602" s="24"/>
      <c r="G602" s="24"/>
      <c r="H602" s="24"/>
      <c r="I602" s="24"/>
      <c r="J602" s="24"/>
      <c r="K602" s="24"/>
      <c r="L602" s="24"/>
      <c r="M602" s="24"/>
      <c r="N602" s="24">
        <f>D602+E602+F602+H602+I602+K602+J602+L602+M602</f>
        <v>328683</v>
      </c>
      <c r="O602" s="33">
        <v>107058</v>
      </c>
      <c r="P602" s="21">
        <f t="shared" si="164"/>
        <v>221625</v>
      </c>
    </row>
    <row r="603" spans="1:16" x14ac:dyDescent="0.25">
      <c r="A603" s="182"/>
      <c r="B603" s="184"/>
      <c r="C603" s="30" t="s">
        <v>54</v>
      </c>
      <c r="D603" s="24">
        <v>0</v>
      </c>
      <c r="E603" s="24"/>
      <c r="F603" s="24"/>
      <c r="G603" s="24"/>
      <c r="H603" s="24"/>
      <c r="I603" s="24"/>
      <c r="J603" s="24"/>
      <c r="K603" s="24"/>
      <c r="L603" s="24"/>
      <c r="M603" s="24"/>
      <c r="N603" s="24">
        <f t="shared" ref="N603:N611" si="165">D603+E603+F603+H603+I603+K603+J603</f>
        <v>0</v>
      </c>
      <c r="O603" s="33">
        <v>0</v>
      </c>
      <c r="P603" s="33">
        <f t="shared" si="164"/>
        <v>0</v>
      </c>
    </row>
    <row r="604" spans="1:16" x14ac:dyDescent="0.25">
      <c r="A604" s="182"/>
      <c r="B604" s="184"/>
      <c r="C604" s="2" t="s">
        <v>55</v>
      </c>
      <c r="D604" s="24">
        <v>0</v>
      </c>
      <c r="E604" s="24"/>
      <c r="F604" s="24"/>
      <c r="G604" s="24"/>
      <c r="H604" s="24"/>
      <c r="I604" s="24"/>
      <c r="J604" s="24"/>
      <c r="K604" s="24"/>
      <c r="L604" s="24"/>
      <c r="M604" s="24"/>
      <c r="N604" s="24">
        <f t="shared" si="165"/>
        <v>0</v>
      </c>
      <c r="O604" s="33">
        <v>0</v>
      </c>
      <c r="P604" s="14">
        <f t="shared" si="164"/>
        <v>0</v>
      </c>
    </row>
    <row r="605" spans="1:16" x14ac:dyDescent="0.25">
      <c r="A605" s="182"/>
      <c r="B605" s="184"/>
      <c r="C605" s="2" t="s">
        <v>61</v>
      </c>
      <c r="D605" s="24">
        <v>0</v>
      </c>
      <c r="E605" s="24"/>
      <c r="F605" s="24"/>
      <c r="G605" s="24"/>
      <c r="H605" s="24"/>
      <c r="I605" s="24"/>
      <c r="J605" s="24"/>
      <c r="K605" s="24"/>
      <c r="L605" s="24"/>
      <c r="M605" s="24"/>
      <c r="N605" s="24">
        <f t="shared" si="165"/>
        <v>0</v>
      </c>
      <c r="O605" s="33">
        <v>0</v>
      </c>
      <c r="P605" s="14">
        <f t="shared" si="164"/>
        <v>0</v>
      </c>
    </row>
    <row r="606" spans="1:16" x14ac:dyDescent="0.25">
      <c r="A606" s="182"/>
      <c r="B606" s="184"/>
      <c r="C606" s="2" t="s">
        <v>56</v>
      </c>
      <c r="D606" s="24">
        <v>50000</v>
      </c>
      <c r="E606" s="24"/>
      <c r="F606" s="24"/>
      <c r="G606" s="24"/>
      <c r="H606" s="24"/>
      <c r="I606" s="24"/>
      <c r="J606" s="24"/>
      <c r="K606" s="24"/>
      <c r="L606" s="24"/>
      <c r="M606" s="24"/>
      <c r="N606" s="24">
        <f t="shared" si="165"/>
        <v>50000</v>
      </c>
      <c r="O606" s="33">
        <v>0</v>
      </c>
      <c r="P606" s="14">
        <f t="shared" si="164"/>
        <v>50000</v>
      </c>
    </row>
    <row r="607" spans="1:16" x14ac:dyDescent="0.25">
      <c r="A607" s="182"/>
      <c r="B607" s="184"/>
      <c r="C607" s="2" t="s">
        <v>43</v>
      </c>
      <c r="D607" s="24">
        <v>16800</v>
      </c>
      <c r="E607" s="24"/>
      <c r="F607" s="28"/>
      <c r="G607" s="28"/>
      <c r="H607" s="24"/>
      <c r="I607" s="24"/>
      <c r="J607" s="24"/>
      <c r="K607" s="24"/>
      <c r="L607" s="24"/>
      <c r="M607" s="24"/>
      <c r="N607" s="24">
        <f t="shared" si="165"/>
        <v>16800</v>
      </c>
      <c r="O607" s="33">
        <v>8400</v>
      </c>
      <c r="P607" s="14">
        <f t="shared" si="164"/>
        <v>8400</v>
      </c>
    </row>
    <row r="608" spans="1:16" x14ac:dyDescent="0.25">
      <c r="A608" s="182"/>
      <c r="B608" s="184"/>
      <c r="C608" s="2" t="s">
        <v>57</v>
      </c>
      <c r="D608" s="24">
        <v>25000</v>
      </c>
      <c r="E608" s="24">
        <v>-2460</v>
      </c>
      <c r="F608" s="28"/>
      <c r="G608" s="28"/>
      <c r="H608" s="24">
        <v>472913</v>
      </c>
      <c r="I608" s="24"/>
      <c r="J608" s="24"/>
      <c r="K608" s="24"/>
      <c r="L608" s="24"/>
      <c r="M608" s="24"/>
      <c r="N608" s="24">
        <f t="shared" si="165"/>
        <v>495453</v>
      </c>
      <c r="O608" s="33">
        <v>0</v>
      </c>
      <c r="P608" s="14">
        <f t="shared" si="164"/>
        <v>495453</v>
      </c>
    </row>
    <row r="609" spans="1:16" x14ac:dyDescent="0.25">
      <c r="A609" s="182"/>
      <c r="B609" s="184"/>
      <c r="C609" s="2" t="s">
        <v>58</v>
      </c>
      <c r="D609" s="24">
        <v>5000</v>
      </c>
      <c r="E609" s="24">
        <v>2460</v>
      </c>
      <c r="F609" s="28"/>
      <c r="G609" s="28"/>
      <c r="H609" s="24"/>
      <c r="I609" s="24"/>
      <c r="J609" s="24">
        <v>20000</v>
      </c>
      <c r="K609" s="24"/>
      <c r="L609" s="24"/>
      <c r="M609" s="24"/>
      <c r="N609" s="24">
        <f t="shared" si="165"/>
        <v>27460</v>
      </c>
      <c r="O609" s="33">
        <v>7460</v>
      </c>
      <c r="P609" s="14">
        <f t="shared" si="164"/>
        <v>20000</v>
      </c>
    </row>
    <row r="610" spans="1:16" x14ac:dyDescent="0.25">
      <c r="A610" s="182"/>
      <c r="B610" s="184"/>
      <c r="C610" s="2" t="s">
        <v>44</v>
      </c>
      <c r="D610" s="24">
        <v>50950</v>
      </c>
      <c r="E610" s="24"/>
      <c r="F610" s="28">
        <v>101835</v>
      </c>
      <c r="G610" s="28">
        <v>-7065</v>
      </c>
      <c r="H610" s="24">
        <v>127687</v>
      </c>
      <c r="I610" s="24"/>
      <c r="J610" s="24">
        <v>63780</v>
      </c>
      <c r="K610" s="24"/>
      <c r="L610" s="24"/>
      <c r="M610" s="24"/>
      <c r="N610" s="24">
        <f>D610+E610+F610+H610+I610+K610+J610+G610</f>
        <v>337187</v>
      </c>
      <c r="O610" s="33">
        <v>33263</v>
      </c>
      <c r="P610" s="21">
        <f t="shared" si="164"/>
        <v>303924</v>
      </c>
    </row>
    <row r="611" spans="1:16" x14ac:dyDescent="0.25">
      <c r="A611" s="182"/>
      <c r="B611" s="184"/>
      <c r="C611" s="2" t="s">
        <v>59</v>
      </c>
      <c r="D611" s="24">
        <v>0</v>
      </c>
      <c r="E611" s="24"/>
      <c r="F611" s="28"/>
      <c r="G611" s="28"/>
      <c r="H611" s="24"/>
      <c r="I611" s="24"/>
      <c r="J611" s="24"/>
      <c r="K611" s="24"/>
      <c r="L611" s="24"/>
      <c r="M611" s="24"/>
      <c r="N611" s="24">
        <f t="shared" si="165"/>
        <v>0</v>
      </c>
      <c r="O611" s="33">
        <v>0</v>
      </c>
      <c r="P611" s="14">
        <f t="shared" si="164"/>
        <v>0</v>
      </c>
    </row>
    <row r="612" spans="1:16" x14ac:dyDescent="0.25">
      <c r="A612" s="182"/>
      <c r="B612" s="184"/>
      <c r="C612" s="6" t="s">
        <v>45</v>
      </c>
      <c r="D612" s="95">
        <f>SUM(D601:D611)</f>
        <v>277750</v>
      </c>
      <c r="E612" s="95">
        <f t="shared" ref="E612:P612" si="166">SUM(E601:E611)</f>
        <v>0</v>
      </c>
      <c r="F612" s="95">
        <f t="shared" si="166"/>
        <v>479000</v>
      </c>
      <c r="G612" s="95">
        <f t="shared" si="166"/>
        <v>-33232</v>
      </c>
      <c r="H612" s="95">
        <f t="shared" si="166"/>
        <v>600600</v>
      </c>
      <c r="I612" s="95">
        <f t="shared" si="166"/>
        <v>0</v>
      </c>
      <c r="J612" s="95">
        <f t="shared" si="166"/>
        <v>300000</v>
      </c>
      <c r="K612" s="95">
        <f t="shared" si="166"/>
        <v>0</v>
      </c>
      <c r="L612" s="95">
        <f t="shared" si="166"/>
        <v>0</v>
      </c>
      <c r="M612" s="95">
        <f t="shared" si="166"/>
        <v>0</v>
      </c>
      <c r="N612" s="95">
        <f>SUM(N601:N611)</f>
        <v>1624118</v>
      </c>
      <c r="O612" s="49">
        <f t="shared" si="166"/>
        <v>185867</v>
      </c>
      <c r="P612" s="26">
        <f t="shared" si="166"/>
        <v>1438251</v>
      </c>
    </row>
    <row r="613" spans="1:16" x14ac:dyDescent="0.25">
      <c r="A613" s="183" t="s">
        <v>99</v>
      </c>
      <c r="B613" s="185" t="s">
        <v>17</v>
      </c>
      <c r="C613" s="2" t="s">
        <v>39</v>
      </c>
      <c r="D613" s="24">
        <v>849917</v>
      </c>
      <c r="E613" s="24"/>
      <c r="F613" s="24"/>
      <c r="G613" s="24"/>
      <c r="H613" s="24"/>
      <c r="I613" s="24"/>
      <c r="J613" s="24"/>
      <c r="K613" s="24"/>
      <c r="L613" s="24"/>
      <c r="M613" s="24"/>
      <c r="N613" s="24">
        <f>D613+E613+F613+H613+I613+K613+J613+L613</f>
        <v>849917</v>
      </c>
      <c r="O613" s="33">
        <v>555435</v>
      </c>
      <c r="P613" s="14">
        <f t="shared" ref="P613:P614" si="167">N613-O613</f>
        <v>294482</v>
      </c>
    </row>
    <row r="614" spans="1:16" x14ac:dyDescent="0.25">
      <c r="A614" s="195"/>
      <c r="B614" s="197"/>
      <c r="C614" s="2" t="s">
        <v>41</v>
      </c>
      <c r="D614" s="24">
        <v>141373</v>
      </c>
      <c r="E614" s="24"/>
      <c r="F614" s="24"/>
      <c r="G614" s="24"/>
      <c r="H614" s="24"/>
      <c r="I614" s="24"/>
      <c r="J614" s="24"/>
      <c r="K614" s="24"/>
      <c r="L614" s="24"/>
      <c r="M614" s="24"/>
      <c r="N614" s="24">
        <f>D614+E614+F614+H614+I614+K614+J614+L614</f>
        <v>141373</v>
      </c>
      <c r="O614" s="33">
        <v>95733</v>
      </c>
      <c r="P614" s="14">
        <f t="shared" si="167"/>
        <v>45640</v>
      </c>
    </row>
    <row r="615" spans="1:16" x14ac:dyDescent="0.25">
      <c r="A615" s="186" t="s">
        <v>127</v>
      </c>
      <c r="B615" s="187"/>
      <c r="C615" s="188"/>
      <c r="D615" s="113">
        <f>SUM(D585+D586+D591+D599+D600+D612+D613+D614)</f>
        <v>8789285</v>
      </c>
      <c r="E615" s="101">
        <f>SUM(E585,E586,E591,E599,E600,E612,E613,E614)</f>
        <v>0</v>
      </c>
      <c r="F615" s="101">
        <f t="shared" ref="F615:P615" si="168">SUM(F585,F586,F591,F599,F600,F612,F613,F614)</f>
        <v>479000</v>
      </c>
      <c r="G615" s="101">
        <f t="shared" si="168"/>
        <v>-33232</v>
      </c>
      <c r="H615" s="101">
        <f t="shared" si="168"/>
        <v>600600</v>
      </c>
      <c r="I615" s="101">
        <f t="shared" si="168"/>
        <v>0</v>
      </c>
      <c r="J615" s="101">
        <f t="shared" si="168"/>
        <v>300000</v>
      </c>
      <c r="K615" s="101">
        <f t="shared" si="168"/>
        <v>0</v>
      </c>
      <c r="L615" s="101">
        <f t="shared" si="168"/>
        <v>0</v>
      </c>
      <c r="M615" s="101">
        <f t="shared" si="168"/>
        <v>0</v>
      </c>
      <c r="N615" s="101">
        <f t="shared" si="168"/>
        <v>10135653</v>
      </c>
      <c r="O615" s="133">
        <f>SUM(O585,O586,O591,O599,O600,O612,O613,O614)</f>
        <v>5726710</v>
      </c>
      <c r="P615" s="60">
        <f t="shared" si="168"/>
        <v>4408943</v>
      </c>
    </row>
    <row r="616" spans="1:16" x14ac:dyDescent="0.25">
      <c r="A616" s="182" t="s">
        <v>76</v>
      </c>
      <c r="B616" s="4" t="s">
        <v>5</v>
      </c>
      <c r="C616" s="2" t="s">
        <v>66</v>
      </c>
      <c r="D616" s="24">
        <v>0</v>
      </c>
      <c r="E616" s="24"/>
      <c r="F616" s="24"/>
      <c r="G616" s="24"/>
      <c r="H616" s="24"/>
      <c r="I616" s="24"/>
      <c r="J616" s="24"/>
      <c r="K616" s="24"/>
      <c r="L616" s="24"/>
      <c r="M616" s="24"/>
      <c r="N616" s="24">
        <f>D616+E616+F616+H616+I616+K616+J616</f>
        <v>0</v>
      </c>
      <c r="O616" s="33">
        <v>0</v>
      </c>
      <c r="P616" s="14">
        <f t="shared" ref="P616:P620" si="169">N616-O616</f>
        <v>0</v>
      </c>
    </row>
    <row r="617" spans="1:16" x14ac:dyDescent="0.25">
      <c r="A617" s="182"/>
      <c r="B617" s="184" t="s">
        <v>38</v>
      </c>
      <c r="C617" s="6" t="s">
        <v>39</v>
      </c>
      <c r="D617" s="95">
        <v>0</v>
      </c>
      <c r="E617" s="95">
        <f t="shared" ref="E617:P617" si="170">E616</f>
        <v>0</v>
      </c>
      <c r="F617" s="95">
        <f t="shared" si="170"/>
        <v>0</v>
      </c>
      <c r="G617" s="95"/>
      <c r="H617" s="95">
        <f t="shared" si="170"/>
        <v>0</v>
      </c>
      <c r="I617" s="95">
        <f t="shared" si="170"/>
        <v>0</v>
      </c>
      <c r="J617" s="95">
        <f t="shared" si="170"/>
        <v>0</v>
      </c>
      <c r="K617" s="95">
        <f t="shared" si="170"/>
        <v>0</v>
      </c>
      <c r="L617" s="95">
        <f t="shared" si="170"/>
        <v>0</v>
      </c>
      <c r="M617" s="95">
        <f t="shared" si="170"/>
        <v>0</v>
      </c>
      <c r="N617" s="95">
        <f t="shared" si="170"/>
        <v>0</v>
      </c>
      <c r="O617" s="18">
        <v>0</v>
      </c>
      <c r="P617" s="37">
        <f t="shared" si="170"/>
        <v>0</v>
      </c>
    </row>
    <row r="618" spans="1:16" x14ac:dyDescent="0.25">
      <c r="A618" s="182"/>
      <c r="B618" s="184"/>
      <c r="C618" s="57" t="s">
        <v>41</v>
      </c>
      <c r="D618" s="96">
        <v>0</v>
      </c>
      <c r="E618" s="96"/>
      <c r="F618" s="96"/>
      <c r="G618" s="96"/>
      <c r="H618" s="96"/>
      <c r="I618" s="96"/>
      <c r="J618" s="96"/>
      <c r="K618" s="96"/>
      <c r="L618" s="96"/>
      <c r="M618" s="96"/>
      <c r="N618" s="97">
        <f>D618+E618+F618+H618+I618+K618</f>
        <v>0</v>
      </c>
      <c r="O618" s="129">
        <v>0</v>
      </c>
      <c r="P618" s="55">
        <f t="shared" si="169"/>
        <v>0</v>
      </c>
    </row>
    <row r="619" spans="1:16" x14ac:dyDescent="0.25">
      <c r="A619" s="182"/>
      <c r="B619" s="184"/>
      <c r="C619" s="2" t="s">
        <v>42</v>
      </c>
      <c r="D619" s="24">
        <v>0</v>
      </c>
      <c r="E619" s="24"/>
      <c r="F619" s="24"/>
      <c r="G619" s="24"/>
      <c r="H619" s="24"/>
      <c r="I619" s="24"/>
      <c r="J619" s="24"/>
      <c r="K619" s="24"/>
      <c r="L619" s="24"/>
      <c r="M619" s="24"/>
      <c r="N619" s="24">
        <f>D619+E619+F619+H619+I619+K619+J619</f>
        <v>0</v>
      </c>
      <c r="O619" s="33">
        <v>0</v>
      </c>
      <c r="P619" s="14">
        <f t="shared" si="169"/>
        <v>0</v>
      </c>
    </row>
    <row r="620" spans="1:16" x14ac:dyDescent="0.25">
      <c r="A620" s="182"/>
      <c r="B620" s="184"/>
      <c r="C620" s="2" t="s">
        <v>44</v>
      </c>
      <c r="D620" s="24">
        <v>0</v>
      </c>
      <c r="E620" s="24"/>
      <c r="F620" s="24"/>
      <c r="G620" s="24"/>
      <c r="H620" s="24"/>
      <c r="I620" s="24"/>
      <c r="J620" s="24"/>
      <c r="K620" s="24"/>
      <c r="L620" s="24"/>
      <c r="M620" s="24"/>
      <c r="N620" s="24">
        <f>D620+E620+F620+H620+I620+K620+J620</f>
        <v>0</v>
      </c>
      <c r="O620" s="33">
        <v>0</v>
      </c>
      <c r="P620" s="14">
        <f t="shared" si="169"/>
        <v>0</v>
      </c>
    </row>
    <row r="621" spans="1:16" x14ac:dyDescent="0.25">
      <c r="A621" s="182"/>
      <c r="B621" s="184"/>
      <c r="C621" s="6" t="s">
        <v>45</v>
      </c>
      <c r="D621" s="95">
        <v>0</v>
      </c>
      <c r="E621" s="95">
        <f t="shared" ref="E621:P621" si="171">SUM(E619:E620)</f>
        <v>0</v>
      </c>
      <c r="F621" s="95">
        <f t="shared" si="171"/>
        <v>0</v>
      </c>
      <c r="G621" s="95"/>
      <c r="H621" s="95">
        <f t="shared" si="171"/>
        <v>0</v>
      </c>
      <c r="I621" s="95">
        <f t="shared" si="171"/>
        <v>0</v>
      </c>
      <c r="J621" s="95">
        <f t="shared" si="171"/>
        <v>0</v>
      </c>
      <c r="K621" s="95">
        <f t="shared" si="171"/>
        <v>0</v>
      </c>
      <c r="L621" s="95">
        <f t="shared" si="171"/>
        <v>0</v>
      </c>
      <c r="M621" s="95">
        <f t="shared" si="171"/>
        <v>0</v>
      </c>
      <c r="N621" s="95">
        <f t="shared" si="171"/>
        <v>0</v>
      </c>
      <c r="O621" s="49">
        <f t="shared" si="171"/>
        <v>0</v>
      </c>
      <c r="P621" s="26">
        <f t="shared" si="171"/>
        <v>0</v>
      </c>
    </row>
    <row r="622" spans="1:16" x14ac:dyDescent="0.25">
      <c r="A622" s="182"/>
      <c r="B622" s="184" t="s">
        <v>17</v>
      </c>
      <c r="C622" s="2" t="s">
        <v>39</v>
      </c>
      <c r="D622" s="24">
        <v>5087054</v>
      </c>
      <c r="E622" s="24"/>
      <c r="F622" s="24"/>
      <c r="G622" s="24"/>
      <c r="H622" s="24"/>
      <c r="I622" s="24"/>
      <c r="J622" s="24"/>
      <c r="K622" s="24"/>
      <c r="L622" s="24"/>
      <c r="M622" s="24"/>
      <c r="N622" s="24">
        <f t="shared" ref="N622:N628" si="172">D622+E622+F622+H622+I622+K622+J622</f>
        <v>5087054</v>
      </c>
      <c r="O622" s="33">
        <v>3356786</v>
      </c>
      <c r="P622" s="14">
        <f t="shared" ref="P622:P628" si="173">N622-O622</f>
        <v>1730268</v>
      </c>
    </row>
    <row r="623" spans="1:16" x14ac:dyDescent="0.25">
      <c r="A623" s="182"/>
      <c r="B623" s="184"/>
      <c r="C623" s="2" t="s">
        <v>46</v>
      </c>
      <c r="D623" s="24">
        <v>200000</v>
      </c>
      <c r="E623" s="24"/>
      <c r="F623" s="24"/>
      <c r="G623" s="24"/>
      <c r="H623" s="24"/>
      <c r="I623" s="24"/>
      <c r="J623" s="24"/>
      <c r="K623" s="24"/>
      <c r="L623" s="24"/>
      <c r="M623" s="24"/>
      <c r="N623" s="24">
        <f t="shared" si="172"/>
        <v>200000</v>
      </c>
      <c r="O623" s="33">
        <v>100000</v>
      </c>
      <c r="P623" s="14">
        <f t="shared" si="173"/>
        <v>100000</v>
      </c>
    </row>
    <row r="624" spans="1:16" x14ac:dyDescent="0.25">
      <c r="A624" s="182"/>
      <c r="B624" s="184"/>
      <c r="C624" s="2" t="s">
        <v>47</v>
      </c>
      <c r="D624" s="24">
        <v>10000</v>
      </c>
      <c r="E624" s="24"/>
      <c r="F624" s="24"/>
      <c r="G624" s="24"/>
      <c r="H624" s="24"/>
      <c r="I624" s="24"/>
      <c r="J624" s="24"/>
      <c r="K624" s="24"/>
      <c r="L624" s="24"/>
      <c r="M624" s="24"/>
      <c r="N624" s="24">
        <f t="shared" si="172"/>
        <v>10000</v>
      </c>
      <c r="O624" s="33">
        <v>0</v>
      </c>
      <c r="P624" s="14">
        <f t="shared" si="173"/>
        <v>10000</v>
      </c>
    </row>
    <row r="625" spans="1:16" x14ac:dyDescent="0.25">
      <c r="A625" s="182"/>
      <c r="B625" s="184"/>
      <c r="C625" s="2" t="s">
        <v>48</v>
      </c>
      <c r="D625" s="24">
        <v>0</v>
      </c>
      <c r="E625" s="24"/>
      <c r="F625" s="24"/>
      <c r="G625" s="24"/>
      <c r="H625" s="24"/>
      <c r="I625" s="24"/>
      <c r="J625" s="24"/>
      <c r="K625" s="24"/>
      <c r="L625" s="24"/>
      <c r="M625" s="24"/>
      <c r="N625" s="24">
        <f t="shared" si="172"/>
        <v>0</v>
      </c>
      <c r="O625" s="33">
        <v>0</v>
      </c>
      <c r="P625" s="14">
        <f t="shared" si="173"/>
        <v>0</v>
      </c>
    </row>
    <row r="626" spans="1:16" x14ac:dyDescent="0.25">
      <c r="A626" s="182"/>
      <c r="B626" s="184"/>
      <c r="C626" s="2" t="s">
        <v>49</v>
      </c>
      <c r="D626" s="24">
        <v>24000</v>
      </c>
      <c r="E626" s="24"/>
      <c r="F626" s="24"/>
      <c r="G626" s="24"/>
      <c r="H626" s="24"/>
      <c r="I626" s="24"/>
      <c r="J626" s="24"/>
      <c r="K626" s="24"/>
      <c r="L626" s="24"/>
      <c r="M626" s="24"/>
      <c r="N626" s="24">
        <f t="shared" si="172"/>
        <v>24000</v>
      </c>
      <c r="O626" s="33">
        <v>12000</v>
      </c>
      <c r="P626" s="14">
        <f t="shared" si="173"/>
        <v>12000</v>
      </c>
    </row>
    <row r="627" spans="1:16" x14ac:dyDescent="0.25">
      <c r="A627" s="182"/>
      <c r="B627" s="184"/>
      <c r="C627" s="2" t="s">
        <v>50</v>
      </c>
      <c r="D627" s="24">
        <v>0</v>
      </c>
      <c r="E627" s="24"/>
      <c r="F627" s="24"/>
      <c r="G627" s="24"/>
      <c r="H627" s="24"/>
      <c r="I627" s="24"/>
      <c r="J627" s="24"/>
      <c r="K627" s="24"/>
      <c r="L627" s="24"/>
      <c r="M627" s="24"/>
      <c r="N627" s="24">
        <f t="shared" si="172"/>
        <v>0</v>
      </c>
      <c r="O627" s="33">
        <v>0</v>
      </c>
      <c r="P627" s="14">
        <f t="shared" si="173"/>
        <v>0</v>
      </c>
    </row>
    <row r="628" spans="1:16" x14ac:dyDescent="0.25">
      <c r="A628" s="182"/>
      <c r="B628" s="184"/>
      <c r="C628" s="2" t="s">
        <v>51</v>
      </c>
      <c r="D628" s="24">
        <v>0</v>
      </c>
      <c r="E628" s="24"/>
      <c r="F628" s="24"/>
      <c r="G628" s="24"/>
      <c r="H628" s="24"/>
      <c r="I628" s="24"/>
      <c r="J628" s="24"/>
      <c r="K628" s="24"/>
      <c r="L628" s="24"/>
      <c r="M628" s="24"/>
      <c r="N628" s="24">
        <f t="shared" si="172"/>
        <v>0</v>
      </c>
      <c r="O628" s="33">
        <v>0</v>
      </c>
      <c r="P628" s="14">
        <f t="shared" si="173"/>
        <v>0</v>
      </c>
    </row>
    <row r="629" spans="1:16" x14ac:dyDescent="0.25">
      <c r="A629" s="182"/>
      <c r="B629" s="184"/>
      <c r="C629" s="6" t="s">
        <v>40</v>
      </c>
      <c r="D629" s="95">
        <f>SUM(D622:D628)</f>
        <v>5321054</v>
      </c>
      <c r="E629" s="95">
        <f t="shared" ref="E629:P629" si="174">SUM(E622:E628)</f>
        <v>0</v>
      </c>
      <c r="F629" s="95">
        <f t="shared" si="174"/>
        <v>0</v>
      </c>
      <c r="G629" s="95"/>
      <c r="H629" s="95">
        <f t="shared" si="174"/>
        <v>0</v>
      </c>
      <c r="I629" s="95">
        <f t="shared" si="174"/>
        <v>0</v>
      </c>
      <c r="J629" s="95">
        <f t="shared" si="174"/>
        <v>0</v>
      </c>
      <c r="K629" s="95">
        <f t="shared" si="174"/>
        <v>0</v>
      </c>
      <c r="L629" s="95">
        <f t="shared" si="174"/>
        <v>0</v>
      </c>
      <c r="M629" s="95">
        <f t="shared" si="174"/>
        <v>0</v>
      </c>
      <c r="N629" s="95">
        <f t="shared" si="174"/>
        <v>5321054</v>
      </c>
      <c r="O629" s="49">
        <f t="shared" si="174"/>
        <v>3468786</v>
      </c>
      <c r="P629" s="26">
        <f t="shared" si="174"/>
        <v>1852268</v>
      </c>
    </row>
    <row r="630" spans="1:16" x14ac:dyDescent="0.25">
      <c r="A630" s="182"/>
      <c r="B630" s="184"/>
      <c r="C630" s="57" t="s">
        <v>41</v>
      </c>
      <c r="D630" s="96">
        <v>961185</v>
      </c>
      <c r="E630" s="96"/>
      <c r="F630" s="96"/>
      <c r="G630" s="96"/>
      <c r="H630" s="96"/>
      <c r="I630" s="96"/>
      <c r="J630" s="96"/>
      <c r="K630" s="96"/>
      <c r="L630" s="96"/>
      <c r="M630" s="96"/>
      <c r="N630" s="97">
        <f>D630+E630+F630+H630+I630+K630</f>
        <v>961185</v>
      </c>
      <c r="O630" s="129">
        <v>598482</v>
      </c>
      <c r="P630" s="55">
        <f t="shared" ref="P630:P640" si="175">N630-O630</f>
        <v>362703</v>
      </c>
    </row>
    <row r="631" spans="1:16" x14ac:dyDescent="0.25">
      <c r="A631" s="182"/>
      <c r="B631" s="184"/>
      <c r="C631" s="2" t="s">
        <v>42</v>
      </c>
      <c r="D631" s="24">
        <v>30000</v>
      </c>
      <c r="E631" s="24">
        <f>30000+8473+1032</f>
        <v>39505</v>
      </c>
      <c r="F631" s="24"/>
      <c r="G631" s="24"/>
      <c r="H631" s="24">
        <v>200000</v>
      </c>
      <c r="I631" s="24"/>
      <c r="J631" s="24"/>
      <c r="K631" s="24"/>
      <c r="L631" s="24"/>
      <c r="M631" s="24"/>
      <c r="N631" s="24">
        <f t="shared" ref="N631:N637" si="176">D631+E631+F631+H631+I631+K631+J631</f>
        <v>269505</v>
      </c>
      <c r="O631" s="33">
        <v>31032</v>
      </c>
      <c r="P631" s="14">
        <f t="shared" si="175"/>
        <v>238473</v>
      </c>
    </row>
    <row r="632" spans="1:16" x14ac:dyDescent="0.25">
      <c r="A632" s="182"/>
      <c r="B632" s="184"/>
      <c r="C632" s="2" t="s">
        <v>52</v>
      </c>
      <c r="D632" s="24">
        <v>10000</v>
      </c>
      <c r="E632" s="24">
        <f>-35000-8473-1032</f>
        <v>-44505</v>
      </c>
      <c r="F632" s="24">
        <v>337795</v>
      </c>
      <c r="G632" s="24"/>
      <c r="H632" s="24">
        <v>205354</v>
      </c>
      <c r="I632" s="24"/>
      <c r="J632" s="24"/>
      <c r="K632" s="24"/>
      <c r="L632" s="24"/>
      <c r="M632" s="24"/>
      <c r="N632" s="24">
        <f t="shared" si="176"/>
        <v>508644</v>
      </c>
      <c r="O632" s="33">
        <v>132549</v>
      </c>
      <c r="P632" s="14">
        <f t="shared" si="175"/>
        <v>376095</v>
      </c>
    </row>
    <row r="633" spans="1:16" x14ac:dyDescent="0.25">
      <c r="A633" s="182"/>
      <c r="B633" s="184"/>
      <c r="C633" s="30" t="s">
        <v>54</v>
      </c>
      <c r="D633" s="24">
        <v>0</v>
      </c>
      <c r="E633" s="24"/>
      <c r="F633" s="24"/>
      <c r="G633" s="24"/>
      <c r="H633" s="24"/>
      <c r="I633" s="24"/>
      <c r="J633" s="24"/>
      <c r="K633" s="24"/>
      <c r="L633" s="24"/>
      <c r="M633" s="24"/>
      <c r="N633" s="24">
        <f t="shared" si="176"/>
        <v>0</v>
      </c>
      <c r="O633" s="33">
        <v>0</v>
      </c>
      <c r="P633" s="33">
        <f t="shared" si="175"/>
        <v>0</v>
      </c>
    </row>
    <row r="634" spans="1:16" x14ac:dyDescent="0.25">
      <c r="A634" s="182"/>
      <c r="B634" s="184"/>
      <c r="C634" s="2" t="s">
        <v>61</v>
      </c>
      <c r="D634" s="24">
        <v>0</v>
      </c>
      <c r="E634" s="24"/>
      <c r="F634" s="24"/>
      <c r="G634" s="24"/>
      <c r="H634" s="24"/>
      <c r="I634" s="24"/>
      <c r="J634" s="24"/>
      <c r="K634" s="24"/>
      <c r="L634" s="24"/>
      <c r="M634" s="24"/>
      <c r="N634" s="24">
        <f t="shared" si="176"/>
        <v>0</v>
      </c>
      <c r="O634" s="33">
        <v>0</v>
      </c>
      <c r="P634" s="14">
        <f t="shared" si="175"/>
        <v>0</v>
      </c>
    </row>
    <row r="635" spans="1:16" x14ac:dyDescent="0.25">
      <c r="A635" s="182"/>
      <c r="B635" s="184"/>
      <c r="C635" s="2" t="s">
        <v>56</v>
      </c>
      <c r="D635" s="24">
        <v>4000</v>
      </c>
      <c r="E635" s="28">
        <f>5000</f>
        <v>5000</v>
      </c>
      <c r="F635" s="24"/>
      <c r="G635" s="24"/>
      <c r="H635" s="24"/>
      <c r="I635" s="24"/>
      <c r="J635" s="24">
        <v>31496</v>
      </c>
      <c r="K635" s="24"/>
      <c r="L635" s="24"/>
      <c r="M635" s="24"/>
      <c r="N635" s="24">
        <f t="shared" si="176"/>
        <v>40496</v>
      </c>
      <c r="O635" s="33">
        <v>0</v>
      </c>
      <c r="P635" s="14">
        <f t="shared" si="175"/>
        <v>40496</v>
      </c>
    </row>
    <row r="636" spans="1:16" x14ac:dyDescent="0.25">
      <c r="A636" s="182"/>
      <c r="B636" s="184"/>
      <c r="C636" s="2" t="s">
        <v>43</v>
      </c>
      <c r="D636" s="24">
        <v>16800</v>
      </c>
      <c r="E636" s="24"/>
      <c r="F636" s="24"/>
      <c r="G636" s="24"/>
      <c r="H636" s="24"/>
      <c r="I636" s="24"/>
      <c r="J636" s="24"/>
      <c r="K636" s="24"/>
      <c r="L636" s="24"/>
      <c r="M636" s="24"/>
      <c r="N636" s="24">
        <f t="shared" si="176"/>
        <v>16800</v>
      </c>
      <c r="O636" s="33">
        <v>8400</v>
      </c>
      <c r="P636" s="14">
        <f t="shared" si="175"/>
        <v>8400</v>
      </c>
    </row>
    <row r="637" spans="1:16" x14ac:dyDescent="0.25">
      <c r="A637" s="182"/>
      <c r="B637" s="184"/>
      <c r="C637" s="2" t="s">
        <v>57</v>
      </c>
      <c r="D637" s="24">
        <v>0</v>
      </c>
      <c r="E637" s="24"/>
      <c r="F637" s="24"/>
      <c r="G637" s="24"/>
      <c r="H637" s="24"/>
      <c r="I637" s="24"/>
      <c r="J637" s="24"/>
      <c r="K637" s="24"/>
      <c r="L637" s="24"/>
      <c r="M637" s="24"/>
      <c r="N637" s="24">
        <f t="shared" si="176"/>
        <v>0</v>
      </c>
      <c r="O637" s="33">
        <v>0</v>
      </c>
      <c r="P637" s="14">
        <f t="shared" si="175"/>
        <v>0</v>
      </c>
    </row>
    <row r="638" spans="1:16" x14ac:dyDescent="0.25">
      <c r="A638" s="182"/>
      <c r="B638" s="184"/>
      <c r="C638" s="2" t="s">
        <v>58</v>
      </c>
      <c r="D638" s="24">
        <v>0</v>
      </c>
      <c r="E638" s="24"/>
      <c r="F638" s="24"/>
      <c r="G638" s="24"/>
      <c r="H638" s="24"/>
      <c r="I638" s="24"/>
      <c r="J638" s="24"/>
      <c r="K638" s="24"/>
      <c r="L638" s="24"/>
      <c r="M638" s="24"/>
      <c r="N638" s="24">
        <f>D638+E638+F638+H638+I638+K638+J638+L638+M638</f>
        <v>0</v>
      </c>
      <c r="O638" s="33">
        <v>0</v>
      </c>
      <c r="P638" s="14">
        <f t="shared" si="175"/>
        <v>0</v>
      </c>
    </row>
    <row r="639" spans="1:16" x14ac:dyDescent="0.25">
      <c r="A639" s="182"/>
      <c r="B639" s="184"/>
      <c r="C639" s="2" t="s">
        <v>44</v>
      </c>
      <c r="D639" s="24">
        <v>7480</v>
      </c>
      <c r="E639" s="24"/>
      <c r="F639" s="24">
        <v>91205</v>
      </c>
      <c r="G639" s="24"/>
      <c r="H639" s="24">
        <v>109446</v>
      </c>
      <c r="I639" s="24"/>
      <c r="J639" s="24">
        <v>8504</v>
      </c>
      <c r="K639" s="24"/>
      <c r="L639" s="24"/>
      <c r="M639" s="24"/>
      <c r="N639" s="24">
        <f>D639+E639+F639+H639+I639+K639+J639</f>
        <v>216635</v>
      </c>
      <c r="O639" s="33">
        <v>40510</v>
      </c>
      <c r="P639" s="14">
        <f t="shared" si="175"/>
        <v>176125</v>
      </c>
    </row>
    <row r="640" spans="1:16" x14ac:dyDescent="0.25">
      <c r="A640" s="182"/>
      <c r="B640" s="184"/>
      <c r="C640" s="2" t="s">
        <v>59</v>
      </c>
      <c r="D640" s="24">
        <v>0</v>
      </c>
      <c r="E640" s="28"/>
      <c r="F640" s="24"/>
      <c r="G640" s="24"/>
      <c r="H640" s="24"/>
      <c r="I640" s="24"/>
      <c r="J640" s="24"/>
      <c r="K640" s="24"/>
      <c r="L640" s="24"/>
      <c r="M640" s="24"/>
      <c r="N640" s="24">
        <f>D640+E640+F640+H640+I640+K640+J640</f>
        <v>0</v>
      </c>
      <c r="O640" s="33">
        <v>0</v>
      </c>
      <c r="P640" s="14">
        <f t="shared" si="175"/>
        <v>0</v>
      </c>
    </row>
    <row r="641" spans="1:17" x14ac:dyDescent="0.25">
      <c r="A641" s="182"/>
      <c r="B641" s="184"/>
      <c r="C641" s="6" t="s">
        <v>45</v>
      </c>
      <c r="D641" s="95">
        <f>SUM(D631:D640)</f>
        <v>68280</v>
      </c>
      <c r="E641" s="95">
        <f t="shared" ref="E641:P641" si="177">SUM(E631:E640)</f>
        <v>0</v>
      </c>
      <c r="F641" s="95">
        <f t="shared" si="177"/>
        <v>429000</v>
      </c>
      <c r="G641" s="95">
        <f t="shared" si="177"/>
        <v>0</v>
      </c>
      <c r="H641" s="95">
        <f t="shared" si="177"/>
        <v>514800</v>
      </c>
      <c r="I641" s="95">
        <f t="shared" si="177"/>
        <v>0</v>
      </c>
      <c r="J641" s="95">
        <f t="shared" si="177"/>
        <v>40000</v>
      </c>
      <c r="K641" s="95">
        <f t="shared" si="177"/>
        <v>0</v>
      </c>
      <c r="L641" s="95">
        <f t="shared" si="177"/>
        <v>0</v>
      </c>
      <c r="M641" s="95">
        <f t="shared" si="177"/>
        <v>0</v>
      </c>
      <c r="N641" s="95">
        <f t="shared" si="177"/>
        <v>1052080</v>
      </c>
      <c r="O641" s="49">
        <f t="shared" si="177"/>
        <v>212491</v>
      </c>
      <c r="P641" s="26">
        <f t="shared" si="177"/>
        <v>839589</v>
      </c>
    </row>
    <row r="642" spans="1:17" x14ac:dyDescent="0.25">
      <c r="A642" s="182"/>
      <c r="B642" s="184" t="s">
        <v>20</v>
      </c>
      <c r="C642" s="2" t="s">
        <v>61</v>
      </c>
      <c r="D642" s="24">
        <v>36000</v>
      </c>
      <c r="E642" s="24"/>
      <c r="F642" s="24"/>
      <c r="G642" s="24"/>
      <c r="H642" s="24"/>
      <c r="I642" s="24"/>
      <c r="J642" s="24"/>
      <c r="K642" s="24"/>
      <c r="L642" s="24"/>
      <c r="M642" s="24"/>
      <c r="N642" s="24">
        <f>D642+E642+F642+H642+I642+K642+J642</f>
        <v>36000</v>
      </c>
      <c r="O642" s="33">
        <v>18000</v>
      </c>
      <c r="P642" s="14">
        <f t="shared" ref="P642:P646" si="178">N642-O642</f>
        <v>18000</v>
      </c>
    </row>
    <row r="643" spans="1:17" x14ac:dyDescent="0.25">
      <c r="A643" s="182"/>
      <c r="B643" s="184"/>
      <c r="C643" s="2" t="s">
        <v>56</v>
      </c>
      <c r="D643" s="24">
        <v>12000</v>
      </c>
      <c r="E643" s="24">
        <v>-5000</v>
      </c>
      <c r="F643" s="24"/>
      <c r="G643" s="24"/>
      <c r="H643" s="24"/>
      <c r="I643" s="24"/>
      <c r="J643" s="24">
        <v>31496</v>
      </c>
      <c r="K643" s="24"/>
      <c r="L643" s="24"/>
      <c r="M643" s="24"/>
      <c r="N643" s="24">
        <f>D643+E643+F643+H643+I643+K643+J643</f>
        <v>38496</v>
      </c>
      <c r="O643" s="33">
        <v>6000</v>
      </c>
      <c r="P643" s="21">
        <f t="shared" si="178"/>
        <v>32496</v>
      </c>
    </row>
    <row r="644" spans="1:17" s="19" customFormat="1" x14ac:dyDescent="0.25">
      <c r="A644" s="182"/>
      <c r="B644" s="184"/>
      <c r="C644" s="30" t="s">
        <v>63</v>
      </c>
      <c r="D644" s="28">
        <v>0</v>
      </c>
      <c r="E644" s="28">
        <v>5000</v>
      </c>
      <c r="F644" s="28"/>
      <c r="G644" s="28"/>
      <c r="H644" s="28"/>
      <c r="I644" s="28"/>
      <c r="J644" s="28"/>
      <c r="K644" s="28"/>
      <c r="L644" s="28"/>
      <c r="M644" s="28"/>
      <c r="N644" s="28">
        <f>D644+E644+F644+H644+I644+K644+J644</f>
        <v>5000</v>
      </c>
      <c r="O644" s="32">
        <v>5000</v>
      </c>
      <c r="P644" s="21">
        <f t="shared" si="178"/>
        <v>0</v>
      </c>
      <c r="Q644" s="53"/>
    </row>
    <row r="645" spans="1:17" x14ac:dyDescent="0.25">
      <c r="A645" s="182"/>
      <c r="B645" s="184"/>
      <c r="C645" s="2" t="s">
        <v>57</v>
      </c>
      <c r="D645" s="24">
        <v>5000</v>
      </c>
      <c r="E645" s="24"/>
      <c r="F645" s="24"/>
      <c r="G645" s="24"/>
      <c r="H645" s="24"/>
      <c r="I645" s="24"/>
      <c r="J645" s="24"/>
      <c r="K645" s="24"/>
      <c r="L645" s="24"/>
      <c r="M645" s="24"/>
      <c r="N645" s="24">
        <f>D645+E645+F645+H645+I645+K645+J645</f>
        <v>5000</v>
      </c>
      <c r="O645" s="33">
        <v>5000</v>
      </c>
      <c r="P645" s="21">
        <f t="shared" si="178"/>
        <v>0</v>
      </c>
    </row>
    <row r="646" spans="1:17" x14ac:dyDescent="0.25">
      <c r="A646" s="182"/>
      <c r="B646" s="184"/>
      <c r="C646" s="2" t="s">
        <v>44</v>
      </c>
      <c r="D646" s="24">
        <v>14310</v>
      </c>
      <c r="E646" s="24"/>
      <c r="F646" s="24"/>
      <c r="G646" s="24"/>
      <c r="H646" s="24"/>
      <c r="I646" s="24"/>
      <c r="J646" s="24">
        <v>8504</v>
      </c>
      <c r="K646" s="24"/>
      <c r="L646" s="24"/>
      <c r="M646" s="24"/>
      <c r="N646" s="24">
        <f>D646+E646+F646+H646+I646+K646+J646</f>
        <v>22814</v>
      </c>
      <c r="O646" s="33">
        <v>9180</v>
      </c>
      <c r="P646" s="14">
        <f t="shared" si="178"/>
        <v>13634</v>
      </c>
    </row>
    <row r="647" spans="1:17" x14ac:dyDescent="0.25">
      <c r="A647" s="182"/>
      <c r="B647" s="184"/>
      <c r="C647" s="6" t="s">
        <v>45</v>
      </c>
      <c r="D647" s="95">
        <f>SUM(D642,D646,D643,D645,D644)</f>
        <v>67310</v>
      </c>
      <c r="E647" s="95">
        <f t="shared" ref="E647:P647" si="179">SUM(E642:E646)</f>
        <v>0</v>
      </c>
      <c r="F647" s="95">
        <f t="shared" si="179"/>
        <v>0</v>
      </c>
      <c r="G647" s="95"/>
      <c r="H647" s="95">
        <f t="shared" si="179"/>
        <v>0</v>
      </c>
      <c r="I647" s="95">
        <f t="shared" si="179"/>
        <v>0</v>
      </c>
      <c r="J647" s="95">
        <f t="shared" si="179"/>
        <v>40000</v>
      </c>
      <c r="K647" s="95">
        <f t="shared" si="179"/>
        <v>0</v>
      </c>
      <c r="L647" s="95">
        <f t="shared" si="179"/>
        <v>0</v>
      </c>
      <c r="M647" s="95">
        <f t="shared" si="179"/>
        <v>0</v>
      </c>
      <c r="N647" s="95">
        <f>SUM(N642:N646)</f>
        <v>107310</v>
      </c>
      <c r="O647" s="49">
        <f t="shared" si="179"/>
        <v>43180</v>
      </c>
      <c r="P647" s="26">
        <f t="shared" si="179"/>
        <v>64130</v>
      </c>
    </row>
    <row r="648" spans="1:17" x14ac:dyDescent="0.25">
      <c r="A648" s="182" t="s">
        <v>100</v>
      </c>
      <c r="B648" s="184" t="s">
        <v>17</v>
      </c>
      <c r="C648" s="2" t="s">
        <v>39</v>
      </c>
      <c r="D648" s="24">
        <v>454586</v>
      </c>
      <c r="E648" s="24"/>
      <c r="F648" s="24"/>
      <c r="G648" s="24"/>
      <c r="H648" s="24"/>
      <c r="I648" s="24"/>
      <c r="J648" s="24"/>
      <c r="K648" s="24"/>
      <c r="L648" s="24"/>
      <c r="M648" s="24"/>
      <c r="N648" s="24">
        <f>D648+E648+F648+H648+I648+K648+J648</f>
        <v>454586</v>
      </c>
      <c r="O648" s="33">
        <v>295283</v>
      </c>
      <c r="P648" s="14">
        <f t="shared" ref="P648:P649" si="180">N648-O648</f>
        <v>159303</v>
      </c>
    </row>
    <row r="649" spans="1:17" x14ac:dyDescent="0.25">
      <c r="A649" s="182"/>
      <c r="B649" s="184"/>
      <c r="C649" s="2" t="s">
        <v>41</v>
      </c>
      <c r="D649" s="24">
        <v>75570</v>
      </c>
      <c r="E649" s="24"/>
      <c r="F649" s="24"/>
      <c r="G649" s="24"/>
      <c r="H649" s="24"/>
      <c r="I649" s="24"/>
      <c r="J649" s="24"/>
      <c r="K649" s="24"/>
      <c r="L649" s="24"/>
      <c r="M649" s="24"/>
      <c r="N649" s="24">
        <f>D649+E649+F649+H649+I649+K649+J649+L649</f>
        <v>75570</v>
      </c>
      <c r="O649" s="33">
        <v>50874</v>
      </c>
      <c r="P649" s="14">
        <f t="shared" si="180"/>
        <v>24696</v>
      </c>
    </row>
    <row r="650" spans="1:17" x14ac:dyDescent="0.25">
      <c r="A650" s="186" t="s">
        <v>128</v>
      </c>
      <c r="B650" s="187"/>
      <c r="C650" s="188"/>
      <c r="D650" s="113">
        <f>SUM(D616+D617+D618+D621+D629+D630+D641+D647+D648+D649)</f>
        <v>6947985</v>
      </c>
      <c r="E650" s="101">
        <f t="shared" ref="E650:P650" si="181">SUM(E616,E617,E618,E621,E629,E630,E641,E647,E648,E649)</f>
        <v>0</v>
      </c>
      <c r="F650" s="101">
        <f t="shared" si="181"/>
        <v>429000</v>
      </c>
      <c r="G650" s="101">
        <f t="shared" si="181"/>
        <v>0</v>
      </c>
      <c r="H650" s="101">
        <f t="shared" si="181"/>
        <v>514800</v>
      </c>
      <c r="I650" s="101">
        <f t="shared" si="181"/>
        <v>0</v>
      </c>
      <c r="J650" s="101">
        <f t="shared" si="181"/>
        <v>80000</v>
      </c>
      <c r="K650" s="101">
        <f t="shared" si="181"/>
        <v>0</v>
      </c>
      <c r="L650" s="101">
        <f t="shared" si="181"/>
        <v>0</v>
      </c>
      <c r="M650" s="101">
        <f t="shared" si="181"/>
        <v>0</v>
      </c>
      <c r="N650" s="101">
        <f>SUM(N616,N617,N618,N621,N629,N630,N641,N647,N648,N649)</f>
        <v>7971785</v>
      </c>
      <c r="O650" s="133">
        <f>SUM(O616,O617,O618,O621,O629,O630,O641,O647,O648,O649)</f>
        <v>4669096</v>
      </c>
      <c r="P650" s="60">
        <f t="shared" si="181"/>
        <v>3302689</v>
      </c>
    </row>
    <row r="651" spans="1:17" x14ac:dyDescent="0.25">
      <c r="A651" s="182" t="s">
        <v>101</v>
      </c>
      <c r="B651" s="185" t="s">
        <v>38</v>
      </c>
      <c r="C651" s="30" t="s">
        <v>48</v>
      </c>
      <c r="D651" s="24">
        <v>72000</v>
      </c>
      <c r="E651" s="24"/>
      <c r="F651" s="24"/>
      <c r="G651" s="24"/>
      <c r="H651" s="24"/>
      <c r="I651" s="24"/>
      <c r="J651" s="24"/>
      <c r="K651" s="24"/>
      <c r="L651" s="24"/>
      <c r="M651" s="24"/>
      <c r="N651" s="24">
        <f>D651+E651+F651+H651+I651+K651+J651</f>
        <v>72000</v>
      </c>
      <c r="O651" s="33">
        <v>11880</v>
      </c>
      <c r="P651" s="21">
        <f t="shared" ref="P651:P653" si="182">N651-O651</f>
        <v>60120</v>
      </c>
    </row>
    <row r="652" spans="1:17" x14ac:dyDescent="0.25">
      <c r="A652" s="182"/>
      <c r="B652" s="196"/>
      <c r="C652" s="2" t="s">
        <v>39</v>
      </c>
      <c r="D652" s="24">
        <v>978360</v>
      </c>
      <c r="E652" s="24"/>
      <c r="F652" s="24"/>
      <c r="G652" s="24"/>
      <c r="H652" s="24"/>
      <c r="I652" s="24"/>
      <c r="J652" s="24"/>
      <c r="K652" s="24"/>
      <c r="L652" s="24"/>
      <c r="M652" s="24"/>
      <c r="N652" s="24">
        <f>D652+E652+F652+H652+I652+K652+J652</f>
        <v>978360</v>
      </c>
      <c r="O652" s="33">
        <v>458121</v>
      </c>
      <c r="P652" s="14">
        <f t="shared" si="182"/>
        <v>520239</v>
      </c>
    </row>
    <row r="653" spans="1:17" x14ac:dyDescent="0.25">
      <c r="A653" s="182"/>
      <c r="B653" s="196"/>
      <c r="C653" s="2" t="s">
        <v>50</v>
      </c>
      <c r="D653" s="24">
        <v>0</v>
      </c>
      <c r="E653" s="24"/>
      <c r="F653" s="24"/>
      <c r="G653" s="24"/>
      <c r="H653" s="24"/>
      <c r="I653" s="24"/>
      <c r="J653" s="24"/>
      <c r="K653" s="24"/>
      <c r="L653" s="24"/>
      <c r="M653" s="24"/>
      <c r="N653" s="24">
        <f>D653+E653+F653+H653+I653+K653+J653</f>
        <v>0</v>
      </c>
      <c r="O653" s="33">
        <v>0</v>
      </c>
      <c r="P653" s="14">
        <f t="shared" si="182"/>
        <v>0</v>
      </c>
    </row>
    <row r="654" spans="1:17" x14ac:dyDescent="0.25">
      <c r="A654" s="182"/>
      <c r="B654" s="196"/>
      <c r="C654" s="6" t="s">
        <v>40</v>
      </c>
      <c r="D654" s="95">
        <f>SUM(D651:D653)</f>
        <v>1050360</v>
      </c>
      <c r="E654" s="95">
        <f t="shared" ref="E654:P654" si="183">SUM(E651:E653)</f>
        <v>0</v>
      </c>
      <c r="F654" s="95">
        <f t="shared" si="183"/>
        <v>0</v>
      </c>
      <c r="G654" s="95"/>
      <c r="H654" s="95">
        <f t="shared" si="183"/>
        <v>0</v>
      </c>
      <c r="I654" s="95">
        <f>SUM(I651:I653)</f>
        <v>0</v>
      </c>
      <c r="J654" s="95">
        <f>SUM(J651:J653)</f>
        <v>0</v>
      </c>
      <c r="K654" s="95">
        <f>SUM(K651:K653)</f>
        <v>0</v>
      </c>
      <c r="L654" s="95">
        <f t="shared" ref="L654:M654" si="184">SUM(L651:L653)</f>
        <v>0</v>
      </c>
      <c r="M654" s="95">
        <f t="shared" si="184"/>
        <v>0</v>
      </c>
      <c r="N654" s="95">
        <f>SUM(N651:N653)</f>
        <v>1050360</v>
      </c>
      <c r="O654" s="49">
        <f t="shared" si="183"/>
        <v>470001</v>
      </c>
      <c r="P654" s="26">
        <f t="shared" si="183"/>
        <v>580359</v>
      </c>
    </row>
    <row r="655" spans="1:17" x14ac:dyDescent="0.25">
      <c r="A655" s="182"/>
      <c r="B655" s="196"/>
      <c r="C655" s="57" t="s">
        <v>41</v>
      </c>
      <c r="D655" s="96">
        <v>85607</v>
      </c>
      <c r="E655" s="96"/>
      <c r="F655" s="96"/>
      <c r="G655" s="96"/>
      <c r="H655" s="96"/>
      <c r="I655" s="96"/>
      <c r="J655" s="96"/>
      <c r="K655" s="96"/>
      <c r="L655" s="96"/>
      <c r="M655" s="96"/>
      <c r="N655" s="97">
        <f>D655+E655+F655+H655+I655+K655</f>
        <v>85607</v>
      </c>
      <c r="O655" s="129">
        <v>40087</v>
      </c>
      <c r="P655" s="55">
        <f t="shared" ref="P655:P659" si="185">N655-O655</f>
        <v>45520</v>
      </c>
    </row>
    <row r="656" spans="1:17" x14ac:dyDescent="0.25">
      <c r="A656" s="182"/>
      <c r="B656" s="196"/>
      <c r="C656" s="2" t="s">
        <v>42</v>
      </c>
      <c r="D656" s="24">
        <v>0</v>
      </c>
      <c r="E656" s="24"/>
      <c r="F656" s="24"/>
      <c r="G656" s="24"/>
      <c r="H656" s="24"/>
      <c r="I656" s="24"/>
      <c r="J656" s="24"/>
      <c r="K656" s="24"/>
      <c r="L656" s="24"/>
      <c r="M656" s="24"/>
      <c r="N656" s="24">
        <f>D656+E656+F656+H656+I656+K656+J656</f>
        <v>0</v>
      </c>
      <c r="O656" s="33">
        <v>0</v>
      </c>
      <c r="P656" s="32">
        <f t="shared" si="185"/>
        <v>0</v>
      </c>
    </row>
    <row r="657" spans="1:16" x14ac:dyDescent="0.25">
      <c r="A657" s="182"/>
      <c r="B657" s="196"/>
      <c r="C657" s="2" t="s">
        <v>52</v>
      </c>
      <c r="D657" s="24">
        <v>0</v>
      </c>
      <c r="E657" s="24"/>
      <c r="F657" s="24"/>
      <c r="G657" s="24"/>
      <c r="H657" s="24"/>
      <c r="I657" s="24"/>
      <c r="J657" s="24"/>
      <c r="K657" s="24"/>
      <c r="L657" s="24"/>
      <c r="M657" s="24"/>
      <c r="N657" s="24">
        <f>D657+E657+F657+H657+I657+K657+J657</f>
        <v>0</v>
      </c>
      <c r="O657" s="33">
        <v>0</v>
      </c>
      <c r="P657" s="32">
        <f t="shared" si="185"/>
        <v>0</v>
      </c>
    </row>
    <row r="658" spans="1:16" x14ac:dyDescent="0.25">
      <c r="A658" s="182"/>
      <c r="B658" s="196"/>
      <c r="C658" s="2" t="s">
        <v>43</v>
      </c>
      <c r="D658" s="24">
        <v>0</v>
      </c>
      <c r="E658" s="28"/>
      <c r="F658" s="24"/>
      <c r="G658" s="24"/>
      <c r="H658" s="24"/>
      <c r="I658" s="24"/>
      <c r="J658" s="24"/>
      <c r="K658" s="24"/>
      <c r="L658" s="24"/>
      <c r="M658" s="24"/>
      <c r="N658" s="24">
        <f>D658+E658+F658+H658+I658+K658+J658</f>
        <v>0</v>
      </c>
      <c r="O658" s="33">
        <v>0</v>
      </c>
      <c r="P658" s="32">
        <f t="shared" si="185"/>
        <v>0</v>
      </c>
    </row>
    <row r="659" spans="1:16" x14ac:dyDescent="0.25">
      <c r="A659" s="182"/>
      <c r="B659" s="196"/>
      <c r="C659" s="30" t="s">
        <v>44</v>
      </c>
      <c r="D659" s="24">
        <v>0</v>
      </c>
      <c r="E659" s="24"/>
      <c r="F659" s="24"/>
      <c r="G659" s="24"/>
      <c r="H659" s="24"/>
      <c r="I659" s="24"/>
      <c r="J659" s="24"/>
      <c r="K659" s="24"/>
      <c r="L659" s="24"/>
      <c r="M659" s="24"/>
      <c r="N659" s="24">
        <f>D659+E659+F659+H659+I659+K659+J659</f>
        <v>0</v>
      </c>
      <c r="O659" s="33">
        <v>0</v>
      </c>
      <c r="P659" s="32">
        <f t="shared" si="185"/>
        <v>0</v>
      </c>
    </row>
    <row r="660" spans="1:16" x14ac:dyDescent="0.25">
      <c r="A660" s="182"/>
      <c r="B660" s="197"/>
      <c r="C660" s="6" t="s">
        <v>45</v>
      </c>
      <c r="D660" s="95">
        <f>SUM(D656:D659)</f>
        <v>0</v>
      </c>
      <c r="E660" s="95">
        <f t="shared" ref="E660:M660" si="186">SUM(E656:E659)</f>
        <v>0</v>
      </c>
      <c r="F660" s="95">
        <f t="shared" si="186"/>
        <v>0</v>
      </c>
      <c r="G660" s="95"/>
      <c r="H660" s="95">
        <f t="shared" si="186"/>
        <v>0</v>
      </c>
      <c r="I660" s="95">
        <f t="shared" si="186"/>
        <v>0</v>
      </c>
      <c r="J660" s="95">
        <f t="shared" si="186"/>
        <v>0</v>
      </c>
      <c r="K660" s="95">
        <f t="shared" si="186"/>
        <v>0</v>
      </c>
      <c r="L660" s="95">
        <f t="shared" si="186"/>
        <v>0</v>
      </c>
      <c r="M660" s="95">
        <f t="shared" si="186"/>
        <v>0</v>
      </c>
      <c r="N660" s="95">
        <f>SUM(N656:N659)</f>
        <v>0</v>
      </c>
      <c r="O660" s="49">
        <f t="shared" ref="O660:P660" si="187">SUM(O656:O659)</f>
        <v>0</v>
      </c>
      <c r="P660" s="34">
        <f t="shared" si="187"/>
        <v>0</v>
      </c>
    </row>
    <row r="661" spans="1:16" x14ac:dyDescent="0.25">
      <c r="A661" s="182"/>
      <c r="B661" s="184" t="s">
        <v>17</v>
      </c>
      <c r="C661" s="2" t="s">
        <v>39</v>
      </c>
      <c r="D661" s="24">
        <v>2851935</v>
      </c>
      <c r="E661" s="28"/>
      <c r="F661" s="24"/>
      <c r="G661" s="24"/>
      <c r="H661" s="24"/>
      <c r="I661" s="24"/>
      <c r="J661" s="24"/>
      <c r="K661" s="24"/>
      <c r="L661" s="24"/>
      <c r="M661" s="24"/>
      <c r="N661" s="24">
        <f t="shared" ref="N661:N666" si="188">D661+E661+F661+H661+I661+K661+J661</f>
        <v>2851935</v>
      </c>
      <c r="O661" s="33">
        <v>1979223</v>
      </c>
      <c r="P661" s="14">
        <f t="shared" ref="P661:P666" si="189">N661-O661</f>
        <v>872712</v>
      </c>
    </row>
    <row r="662" spans="1:16" x14ac:dyDescent="0.25">
      <c r="A662" s="182"/>
      <c r="B662" s="184"/>
      <c r="C662" s="2" t="s">
        <v>46</v>
      </c>
      <c r="D662" s="24">
        <v>100000</v>
      </c>
      <c r="E662" s="24"/>
      <c r="F662" s="24"/>
      <c r="G662" s="24"/>
      <c r="H662" s="24"/>
      <c r="I662" s="24"/>
      <c r="J662" s="24"/>
      <c r="K662" s="24"/>
      <c r="L662" s="24"/>
      <c r="M662" s="24"/>
      <c r="N662" s="24">
        <f t="shared" si="188"/>
        <v>100000</v>
      </c>
      <c r="O662" s="33">
        <v>50000</v>
      </c>
      <c r="P662" s="14">
        <f t="shared" si="189"/>
        <v>50000</v>
      </c>
    </row>
    <row r="663" spans="1:16" x14ac:dyDescent="0.25">
      <c r="A663" s="182"/>
      <c r="B663" s="184"/>
      <c r="C663" s="2" t="s">
        <v>47</v>
      </c>
      <c r="D663" s="24">
        <v>5000</v>
      </c>
      <c r="E663" s="24"/>
      <c r="F663" s="24"/>
      <c r="G663" s="24"/>
      <c r="H663" s="24"/>
      <c r="I663" s="24"/>
      <c r="J663" s="24"/>
      <c r="K663" s="24"/>
      <c r="L663" s="24"/>
      <c r="M663" s="24"/>
      <c r="N663" s="24">
        <f t="shared" si="188"/>
        <v>5000</v>
      </c>
      <c r="O663" s="33">
        <v>0</v>
      </c>
      <c r="P663" s="14">
        <f t="shared" si="189"/>
        <v>5000</v>
      </c>
    </row>
    <row r="664" spans="1:16" x14ac:dyDescent="0.25">
      <c r="A664" s="182"/>
      <c r="B664" s="184"/>
      <c r="C664" s="30" t="s">
        <v>48</v>
      </c>
      <c r="D664" s="24">
        <v>0</v>
      </c>
      <c r="E664" s="28"/>
      <c r="F664" s="24"/>
      <c r="G664" s="24"/>
      <c r="H664" s="24"/>
      <c r="I664" s="24"/>
      <c r="J664" s="24"/>
      <c r="K664" s="24"/>
      <c r="L664" s="24"/>
      <c r="M664" s="24"/>
      <c r="N664" s="24">
        <f t="shared" si="188"/>
        <v>0</v>
      </c>
      <c r="O664" s="33">
        <v>0</v>
      </c>
      <c r="P664" s="14">
        <f t="shared" si="189"/>
        <v>0</v>
      </c>
    </row>
    <row r="665" spans="1:16" x14ac:dyDescent="0.25">
      <c r="A665" s="182"/>
      <c r="B665" s="184"/>
      <c r="C665" s="2" t="s">
        <v>49</v>
      </c>
      <c r="D665" s="24">
        <v>12000</v>
      </c>
      <c r="E665" s="24"/>
      <c r="F665" s="24"/>
      <c r="G665" s="24"/>
      <c r="H665" s="24"/>
      <c r="I665" s="24"/>
      <c r="J665" s="24"/>
      <c r="K665" s="24"/>
      <c r="L665" s="24"/>
      <c r="M665" s="24"/>
      <c r="N665" s="24">
        <f t="shared" si="188"/>
        <v>12000</v>
      </c>
      <c r="O665" s="33">
        <v>6000</v>
      </c>
      <c r="P665" s="14">
        <f t="shared" si="189"/>
        <v>6000</v>
      </c>
    </row>
    <row r="666" spans="1:16" x14ac:dyDescent="0.25">
      <c r="A666" s="182"/>
      <c r="B666" s="184"/>
      <c r="C666" s="2" t="s">
        <v>50</v>
      </c>
      <c r="D666" s="24">
        <v>0</v>
      </c>
      <c r="E666" s="28"/>
      <c r="F666" s="24"/>
      <c r="G666" s="24"/>
      <c r="H666" s="28"/>
      <c r="I666" s="24"/>
      <c r="J666" s="24"/>
      <c r="K666" s="24"/>
      <c r="L666" s="24"/>
      <c r="M666" s="24"/>
      <c r="N666" s="24">
        <f t="shared" si="188"/>
        <v>0</v>
      </c>
      <c r="O666" s="33">
        <v>0</v>
      </c>
      <c r="P666" s="14">
        <f t="shared" si="189"/>
        <v>0</v>
      </c>
    </row>
    <row r="667" spans="1:16" x14ac:dyDescent="0.25">
      <c r="A667" s="182"/>
      <c r="B667" s="184"/>
      <c r="C667" s="6" t="s">
        <v>40</v>
      </c>
      <c r="D667" s="95">
        <f>SUM(D661:D666)</f>
        <v>2968935</v>
      </c>
      <c r="E667" s="95">
        <f t="shared" ref="E667:P667" si="190">SUM(E661:E666)</f>
        <v>0</v>
      </c>
      <c r="F667" s="95">
        <f t="shared" si="190"/>
        <v>0</v>
      </c>
      <c r="G667" s="95"/>
      <c r="H667" s="95">
        <f t="shared" si="190"/>
        <v>0</v>
      </c>
      <c r="I667" s="95">
        <f t="shared" si="190"/>
        <v>0</v>
      </c>
      <c r="J667" s="95">
        <f t="shared" si="190"/>
        <v>0</v>
      </c>
      <c r="K667" s="95">
        <f t="shared" si="190"/>
        <v>0</v>
      </c>
      <c r="L667" s="95">
        <f t="shared" si="190"/>
        <v>0</v>
      </c>
      <c r="M667" s="95">
        <f t="shared" si="190"/>
        <v>0</v>
      </c>
      <c r="N667" s="95">
        <f t="shared" si="190"/>
        <v>2968935</v>
      </c>
      <c r="O667" s="49">
        <f t="shared" si="190"/>
        <v>2035223</v>
      </c>
      <c r="P667" s="26">
        <f t="shared" si="190"/>
        <v>933712</v>
      </c>
    </row>
    <row r="668" spans="1:16" x14ac:dyDescent="0.25">
      <c r="A668" s="182"/>
      <c r="B668" s="184"/>
      <c r="C668" s="57" t="s">
        <v>41</v>
      </c>
      <c r="D668" s="96">
        <v>534563</v>
      </c>
      <c r="E668" s="96"/>
      <c r="F668" s="96"/>
      <c r="G668" s="96"/>
      <c r="H668" s="96"/>
      <c r="I668" s="96"/>
      <c r="J668" s="96"/>
      <c r="K668" s="96"/>
      <c r="L668" s="96"/>
      <c r="M668" s="96"/>
      <c r="N668" s="97">
        <f>D668+E668+F668+H668+I668+K668</f>
        <v>534563</v>
      </c>
      <c r="O668" s="129">
        <v>352283</v>
      </c>
      <c r="P668" s="55">
        <f t="shared" ref="P668:P677" si="191">N668-O668</f>
        <v>182280</v>
      </c>
    </row>
    <row r="669" spans="1:16" x14ac:dyDescent="0.25">
      <c r="A669" s="182"/>
      <c r="B669" s="184"/>
      <c r="C669" s="2" t="s">
        <v>42</v>
      </c>
      <c r="D669" s="24">
        <v>30000</v>
      </c>
      <c r="E669" s="24">
        <f>-100000-89776-62625</f>
        <v>-252401</v>
      </c>
      <c r="F669" s="24">
        <v>337795</v>
      </c>
      <c r="G669" s="24"/>
      <c r="H669" s="24">
        <v>100000</v>
      </c>
      <c r="I669" s="24"/>
      <c r="J669" s="24"/>
      <c r="K669" s="24"/>
      <c r="L669" s="24"/>
      <c r="M669" s="24"/>
      <c r="N669" s="24">
        <f>D669+E669+F669+H669+I669+K669+J669</f>
        <v>215394</v>
      </c>
      <c r="O669" s="33">
        <v>29673</v>
      </c>
      <c r="P669" s="14">
        <f t="shared" si="191"/>
        <v>185721</v>
      </c>
    </row>
    <row r="670" spans="1:16" x14ac:dyDescent="0.25">
      <c r="A670" s="182"/>
      <c r="B670" s="184"/>
      <c r="C670" s="2" t="s">
        <v>52</v>
      </c>
      <c r="D670" s="24">
        <v>9000</v>
      </c>
      <c r="E670" s="24">
        <f>100000+89776+62625</f>
        <v>252401</v>
      </c>
      <c r="F670" s="24"/>
      <c r="G670" s="24"/>
      <c r="H670" s="24">
        <v>136457</v>
      </c>
      <c r="I670" s="24"/>
      <c r="J670" s="24">
        <v>84488</v>
      </c>
      <c r="K670" s="24"/>
      <c r="L670" s="24"/>
      <c r="M670" s="24"/>
      <c r="N670" s="24">
        <f>D670+E670+F670+H670+I670+K670+J670</f>
        <v>482346</v>
      </c>
      <c r="O670" s="33">
        <v>89776</v>
      </c>
      <c r="P670" s="21">
        <f t="shared" si="191"/>
        <v>392570</v>
      </c>
    </row>
    <row r="671" spans="1:16" x14ac:dyDescent="0.25">
      <c r="A671" s="182"/>
      <c r="B671" s="184"/>
      <c r="C671" s="30" t="s">
        <v>54</v>
      </c>
      <c r="D671" s="24">
        <v>0</v>
      </c>
      <c r="E671" s="24"/>
      <c r="F671" s="24"/>
      <c r="G671" s="24"/>
      <c r="H671" s="24"/>
      <c r="I671" s="24"/>
      <c r="J671" s="24"/>
      <c r="K671" s="24"/>
      <c r="L671" s="24"/>
      <c r="M671" s="24"/>
      <c r="N671" s="24">
        <f>D671+E671+F671+H671+I671+K671+J671</f>
        <v>0</v>
      </c>
      <c r="O671" s="33">
        <v>0</v>
      </c>
      <c r="P671" s="33">
        <f t="shared" si="191"/>
        <v>0</v>
      </c>
    </row>
    <row r="672" spans="1:16" x14ac:dyDescent="0.25">
      <c r="A672" s="182"/>
      <c r="B672" s="184"/>
      <c r="C672" s="2" t="s">
        <v>55</v>
      </c>
      <c r="D672" s="24">
        <v>0</v>
      </c>
      <c r="E672" s="24"/>
      <c r="F672" s="24"/>
      <c r="G672" s="24"/>
      <c r="H672" s="28"/>
      <c r="I672" s="24"/>
      <c r="J672" s="24"/>
      <c r="K672" s="24"/>
      <c r="L672" s="24"/>
      <c r="M672" s="24"/>
      <c r="N672" s="24">
        <f>D672+E672+F672+H672+I672+K672+J672</f>
        <v>0</v>
      </c>
      <c r="O672" s="33">
        <v>0</v>
      </c>
      <c r="P672" s="21">
        <f t="shared" si="191"/>
        <v>0</v>
      </c>
    </row>
    <row r="673" spans="1:16" x14ac:dyDescent="0.25">
      <c r="A673" s="182"/>
      <c r="B673" s="184"/>
      <c r="C673" s="2" t="s">
        <v>56</v>
      </c>
      <c r="D673" s="24">
        <v>10000</v>
      </c>
      <c r="E673" s="24"/>
      <c r="F673" s="24"/>
      <c r="G673" s="24"/>
      <c r="H673" s="28"/>
      <c r="I673" s="24"/>
      <c r="J673" s="24"/>
      <c r="K673" s="24"/>
      <c r="L673" s="24"/>
      <c r="M673" s="24"/>
      <c r="N673" s="24">
        <f>D673+E673+F673+H673+I673+K673+J673+L673+M673</f>
        <v>10000</v>
      </c>
      <c r="O673" s="33">
        <v>0</v>
      </c>
      <c r="P673" s="21">
        <f t="shared" si="191"/>
        <v>10000</v>
      </c>
    </row>
    <row r="674" spans="1:16" x14ac:dyDescent="0.25">
      <c r="A674" s="182"/>
      <c r="B674" s="184"/>
      <c r="C674" s="2" t="s">
        <v>43</v>
      </c>
      <c r="D674" s="24">
        <v>8400</v>
      </c>
      <c r="E674" s="28"/>
      <c r="F674" s="24"/>
      <c r="G674" s="24"/>
      <c r="H674" s="28"/>
      <c r="I674" s="24"/>
      <c r="J674" s="24"/>
      <c r="K674" s="24"/>
      <c r="L674" s="24"/>
      <c r="M674" s="24"/>
      <c r="N674" s="24">
        <f>D674+E674+F674+H674+I674+K674+J674</f>
        <v>8400</v>
      </c>
      <c r="O674" s="33">
        <v>4200</v>
      </c>
      <c r="P674" s="21">
        <f t="shared" si="191"/>
        <v>4200</v>
      </c>
    </row>
    <row r="675" spans="1:16" x14ac:dyDescent="0.25">
      <c r="A675" s="182"/>
      <c r="B675" s="184"/>
      <c r="C675" s="2" t="s">
        <v>57</v>
      </c>
      <c r="D675" s="24">
        <v>19685</v>
      </c>
      <c r="E675" s="24"/>
      <c r="F675" s="24"/>
      <c r="G675" s="24"/>
      <c r="H675" s="28"/>
      <c r="I675" s="24"/>
      <c r="J675" s="24"/>
      <c r="K675" s="24"/>
      <c r="L675" s="24"/>
      <c r="M675" s="24"/>
      <c r="N675" s="24">
        <f>D675+E675+F675+H675+I675+K675+J675</f>
        <v>19685</v>
      </c>
      <c r="O675" s="33">
        <v>0</v>
      </c>
      <c r="P675" s="21">
        <f t="shared" si="191"/>
        <v>19685</v>
      </c>
    </row>
    <row r="676" spans="1:16" x14ac:dyDescent="0.25">
      <c r="A676" s="182"/>
      <c r="B676" s="184"/>
      <c r="C676" s="2" t="s">
        <v>44</v>
      </c>
      <c r="D676" s="24">
        <v>20245</v>
      </c>
      <c r="E676" s="24">
        <f>-5670-430</f>
        <v>-6100</v>
      </c>
      <c r="F676" s="24">
        <f>91205</f>
        <v>91205</v>
      </c>
      <c r="G676" s="24"/>
      <c r="H676" s="28">
        <v>63843</v>
      </c>
      <c r="I676" s="24"/>
      <c r="J676" s="24">
        <v>22812</v>
      </c>
      <c r="K676" s="24"/>
      <c r="L676" s="24"/>
      <c r="M676" s="24"/>
      <c r="N676" s="24">
        <f>D676+E676+F676+H676+I676+K676+J676</f>
        <v>192005</v>
      </c>
      <c r="O676" s="33">
        <v>28596</v>
      </c>
      <c r="P676" s="21">
        <f t="shared" si="191"/>
        <v>163409</v>
      </c>
    </row>
    <row r="677" spans="1:16" x14ac:dyDescent="0.25">
      <c r="A677" s="182"/>
      <c r="B677" s="184"/>
      <c r="C677" s="2" t="s">
        <v>59</v>
      </c>
      <c r="D677" s="24">
        <v>0</v>
      </c>
      <c r="E677" s="24"/>
      <c r="F677" s="24"/>
      <c r="G677" s="24"/>
      <c r="H677" s="28"/>
      <c r="I677" s="24"/>
      <c r="J677" s="24"/>
      <c r="K677" s="24"/>
      <c r="L677" s="24"/>
      <c r="M677" s="24"/>
      <c r="N677" s="24">
        <f>D677+E677+F677+H677+I677+K677+J677</f>
        <v>0</v>
      </c>
      <c r="O677" s="33">
        <v>0</v>
      </c>
      <c r="P677" s="21">
        <f t="shared" si="191"/>
        <v>0</v>
      </c>
    </row>
    <row r="678" spans="1:16" x14ac:dyDescent="0.25">
      <c r="A678" s="182"/>
      <c r="B678" s="184"/>
      <c r="C678" s="6" t="s">
        <v>45</v>
      </c>
      <c r="D678" s="95">
        <f>SUM(D669:D677)</f>
        <v>97330</v>
      </c>
      <c r="E678" s="95">
        <f t="shared" ref="E678:P678" si="192">SUM(E669:E677)</f>
        <v>-6100</v>
      </c>
      <c r="F678" s="95">
        <f t="shared" si="192"/>
        <v>429000</v>
      </c>
      <c r="G678" s="95">
        <f t="shared" si="192"/>
        <v>0</v>
      </c>
      <c r="H678" s="95">
        <f t="shared" si="192"/>
        <v>300300</v>
      </c>
      <c r="I678" s="95">
        <f t="shared" si="192"/>
        <v>0</v>
      </c>
      <c r="J678" s="95">
        <f t="shared" si="192"/>
        <v>107300</v>
      </c>
      <c r="K678" s="95">
        <f t="shared" si="192"/>
        <v>0</v>
      </c>
      <c r="L678" s="95">
        <f t="shared" si="192"/>
        <v>0</v>
      </c>
      <c r="M678" s="95">
        <f t="shared" si="192"/>
        <v>0</v>
      </c>
      <c r="N678" s="95">
        <f t="shared" si="192"/>
        <v>927830</v>
      </c>
      <c r="O678" s="49">
        <f t="shared" si="192"/>
        <v>152245</v>
      </c>
      <c r="P678" s="26">
        <f t="shared" si="192"/>
        <v>775585</v>
      </c>
    </row>
    <row r="679" spans="1:16" x14ac:dyDescent="0.25">
      <c r="A679" s="182"/>
      <c r="B679" s="184" t="s">
        <v>20</v>
      </c>
      <c r="C679" s="2" t="s">
        <v>61</v>
      </c>
      <c r="D679" s="24">
        <v>36000</v>
      </c>
      <c r="E679" s="24"/>
      <c r="F679" s="24"/>
      <c r="G679" s="24"/>
      <c r="H679" s="24"/>
      <c r="I679" s="24"/>
      <c r="J679" s="24"/>
      <c r="K679" s="24"/>
      <c r="L679" s="24"/>
      <c r="M679" s="24"/>
      <c r="N679" s="24">
        <f>D679+E679+F679+H679+I679+K679+J679</f>
        <v>36000</v>
      </c>
      <c r="O679" s="33">
        <v>18000</v>
      </c>
      <c r="P679" s="14">
        <f t="shared" ref="P679:P683" si="193">N679-O679</f>
        <v>18000</v>
      </c>
    </row>
    <row r="680" spans="1:16" x14ac:dyDescent="0.25">
      <c r="A680" s="182"/>
      <c r="B680" s="184"/>
      <c r="C680" s="2" t="s">
        <v>56</v>
      </c>
      <c r="D680" s="24">
        <v>0</v>
      </c>
      <c r="E680" s="24"/>
      <c r="F680" s="24"/>
      <c r="G680" s="24"/>
      <c r="H680" s="24"/>
      <c r="I680" s="24"/>
      <c r="J680" s="24">
        <v>10000</v>
      </c>
      <c r="K680" s="24"/>
      <c r="L680" s="24"/>
      <c r="M680" s="24"/>
      <c r="N680" s="24">
        <f>D680+E680+F680+H680+I680+K680+J680</f>
        <v>10000</v>
      </c>
      <c r="O680" s="33">
        <v>0</v>
      </c>
      <c r="P680" s="14">
        <f t="shared" si="193"/>
        <v>10000</v>
      </c>
    </row>
    <row r="681" spans="1:16" x14ac:dyDescent="0.25">
      <c r="A681" s="182"/>
      <c r="B681" s="184"/>
      <c r="C681" s="2" t="s">
        <v>63</v>
      </c>
      <c r="D681" s="24">
        <v>0</v>
      </c>
      <c r="E681" s="24"/>
      <c r="F681" s="24"/>
      <c r="G681" s="24"/>
      <c r="H681" s="24"/>
      <c r="I681" s="24"/>
      <c r="J681" s="24"/>
      <c r="K681" s="24"/>
      <c r="L681" s="24"/>
      <c r="M681" s="24"/>
      <c r="N681" s="24">
        <f>D681+E681+F681+H681+I681+K681+J681</f>
        <v>0</v>
      </c>
      <c r="O681" s="33">
        <v>0</v>
      </c>
      <c r="P681" s="14">
        <f t="shared" si="193"/>
        <v>0</v>
      </c>
    </row>
    <row r="682" spans="1:16" x14ac:dyDescent="0.25">
      <c r="A682" s="182"/>
      <c r="B682" s="184"/>
      <c r="C682" s="2" t="s">
        <v>57</v>
      </c>
      <c r="D682" s="24">
        <v>0</v>
      </c>
      <c r="E682" s="24"/>
      <c r="F682" s="24"/>
      <c r="G682" s="24"/>
      <c r="H682" s="24"/>
      <c r="I682" s="24"/>
      <c r="J682" s="24"/>
      <c r="K682" s="24"/>
      <c r="L682" s="24"/>
      <c r="M682" s="24"/>
      <c r="N682" s="24">
        <f>D682+E682+F682+H682+I682+K682+J682</f>
        <v>0</v>
      </c>
      <c r="O682" s="33">
        <v>0</v>
      </c>
      <c r="P682" s="14">
        <f t="shared" si="193"/>
        <v>0</v>
      </c>
    </row>
    <row r="683" spans="1:16" x14ac:dyDescent="0.25">
      <c r="A683" s="182"/>
      <c r="B683" s="184"/>
      <c r="C683" s="2" t="s">
        <v>44</v>
      </c>
      <c r="D683" s="24">
        <v>3620</v>
      </c>
      <c r="E683" s="24">
        <f>5670+430</f>
        <v>6100</v>
      </c>
      <c r="F683" s="24"/>
      <c r="G683" s="24"/>
      <c r="H683" s="24"/>
      <c r="I683" s="24"/>
      <c r="J683" s="24">
        <v>2700</v>
      </c>
      <c r="K683" s="24"/>
      <c r="L683" s="24"/>
      <c r="M683" s="24"/>
      <c r="N683" s="24">
        <f>D683+E683+F683+H683+I683+K683+J683</f>
        <v>12420</v>
      </c>
      <c r="O683" s="33">
        <v>4860</v>
      </c>
      <c r="P683" s="21">
        <f t="shared" si="193"/>
        <v>7560</v>
      </c>
    </row>
    <row r="684" spans="1:16" x14ac:dyDescent="0.25">
      <c r="A684" s="182"/>
      <c r="B684" s="184"/>
      <c r="C684" s="6" t="s">
        <v>45</v>
      </c>
      <c r="D684" s="95">
        <f>SUM(D679:D683)</f>
        <v>39620</v>
      </c>
      <c r="E684" s="95">
        <f t="shared" ref="E684:P684" si="194">SUM(E679:E683)</f>
        <v>6100</v>
      </c>
      <c r="F684" s="95">
        <f t="shared" si="194"/>
        <v>0</v>
      </c>
      <c r="G684" s="95"/>
      <c r="H684" s="95">
        <f t="shared" si="194"/>
        <v>0</v>
      </c>
      <c r="I684" s="95">
        <f t="shared" si="194"/>
        <v>0</v>
      </c>
      <c r="J684" s="95">
        <f t="shared" si="194"/>
        <v>12700</v>
      </c>
      <c r="K684" s="95">
        <f t="shared" si="194"/>
        <v>0</v>
      </c>
      <c r="L684" s="95">
        <f t="shared" si="194"/>
        <v>0</v>
      </c>
      <c r="M684" s="95">
        <f t="shared" si="194"/>
        <v>0</v>
      </c>
      <c r="N684" s="95">
        <f t="shared" si="194"/>
        <v>58420</v>
      </c>
      <c r="O684" s="49">
        <f t="shared" si="194"/>
        <v>22860</v>
      </c>
      <c r="P684" s="26">
        <f t="shared" si="194"/>
        <v>35560</v>
      </c>
    </row>
    <row r="685" spans="1:16" x14ac:dyDescent="0.25">
      <c r="A685" s="182" t="s">
        <v>102</v>
      </c>
      <c r="B685" s="184" t="s">
        <v>17</v>
      </c>
      <c r="C685" s="2" t="s">
        <v>39</v>
      </c>
      <c r="D685" s="24">
        <v>227142</v>
      </c>
      <c r="E685" s="24"/>
      <c r="F685" s="24"/>
      <c r="G685" s="24"/>
      <c r="H685" s="24"/>
      <c r="I685" s="24"/>
      <c r="J685" s="24"/>
      <c r="K685" s="24"/>
      <c r="L685" s="24"/>
      <c r="M685" s="24"/>
      <c r="N685" s="24">
        <f>D685+E685+F685+H685+I685+K685+J685</f>
        <v>227142</v>
      </c>
      <c r="O685" s="33">
        <v>147054</v>
      </c>
      <c r="P685" s="14">
        <f t="shared" ref="P685:P686" si="195">N685-O685</f>
        <v>80088</v>
      </c>
    </row>
    <row r="686" spans="1:16" x14ac:dyDescent="0.25">
      <c r="A686" s="182"/>
      <c r="B686" s="184"/>
      <c r="C686" s="2" t="s">
        <v>41</v>
      </c>
      <c r="D686" s="24">
        <v>37747</v>
      </c>
      <c r="E686" s="24"/>
      <c r="F686" s="24"/>
      <c r="G686" s="24"/>
      <c r="H686" s="24"/>
      <c r="I686" s="24"/>
      <c r="J686" s="24"/>
      <c r="K686" s="24"/>
      <c r="L686" s="24"/>
      <c r="M686" s="24"/>
      <c r="N686" s="24">
        <f>D686+E686+F686+H686+I686+K686+J686+L686</f>
        <v>37747</v>
      </c>
      <c r="O686" s="33">
        <v>25328</v>
      </c>
      <c r="P686" s="14">
        <f t="shared" si="195"/>
        <v>12419</v>
      </c>
    </row>
    <row r="687" spans="1:16" x14ac:dyDescent="0.25">
      <c r="A687" s="186" t="s">
        <v>146</v>
      </c>
      <c r="B687" s="187"/>
      <c r="C687" s="188"/>
      <c r="D687" s="113">
        <f>SUM(D654+D655+D660+D667+D668+D678+D684+D685+D686)</f>
        <v>5041304</v>
      </c>
      <c r="E687" s="101">
        <f>SUM(E654,E655,E660,E667,E668,E678,E684,E685,E686)</f>
        <v>0</v>
      </c>
      <c r="F687" s="101">
        <f t="shared" ref="F687:P687" si="196">SUM(F654,F655,F660,F667,F668,F678,F684,F685,F686)</f>
        <v>429000</v>
      </c>
      <c r="G687" s="101">
        <f t="shared" si="196"/>
        <v>0</v>
      </c>
      <c r="H687" s="101">
        <f t="shared" si="196"/>
        <v>300300</v>
      </c>
      <c r="I687" s="101">
        <f>SUM(I654,I655,I660,I667,I668,I678,I684,I685,I686)</f>
        <v>0</v>
      </c>
      <c r="J687" s="101">
        <f>SUM(J654,J655,J660,J667,J668,J678,J684,J685,J686)</f>
        <v>120000</v>
      </c>
      <c r="K687" s="101">
        <f>SUM(K654,K655,K660,K667,K668,K678,K684,K685,K686)</f>
        <v>0</v>
      </c>
      <c r="L687" s="101">
        <f t="shared" ref="L687:M687" si="197">SUM(L654,L655,L660,L667,L668,L678,L684,L685,L686)</f>
        <v>0</v>
      </c>
      <c r="M687" s="101">
        <f t="shared" si="197"/>
        <v>0</v>
      </c>
      <c r="N687" s="101">
        <f t="shared" si="196"/>
        <v>5890604</v>
      </c>
      <c r="O687" s="133">
        <f>SUM(O654,O655,O660,O667,O668,O678,O684,O685,O686)</f>
        <v>3245081</v>
      </c>
      <c r="P687" s="60">
        <f t="shared" si="196"/>
        <v>2645523</v>
      </c>
    </row>
    <row r="688" spans="1:16" x14ac:dyDescent="0.25">
      <c r="A688" s="182" t="s">
        <v>103</v>
      </c>
      <c r="B688" s="185" t="s">
        <v>38</v>
      </c>
      <c r="C688" s="2" t="s">
        <v>39</v>
      </c>
      <c r="D688" s="24">
        <v>0</v>
      </c>
      <c r="E688" s="24"/>
      <c r="F688" s="24"/>
      <c r="G688" s="24"/>
      <c r="H688" s="24"/>
      <c r="I688" s="24"/>
      <c r="J688" s="24"/>
      <c r="K688" s="24"/>
      <c r="L688" s="24"/>
      <c r="M688" s="24"/>
      <c r="N688" s="24">
        <f>D688+E688+F688+H688+I688+K688+J688</f>
        <v>0</v>
      </c>
      <c r="O688" s="33">
        <v>0</v>
      </c>
      <c r="P688" s="21">
        <f t="shared" ref="P688:P692" si="198">N688-O688</f>
        <v>0</v>
      </c>
    </row>
    <row r="689" spans="1:16" x14ac:dyDescent="0.25">
      <c r="A689" s="182"/>
      <c r="B689" s="196"/>
      <c r="C689" s="2" t="s">
        <v>46</v>
      </c>
      <c r="D689" s="24">
        <v>0</v>
      </c>
      <c r="E689" s="24"/>
      <c r="F689" s="24"/>
      <c r="G689" s="24"/>
      <c r="H689" s="24"/>
      <c r="I689" s="24"/>
      <c r="J689" s="24"/>
      <c r="K689" s="24"/>
      <c r="L689" s="24"/>
      <c r="M689" s="24"/>
      <c r="N689" s="24">
        <f>D689+E689+F689+H689+I689+K689+J689</f>
        <v>0</v>
      </c>
      <c r="O689" s="33">
        <v>0</v>
      </c>
      <c r="P689" s="14">
        <f t="shared" si="198"/>
        <v>0</v>
      </c>
    </row>
    <row r="690" spans="1:16" x14ac:dyDescent="0.25">
      <c r="A690" s="182"/>
      <c r="B690" s="196"/>
      <c r="C690" s="2" t="s">
        <v>47</v>
      </c>
      <c r="D690" s="24">
        <v>0</v>
      </c>
      <c r="E690" s="24"/>
      <c r="F690" s="24"/>
      <c r="G690" s="24"/>
      <c r="H690" s="24"/>
      <c r="I690" s="24"/>
      <c r="J690" s="24"/>
      <c r="K690" s="24"/>
      <c r="L690" s="24"/>
      <c r="M690" s="24"/>
      <c r="N690" s="24">
        <f>D690+E690+F690+H690+I690+K690+J690</f>
        <v>0</v>
      </c>
      <c r="O690" s="33">
        <v>0</v>
      </c>
      <c r="P690" s="14">
        <f t="shared" si="198"/>
        <v>0</v>
      </c>
    </row>
    <row r="691" spans="1:16" x14ac:dyDescent="0.25">
      <c r="A691" s="182"/>
      <c r="B691" s="196"/>
      <c r="C691" s="2" t="s">
        <v>49</v>
      </c>
      <c r="D691" s="24">
        <v>0</v>
      </c>
      <c r="E691" s="24"/>
      <c r="F691" s="24"/>
      <c r="G691" s="24"/>
      <c r="H691" s="24"/>
      <c r="I691" s="24"/>
      <c r="J691" s="24"/>
      <c r="K691" s="24"/>
      <c r="L691" s="24"/>
      <c r="M691" s="24"/>
      <c r="N691" s="24">
        <f>D691+E691+F691+H691+I691+K691+J691</f>
        <v>0</v>
      </c>
      <c r="O691" s="33">
        <v>0</v>
      </c>
      <c r="P691" s="14">
        <f t="shared" si="198"/>
        <v>0</v>
      </c>
    </row>
    <row r="692" spans="1:16" x14ac:dyDescent="0.25">
      <c r="A692" s="182"/>
      <c r="B692" s="196"/>
      <c r="C692" s="2" t="s">
        <v>50</v>
      </c>
      <c r="D692" s="24">
        <v>0</v>
      </c>
      <c r="E692" s="24"/>
      <c r="F692" s="24"/>
      <c r="G692" s="24"/>
      <c r="H692" s="24"/>
      <c r="I692" s="24"/>
      <c r="J692" s="24"/>
      <c r="K692" s="24"/>
      <c r="L692" s="24"/>
      <c r="M692" s="24"/>
      <c r="N692" s="24">
        <f>D692+E692+F692+H692+I692+K692+J692</f>
        <v>0</v>
      </c>
      <c r="O692" s="33">
        <v>0</v>
      </c>
      <c r="P692" s="14">
        <f t="shared" si="198"/>
        <v>0</v>
      </c>
    </row>
    <row r="693" spans="1:16" x14ac:dyDescent="0.25">
      <c r="A693" s="182"/>
      <c r="B693" s="196"/>
      <c r="C693" s="6" t="s">
        <v>40</v>
      </c>
      <c r="D693" s="95">
        <f>SUM(D688:D692)</f>
        <v>0</v>
      </c>
      <c r="E693" s="95">
        <f t="shared" ref="E693:P693" si="199">SUM(E688:E692)</f>
        <v>0</v>
      </c>
      <c r="F693" s="95">
        <f t="shared" si="199"/>
        <v>0</v>
      </c>
      <c r="G693" s="95"/>
      <c r="H693" s="95">
        <f t="shared" si="199"/>
        <v>0</v>
      </c>
      <c r="I693" s="95">
        <f t="shared" si="199"/>
        <v>0</v>
      </c>
      <c r="J693" s="95">
        <f t="shared" si="199"/>
        <v>0</v>
      </c>
      <c r="K693" s="95">
        <f t="shared" si="199"/>
        <v>0</v>
      </c>
      <c r="L693" s="95">
        <f t="shared" si="199"/>
        <v>0</v>
      </c>
      <c r="M693" s="95">
        <f t="shared" si="199"/>
        <v>0</v>
      </c>
      <c r="N693" s="95">
        <f t="shared" si="199"/>
        <v>0</v>
      </c>
      <c r="O693" s="49">
        <f t="shared" si="199"/>
        <v>0</v>
      </c>
      <c r="P693" s="26">
        <f t="shared" si="199"/>
        <v>0</v>
      </c>
    </row>
    <row r="694" spans="1:16" x14ac:dyDescent="0.25">
      <c r="A694" s="182"/>
      <c r="B694" s="196"/>
      <c r="C694" s="57" t="s">
        <v>41</v>
      </c>
      <c r="D694" s="96">
        <v>0</v>
      </c>
      <c r="E694" s="96"/>
      <c r="F694" s="96"/>
      <c r="G694" s="96"/>
      <c r="H694" s="96"/>
      <c r="I694" s="96"/>
      <c r="J694" s="96"/>
      <c r="K694" s="96"/>
      <c r="L694" s="96"/>
      <c r="M694" s="96"/>
      <c r="N694" s="97">
        <f>D694+E694+F694+H694+I694+K694</f>
        <v>0</v>
      </c>
      <c r="O694" s="129">
        <v>0</v>
      </c>
      <c r="P694" s="55">
        <f t="shared" ref="P694:P710" si="200">N694-O694</f>
        <v>0</v>
      </c>
    </row>
    <row r="695" spans="1:16" x14ac:dyDescent="0.25">
      <c r="A695" s="182"/>
      <c r="B695" s="196"/>
      <c r="C695" s="35" t="s">
        <v>42</v>
      </c>
      <c r="D695" s="105">
        <v>0</v>
      </c>
      <c r="E695" s="105"/>
      <c r="F695" s="105"/>
      <c r="G695" s="105"/>
      <c r="H695" s="105"/>
      <c r="I695" s="105"/>
      <c r="J695" s="105"/>
      <c r="K695" s="105"/>
      <c r="L695" s="105"/>
      <c r="M695" s="105"/>
      <c r="N695" s="24">
        <f>D695+E695+F695+H695+I695+K695+J695</f>
        <v>0</v>
      </c>
      <c r="O695" s="130">
        <v>0</v>
      </c>
      <c r="P695" s="33">
        <f t="shared" si="200"/>
        <v>0</v>
      </c>
    </row>
    <row r="696" spans="1:16" x14ac:dyDescent="0.25">
      <c r="A696" s="182"/>
      <c r="B696" s="196"/>
      <c r="C696" s="54" t="s">
        <v>52</v>
      </c>
      <c r="D696" s="105">
        <v>0</v>
      </c>
      <c r="E696" s="105"/>
      <c r="F696" s="105"/>
      <c r="G696" s="105"/>
      <c r="H696" s="105"/>
      <c r="I696" s="105"/>
      <c r="J696" s="105"/>
      <c r="K696" s="105"/>
      <c r="L696" s="105"/>
      <c r="M696" s="105"/>
      <c r="N696" s="24">
        <f>D696+E696+F696+H696+I696+K696+J696</f>
        <v>0</v>
      </c>
      <c r="O696" s="130">
        <v>0</v>
      </c>
      <c r="P696" s="32">
        <f t="shared" si="200"/>
        <v>0</v>
      </c>
    </row>
    <row r="697" spans="1:16" x14ac:dyDescent="0.25">
      <c r="A697" s="182"/>
      <c r="B697" s="196"/>
      <c r="C697" s="35" t="s">
        <v>44</v>
      </c>
      <c r="D697" s="105">
        <v>0</v>
      </c>
      <c r="E697" s="105"/>
      <c r="F697" s="105"/>
      <c r="G697" s="105"/>
      <c r="H697" s="105"/>
      <c r="I697" s="105"/>
      <c r="J697" s="105"/>
      <c r="K697" s="105"/>
      <c r="L697" s="105"/>
      <c r="M697" s="105"/>
      <c r="N697" s="24">
        <f>D697+E697+F697+H697+I697+K697+J697</f>
        <v>0</v>
      </c>
      <c r="O697" s="130">
        <v>0</v>
      </c>
      <c r="P697" s="32">
        <f t="shared" si="200"/>
        <v>0</v>
      </c>
    </row>
    <row r="698" spans="1:16" x14ac:dyDescent="0.25">
      <c r="A698" s="182"/>
      <c r="B698" s="197"/>
      <c r="C698" s="6" t="s">
        <v>45</v>
      </c>
      <c r="D698" s="95">
        <f>SUM(D695:D697)</f>
        <v>0</v>
      </c>
      <c r="E698" s="95">
        <f>E695+E697+E696</f>
        <v>0</v>
      </c>
      <c r="F698" s="95">
        <f t="shared" ref="F698:M698" si="201">F695+F697</f>
        <v>0</v>
      </c>
      <c r="G698" s="95"/>
      <c r="H698" s="95">
        <f t="shared" si="201"/>
        <v>0</v>
      </c>
      <c r="I698" s="95">
        <f t="shared" si="201"/>
        <v>0</v>
      </c>
      <c r="J698" s="95">
        <f t="shared" si="201"/>
        <v>0</v>
      </c>
      <c r="K698" s="95">
        <f t="shared" si="201"/>
        <v>0</v>
      </c>
      <c r="L698" s="95">
        <f t="shared" si="201"/>
        <v>0</v>
      </c>
      <c r="M698" s="95">
        <f t="shared" si="201"/>
        <v>0</v>
      </c>
      <c r="N698" s="95">
        <f>N695+N697+N696</f>
        <v>0</v>
      </c>
      <c r="O698" s="49">
        <f>O695+O697+O696</f>
        <v>0</v>
      </c>
      <c r="P698" s="34">
        <f>P695+P697+P696</f>
        <v>0</v>
      </c>
    </row>
    <row r="699" spans="1:16" x14ac:dyDescent="0.25">
      <c r="A699" s="182"/>
      <c r="B699" s="185" t="s">
        <v>17</v>
      </c>
      <c r="C699" s="35" t="s">
        <v>39</v>
      </c>
      <c r="D699" s="105">
        <v>0</v>
      </c>
      <c r="E699" s="105"/>
      <c r="F699" s="105"/>
      <c r="G699" s="105"/>
      <c r="H699" s="105"/>
      <c r="I699" s="105"/>
      <c r="J699" s="105"/>
      <c r="K699" s="105"/>
      <c r="L699" s="105"/>
      <c r="M699" s="105"/>
      <c r="N699" s="24">
        <f>D699+E699+F699+H699+I699+K699+J699</f>
        <v>0</v>
      </c>
      <c r="O699" s="130">
        <v>0</v>
      </c>
      <c r="P699" s="32">
        <f t="shared" si="200"/>
        <v>0</v>
      </c>
    </row>
    <row r="700" spans="1:16" x14ac:dyDescent="0.25">
      <c r="A700" s="182"/>
      <c r="B700" s="196"/>
      <c r="C700" s="6" t="s">
        <v>40</v>
      </c>
      <c r="D700" s="95">
        <f>SUM(D699)</f>
        <v>0</v>
      </c>
      <c r="E700" s="95">
        <f t="shared" ref="E700:P700" si="202">E699</f>
        <v>0</v>
      </c>
      <c r="F700" s="95">
        <f t="shared" si="202"/>
        <v>0</v>
      </c>
      <c r="G700" s="95"/>
      <c r="H700" s="95">
        <f t="shared" si="202"/>
        <v>0</v>
      </c>
      <c r="I700" s="95">
        <f t="shared" si="202"/>
        <v>0</v>
      </c>
      <c r="J700" s="95">
        <f t="shared" si="202"/>
        <v>0</v>
      </c>
      <c r="K700" s="95">
        <f t="shared" si="202"/>
        <v>0</v>
      </c>
      <c r="L700" s="95">
        <f t="shared" si="202"/>
        <v>0</v>
      </c>
      <c r="M700" s="95">
        <f t="shared" si="202"/>
        <v>0</v>
      </c>
      <c r="N700" s="95">
        <f t="shared" si="202"/>
        <v>0</v>
      </c>
      <c r="O700" s="49">
        <f t="shared" si="202"/>
        <v>0</v>
      </c>
      <c r="P700" s="34">
        <f t="shared" si="202"/>
        <v>0</v>
      </c>
    </row>
    <row r="701" spans="1:16" x14ac:dyDescent="0.25">
      <c r="A701" s="182"/>
      <c r="B701" s="196"/>
      <c r="C701" s="57" t="s">
        <v>41</v>
      </c>
      <c r="D701" s="96">
        <v>0</v>
      </c>
      <c r="E701" s="96"/>
      <c r="F701" s="96">
        <v>0</v>
      </c>
      <c r="G701" s="96"/>
      <c r="H701" s="96"/>
      <c r="I701" s="96"/>
      <c r="J701" s="96"/>
      <c r="K701" s="96"/>
      <c r="L701" s="96"/>
      <c r="M701" s="96"/>
      <c r="N701" s="97">
        <f t="shared" ref="N701:N710" si="203">D701+E701+F701+H701+I701+K701+J701</f>
        <v>0</v>
      </c>
      <c r="O701" s="129"/>
      <c r="P701" s="56">
        <f t="shared" ref="P701" si="204">N701-O701</f>
        <v>0</v>
      </c>
    </row>
    <row r="702" spans="1:16" x14ac:dyDescent="0.25">
      <c r="A702" s="182"/>
      <c r="B702" s="196"/>
      <c r="C702" s="2" t="s">
        <v>42</v>
      </c>
      <c r="D702" s="24">
        <v>0</v>
      </c>
      <c r="E702" s="24"/>
      <c r="F702" s="24"/>
      <c r="G702" s="24"/>
      <c r="H702" s="24"/>
      <c r="I702" s="24"/>
      <c r="J702" s="24"/>
      <c r="K702" s="24"/>
      <c r="L702" s="24"/>
      <c r="M702" s="24"/>
      <c r="N702" s="24">
        <f t="shared" si="203"/>
        <v>0</v>
      </c>
      <c r="O702" s="33"/>
      <c r="P702" s="14">
        <f t="shared" si="200"/>
        <v>0</v>
      </c>
    </row>
    <row r="703" spans="1:16" x14ac:dyDescent="0.25">
      <c r="A703" s="182"/>
      <c r="B703" s="196"/>
      <c r="C703" s="2" t="s">
        <v>52</v>
      </c>
      <c r="D703" s="24">
        <v>0</v>
      </c>
      <c r="E703" s="24"/>
      <c r="F703" s="24"/>
      <c r="G703" s="24"/>
      <c r="H703" s="24"/>
      <c r="I703" s="24"/>
      <c r="J703" s="24"/>
      <c r="K703" s="24"/>
      <c r="L703" s="24"/>
      <c r="M703" s="24"/>
      <c r="N703" s="24">
        <f t="shared" si="203"/>
        <v>0</v>
      </c>
      <c r="O703" s="33"/>
      <c r="P703" s="21">
        <f t="shared" si="200"/>
        <v>0</v>
      </c>
    </row>
    <row r="704" spans="1:16" x14ac:dyDescent="0.25">
      <c r="A704" s="182"/>
      <c r="B704" s="196"/>
      <c r="C704" s="30" t="s">
        <v>54</v>
      </c>
      <c r="D704" s="24">
        <v>0</v>
      </c>
      <c r="E704" s="24"/>
      <c r="F704" s="24"/>
      <c r="G704" s="24"/>
      <c r="H704" s="24"/>
      <c r="I704" s="24"/>
      <c r="J704" s="24"/>
      <c r="K704" s="24"/>
      <c r="L704" s="24"/>
      <c r="M704" s="24"/>
      <c r="N704" s="24">
        <f t="shared" si="203"/>
        <v>0</v>
      </c>
      <c r="O704" s="33"/>
      <c r="P704" s="33">
        <f t="shared" si="200"/>
        <v>0</v>
      </c>
    </row>
    <row r="705" spans="1:16" x14ac:dyDescent="0.25">
      <c r="A705" s="182"/>
      <c r="B705" s="196"/>
      <c r="C705" s="2" t="s">
        <v>56</v>
      </c>
      <c r="D705" s="24">
        <v>0</v>
      </c>
      <c r="E705" s="24"/>
      <c r="F705" s="24"/>
      <c r="G705" s="24"/>
      <c r="H705" s="24"/>
      <c r="I705" s="24"/>
      <c r="J705" s="24"/>
      <c r="K705" s="24"/>
      <c r="L705" s="24"/>
      <c r="M705" s="24"/>
      <c r="N705" s="24">
        <f t="shared" si="203"/>
        <v>0</v>
      </c>
      <c r="O705" s="33"/>
      <c r="P705" s="14">
        <f t="shared" si="200"/>
        <v>0</v>
      </c>
    </row>
    <row r="706" spans="1:16" x14ac:dyDescent="0.25">
      <c r="A706" s="182"/>
      <c r="B706" s="196"/>
      <c r="C706" s="2" t="s">
        <v>43</v>
      </c>
      <c r="D706" s="24">
        <v>0</v>
      </c>
      <c r="E706" s="24"/>
      <c r="F706" s="24"/>
      <c r="G706" s="24"/>
      <c r="H706" s="24"/>
      <c r="I706" s="24"/>
      <c r="J706" s="24"/>
      <c r="K706" s="24"/>
      <c r="L706" s="24"/>
      <c r="M706" s="24"/>
      <c r="N706" s="24">
        <f t="shared" si="203"/>
        <v>0</v>
      </c>
      <c r="O706" s="33"/>
      <c r="P706" s="14">
        <f t="shared" si="200"/>
        <v>0</v>
      </c>
    </row>
    <row r="707" spans="1:16" x14ac:dyDescent="0.25">
      <c r="A707" s="182"/>
      <c r="B707" s="196"/>
      <c r="C707" s="2" t="s">
        <v>57</v>
      </c>
      <c r="D707" s="24">
        <v>0</v>
      </c>
      <c r="E707" s="24"/>
      <c r="F707" s="24"/>
      <c r="G707" s="24"/>
      <c r="H707" s="24"/>
      <c r="I707" s="24"/>
      <c r="J707" s="24"/>
      <c r="K707" s="24"/>
      <c r="L707" s="24"/>
      <c r="M707" s="24"/>
      <c r="N707" s="24">
        <f t="shared" si="203"/>
        <v>0</v>
      </c>
      <c r="O707" s="33"/>
      <c r="P707" s="14">
        <f t="shared" si="200"/>
        <v>0</v>
      </c>
    </row>
    <row r="708" spans="1:16" x14ac:dyDescent="0.25">
      <c r="A708" s="182"/>
      <c r="B708" s="196"/>
      <c r="C708" s="2" t="s">
        <v>58</v>
      </c>
      <c r="D708" s="24">
        <v>0</v>
      </c>
      <c r="E708" s="24"/>
      <c r="F708" s="24"/>
      <c r="G708" s="24"/>
      <c r="H708" s="24"/>
      <c r="I708" s="24"/>
      <c r="J708" s="24"/>
      <c r="K708" s="24"/>
      <c r="L708" s="24"/>
      <c r="M708" s="24"/>
      <c r="N708" s="24">
        <f t="shared" si="203"/>
        <v>0</v>
      </c>
      <c r="O708" s="33"/>
      <c r="P708" s="14">
        <f t="shared" si="200"/>
        <v>0</v>
      </c>
    </row>
    <row r="709" spans="1:16" x14ac:dyDescent="0.25">
      <c r="A709" s="182"/>
      <c r="B709" s="196"/>
      <c r="C709" s="2" t="s">
        <v>44</v>
      </c>
      <c r="D709" s="24">
        <v>0</v>
      </c>
      <c r="E709" s="24"/>
      <c r="F709" s="24"/>
      <c r="G709" s="24"/>
      <c r="H709" s="24"/>
      <c r="I709" s="24"/>
      <c r="J709" s="24"/>
      <c r="K709" s="24"/>
      <c r="L709" s="24"/>
      <c r="M709" s="24"/>
      <c r="N709" s="24">
        <f t="shared" si="203"/>
        <v>0</v>
      </c>
      <c r="O709" s="33"/>
      <c r="P709" s="21">
        <f t="shared" si="200"/>
        <v>0</v>
      </c>
    </row>
    <row r="710" spans="1:16" x14ac:dyDescent="0.25">
      <c r="A710" s="182"/>
      <c r="B710" s="196"/>
      <c r="C710" s="2" t="s">
        <v>59</v>
      </c>
      <c r="D710" s="24">
        <v>574939</v>
      </c>
      <c r="E710" s="24"/>
      <c r="F710" s="28"/>
      <c r="G710" s="28"/>
      <c r="H710" s="24"/>
      <c r="I710" s="24"/>
      <c r="J710" s="24"/>
      <c r="K710" s="24"/>
      <c r="L710" s="24"/>
      <c r="M710" s="24"/>
      <c r="N710" s="24">
        <f t="shared" si="203"/>
        <v>574939</v>
      </c>
      <c r="O710" s="33"/>
      <c r="P710" s="14">
        <f t="shared" si="200"/>
        <v>574939</v>
      </c>
    </row>
    <row r="711" spans="1:16" x14ac:dyDescent="0.25">
      <c r="A711" s="182"/>
      <c r="B711" s="197"/>
      <c r="C711" s="6" t="s">
        <v>45</v>
      </c>
      <c r="D711" s="95">
        <f>SUM(D702:D710)</f>
        <v>574939</v>
      </c>
      <c r="E711" s="95">
        <f t="shared" ref="E711:P711" si="205">SUM(E702:E710)</f>
        <v>0</v>
      </c>
      <c r="F711" s="95">
        <f t="shared" si="205"/>
        <v>0</v>
      </c>
      <c r="G711" s="95"/>
      <c r="H711" s="95">
        <f t="shared" si="205"/>
        <v>0</v>
      </c>
      <c r="I711" s="95">
        <f>SUM(I702:I710)</f>
        <v>0</v>
      </c>
      <c r="J711" s="95">
        <f>SUM(J702:J710)</f>
        <v>0</v>
      </c>
      <c r="K711" s="95">
        <f>SUM(K702:K710)</f>
        <v>0</v>
      </c>
      <c r="L711" s="95">
        <f t="shared" ref="L711:M711" si="206">SUM(L702:L710)</f>
        <v>0</v>
      </c>
      <c r="M711" s="95">
        <f t="shared" si="206"/>
        <v>0</v>
      </c>
      <c r="N711" s="95">
        <f t="shared" si="205"/>
        <v>574939</v>
      </c>
      <c r="O711" s="49">
        <f t="shared" si="205"/>
        <v>0</v>
      </c>
      <c r="P711" s="26">
        <f t="shared" si="205"/>
        <v>574939</v>
      </c>
    </row>
    <row r="712" spans="1:16" x14ac:dyDescent="0.25">
      <c r="A712" s="182" t="s">
        <v>104</v>
      </c>
      <c r="B712" s="184" t="s">
        <v>17</v>
      </c>
      <c r="C712" s="2" t="s">
        <v>39</v>
      </c>
      <c r="D712" s="24">
        <v>0</v>
      </c>
      <c r="E712" s="24"/>
      <c r="F712" s="24"/>
      <c r="G712" s="24"/>
      <c r="H712" s="24"/>
      <c r="I712" s="24"/>
      <c r="J712" s="24"/>
      <c r="K712" s="24"/>
      <c r="L712" s="24"/>
      <c r="M712" s="24"/>
      <c r="N712" s="24">
        <f>D712+E712+F712+H712+I712+K712+J712</f>
        <v>0</v>
      </c>
      <c r="O712" s="33"/>
      <c r="P712" s="14">
        <f t="shared" ref="P712:P713" si="207">N712-O712</f>
        <v>0</v>
      </c>
    </row>
    <row r="713" spans="1:16" x14ac:dyDescent="0.25">
      <c r="A713" s="182"/>
      <c r="B713" s="184"/>
      <c r="C713" s="2" t="s">
        <v>41</v>
      </c>
      <c r="D713" s="24">
        <v>0</v>
      </c>
      <c r="E713" s="24"/>
      <c r="F713" s="24"/>
      <c r="G713" s="24"/>
      <c r="H713" s="24"/>
      <c r="I713" s="24"/>
      <c r="J713" s="24"/>
      <c r="K713" s="24"/>
      <c r="L713" s="24"/>
      <c r="M713" s="24"/>
      <c r="N713" s="24">
        <f>D713+E713+F713+H713+I713+K713+J713</f>
        <v>0</v>
      </c>
      <c r="O713" s="33"/>
      <c r="P713" s="14">
        <f t="shared" si="207"/>
        <v>0</v>
      </c>
    </row>
    <row r="714" spans="1:16" x14ac:dyDescent="0.25">
      <c r="A714" s="186" t="s">
        <v>129</v>
      </c>
      <c r="B714" s="187"/>
      <c r="C714" s="188"/>
      <c r="D714" s="113">
        <f>SUM(D693+D694+D698+D700+D701+D711+D712+D713)</f>
        <v>574939</v>
      </c>
      <c r="E714" s="101">
        <f>SUM(E693,E694,E711,E712,E713)+E701+E700+E698</f>
        <v>0</v>
      </c>
      <c r="F714" s="101">
        <f t="shared" ref="F714:P714" si="208">SUM(F693,F694,F711,F712,F713)+F701+F700+F698</f>
        <v>0</v>
      </c>
      <c r="G714" s="101"/>
      <c r="H714" s="101">
        <f t="shared" si="208"/>
        <v>0</v>
      </c>
      <c r="I714" s="101">
        <f>SUM(I693,I694,I711,I712,I713)+I701+I700+I698</f>
        <v>0</v>
      </c>
      <c r="J714" s="101">
        <f>SUM(J693,J694,J711,J712,J713)+J701+J700+J698</f>
        <v>0</v>
      </c>
      <c r="K714" s="101">
        <f>SUM(K693,K694,K711,K712,K713)+K701+K700+K698</f>
        <v>0</v>
      </c>
      <c r="L714" s="101">
        <f t="shared" ref="L714:M714" si="209">SUM(L693,L694,L711,L712,L713)+L701+L700+L698</f>
        <v>0</v>
      </c>
      <c r="M714" s="101">
        <f t="shared" si="209"/>
        <v>0</v>
      </c>
      <c r="N714" s="101">
        <f t="shared" si="208"/>
        <v>574939</v>
      </c>
      <c r="O714" s="133">
        <f>SUM(O693,O694,O711,O712,O713)+O701+O700+O698</f>
        <v>0</v>
      </c>
      <c r="P714" s="60">
        <f t="shared" si="208"/>
        <v>574939</v>
      </c>
    </row>
    <row r="715" spans="1:16" x14ac:dyDescent="0.25">
      <c r="A715" s="183" t="s">
        <v>105</v>
      </c>
      <c r="B715" s="115" t="s">
        <v>5</v>
      </c>
      <c r="C715" s="2" t="s">
        <v>66</v>
      </c>
      <c r="D715" s="24">
        <v>0</v>
      </c>
      <c r="E715" s="24"/>
      <c r="F715" s="24"/>
      <c r="G715" s="24"/>
      <c r="H715" s="24"/>
      <c r="I715" s="24"/>
      <c r="J715" s="24"/>
      <c r="K715" s="24"/>
      <c r="L715" s="24"/>
      <c r="M715" s="24"/>
      <c r="N715" s="24">
        <f>D715+E715+F715+H715+I715+K715+J715</f>
        <v>0</v>
      </c>
      <c r="O715" s="33">
        <v>0</v>
      </c>
      <c r="P715" s="14">
        <f t="shared" ref="P715:P717" si="210">N715-O715</f>
        <v>0</v>
      </c>
    </row>
    <row r="716" spans="1:16" x14ac:dyDescent="0.25">
      <c r="A716" s="194"/>
      <c r="B716" s="185" t="s">
        <v>38</v>
      </c>
      <c r="C716" s="2" t="s">
        <v>39</v>
      </c>
      <c r="D716" s="24">
        <v>978360</v>
      </c>
      <c r="E716" s="24"/>
      <c r="F716" s="24"/>
      <c r="G716" s="24"/>
      <c r="H716" s="24"/>
      <c r="I716" s="24"/>
      <c r="J716" s="24"/>
      <c r="K716" s="24"/>
      <c r="L716" s="24"/>
      <c r="M716" s="24"/>
      <c r="N716" s="24">
        <f>D716+E716+F716+H716+I716+K716+J716</f>
        <v>978360</v>
      </c>
      <c r="O716" s="33">
        <v>644087</v>
      </c>
      <c r="P716" s="14">
        <f t="shared" si="210"/>
        <v>334273</v>
      </c>
    </row>
    <row r="717" spans="1:16" x14ac:dyDescent="0.25">
      <c r="A717" s="194"/>
      <c r="B717" s="196"/>
      <c r="C717" s="2" t="s">
        <v>50</v>
      </c>
      <c r="D717" s="24">
        <v>0</v>
      </c>
      <c r="E717" s="24"/>
      <c r="F717" s="24"/>
      <c r="G717" s="24"/>
      <c r="H717" s="24"/>
      <c r="I717" s="24"/>
      <c r="J717" s="24"/>
      <c r="K717" s="24"/>
      <c r="L717" s="24"/>
      <c r="M717" s="24"/>
      <c r="N717" s="24">
        <f>D717+E717+F717+H717+I717+K717+J717</f>
        <v>0</v>
      </c>
      <c r="O717" s="33">
        <v>0</v>
      </c>
      <c r="P717" s="14">
        <f t="shared" si="210"/>
        <v>0</v>
      </c>
    </row>
    <row r="718" spans="1:16" x14ac:dyDescent="0.25">
      <c r="A718" s="194"/>
      <c r="B718" s="196"/>
      <c r="C718" s="6" t="s">
        <v>40</v>
      </c>
      <c r="D718" s="95">
        <f>SUM(D716:D717)</f>
        <v>978360</v>
      </c>
      <c r="E718" s="95">
        <f t="shared" ref="E718:P718" si="211">SUM(E716:E717)</f>
        <v>0</v>
      </c>
      <c r="F718" s="95">
        <f t="shared" si="211"/>
        <v>0</v>
      </c>
      <c r="G718" s="95"/>
      <c r="H718" s="95">
        <f t="shared" si="211"/>
        <v>0</v>
      </c>
      <c r="I718" s="95">
        <f t="shared" si="211"/>
        <v>0</v>
      </c>
      <c r="J718" s="95">
        <f t="shared" si="211"/>
        <v>0</v>
      </c>
      <c r="K718" s="95">
        <f t="shared" si="211"/>
        <v>0</v>
      </c>
      <c r="L718" s="95">
        <f t="shared" si="211"/>
        <v>0</v>
      </c>
      <c r="M718" s="95">
        <f t="shared" si="211"/>
        <v>0</v>
      </c>
      <c r="N718" s="95">
        <f t="shared" si="211"/>
        <v>978360</v>
      </c>
      <c r="O718" s="49">
        <f t="shared" si="211"/>
        <v>644087</v>
      </c>
      <c r="P718" s="26">
        <f t="shared" si="211"/>
        <v>334273</v>
      </c>
    </row>
    <row r="719" spans="1:16" x14ac:dyDescent="0.25">
      <c r="A719" s="194"/>
      <c r="B719" s="196"/>
      <c r="C719" s="57" t="s">
        <v>41</v>
      </c>
      <c r="D719" s="96">
        <v>85607</v>
      </c>
      <c r="E719" s="96"/>
      <c r="F719" s="96"/>
      <c r="G719" s="96"/>
      <c r="H719" s="96"/>
      <c r="I719" s="96"/>
      <c r="J719" s="96"/>
      <c r="K719" s="96"/>
      <c r="L719" s="96"/>
      <c r="M719" s="96"/>
      <c r="N719" s="97">
        <f>D719+E719+F719+H719+I719+K719</f>
        <v>85607</v>
      </c>
      <c r="O719" s="129">
        <v>56256</v>
      </c>
      <c r="P719" s="55">
        <f t="shared" ref="P719:P723" si="212">N719-O719</f>
        <v>29351</v>
      </c>
    </row>
    <row r="720" spans="1:16" x14ac:dyDescent="0.25">
      <c r="A720" s="194"/>
      <c r="B720" s="196"/>
      <c r="C720" s="2" t="s">
        <v>42</v>
      </c>
      <c r="D720" s="24">
        <v>0</v>
      </c>
      <c r="E720" s="24"/>
      <c r="F720" s="24"/>
      <c r="G720" s="24"/>
      <c r="H720" s="24"/>
      <c r="I720" s="24"/>
      <c r="J720" s="24"/>
      <c r="K720" s="24"/>
      <c r="L720" s="24"/>
      <c r="M720" s="24"/>
      <c r="N720" s="24">
        <f>D720+E720+F720+H720+I720+K720+J720</f>
        <v>0</v>
      </c>
      <c r="O720" s="33">
        <v>0</v>
      </c>
      <c r="P720" s="32">
        <f t="shared" si="212"/>
        <v>0</v>
      </c>
    </row>
    <row r="721" spans="1:16" x14ac:dyDescent="0.25">
      <c r="A721" s="194"/>
      <c r="B721" s="196"/>
      <c r="C721" s="2" t="s">
        <v>52</v>
      </c>
      <c r="D721" s="24">
        <v>0</v>
      </c>
      <c r="E721" s="24"/>
      <c r="F721" s="24"/>
      <c r="G721" s="24"/>
      <c r="H721" s="24"/>
      <c r="I721" s="24"/>
      <c r="J721" s="24"/>
      <c r="K721" s="24"/>
      <c r="L721" s="24"/>
      <c r="M721" s="24"/>
      <c r="N721" s="24">
        <f>D721+E721+F721+H721+I721+K721+J721</f>
        <v>0</v>
      </c>
      <c r="O721" s="33">
        <v>0</v>
      </c>
      <c r="P721" s="32">
        <f t="shared" si="212"/>
        <v>0</v>
      </c>
    </row>
    <row r="722" spans="1:16" x14ac:dyDescent="0.25">
      <c r="A722" s="194"/>
      <c r="B722" s="196"/>
      <c r="C722" s="2" t="s">
        <v>43</v>
      </c>
      <c r="D722" s="24">
        <v>0</v>
      </c>
      <c r="E722" s="24"/>
      <c r="F722" s="24"/>
      <c r="G722" s="24"/>
      <c r="H722" s="24"/>
      <c r="I722" s="24"/>
      <c r="J722" s="24"/>
      <c r="K722" s="24"/>
      <c r="L722" s="24"/>
      <c r="M722" s="24"/>
      <c r="N722" s="24">
        <f>D722+E722+F722+H722+I722+K722+J722</f>
        <v>0</v>
      </c>
      <c r="O722" s="33">
        <v>0</v>
      </c>
      <c r="P722" s="32">
        <f t="shared" si="212"/>
        <v>0</v>
      </c>
    </row>
    <row r="723" spans="1:16" x14ac:dyDescent="0.25">
      <c r="A723" s="194"/>
      <c r="B723" s="196"/>
      <c r="C723" s="2" t="s">
        <v>44</v>
      </c>
      <c r="D723" s="24">
        <v>0</v>
      </c>
      <c r="E723" s="24"/>
      <c r="F723" s="24"/>
      <c r="G723" s="24"/>
      <c r="H723" s="24"/>
      <c r="I723" s="24"/>
      <c r="J723" s="24"/>
      <c r="K723" s="24"/>
      <c r="L723" s="24"/>
      <c r="M723" s="24"/>
      <c r="N723" s="24">
        <f>D723+E723+F723+H723+I723+K723+J723</f>
        <v>0</v>
      </c>
      <c r="O723" s="33">
        <v>0</v>
      </c>
      <c r="P723" s="32">
        <f t="shared" si="212"/>
        <v>0</v>
      </c>
    </row>
    <row r="724" spans="1:16" x14ac:dyDescent="0.25">
      <c r="A724" s="194"/>
      <c r="B724" s="197"/>
      <c r="C724" s="6" t="s">
        <v>45</v>
      </c>
      <c r="D724" s="95">
        <f>SUM(D720:D723)</f>
        <v>0</v>
      </c>
      <c r="E724" s="95">
        <f t="shared" ref="E724:P724" si="213">SUM(E720:E723)</f>
        <v>0</v>
      </c>
      <c r="F724" s="95">
        <f t="shared" si="213"/>
        <v>0</v>
      </c>
      <c r="G724" s="95"/>
      <c r="H724" s="95">
        <f t="shared" si="213"/>
        <v>0</v>
      </c>
      <c r="I724" s="95">
        <f t="shared" si="213"/>
        <v>0</v>
      </c>
      <c r="J724" s="95">
        <f t="shared" si="213"/>
        <v>0</v>
      </c>
      <c r="K724" s="95">
        <f t="shared" si="213"/>
        <v>0</v>
      </c>
      <c r="L724" s="95">
        <f t="shared" si="213"/>
        <v>0</v>
      </c>
      <c r="M724" s="95">
        <f t="shared" si="213"/>
        <v>0</v>
      </c>
      <c r="N724" s="95">
        <f t="shared" si="213"/>
        <v>0</v>
      </c>
      <c r="O724" s="49">
        <f>SUM(O720:O723)</f>
        <v>0</v>
      </c>
      <c r="P724" s="34">
        <f t="shared" si="213"/>
        <v>0</v>
      </c>
    </row>
    <row r="725" spans="1:16" x14ac:dyDescent="0.25">
      <c r="A725" s="194"/>
      <c r="B725" s="185" t="s">
        <v>17</v>
      </c>
      <c r="C725" s="2" t="s">
        <v>39</v>
      </c>
      <c r="D725" s="24">
        <v>5236047</v>
      </c>
      <c r="E725" s="24"/>
      <c r="F725" s="24"/>
      <c r="G725" s="24"/>
      <c r="H725" s="24"/>
      <c r="I725" s="24"/>
      <c r="J725" s="24"/>
      <c r="K725" s="28"/>
      <c r="L725" s="28"/>
      <c r="M725" s="28"/>
      <c r="N725" s="24">
        <f t="shared" ref="N725:N730" si="214">D725+E725+F725+H725+I725+K725+J725</f>
        <v>5236047</v>
      </c>
      <c r="O725" s="33">
        <v>3507379</v>
      </c>
      <c r="P725" s="14">
        <f t="shared" ref="P725:P730" si="215">N725-O725</f>
        <v>1728668</v>
      </c>
    </row>
    <row r="726" spans="1:16" x14ac:dyDescent="0.25">
      <c r="A726" s="194"/>
      <c r="B726" s="196"/>
      <c r="C726" s="2" t="s">
        <v>46</v>
      </c>
      <c r="D726" s="24">
        <v>200000</v>
      </c>
      <c r="E726" s="24"/>
      <c r="F726" s="24"/>
      <c r="G726" s="24"/>
      <c r="H726" s="24"/>
      <c r="I726" s="24"/>
      <c r="J726" s="24"/>
      <c r="K726" s="24"/>
      <c r="L726" s="24"/>
      <c r="M726" s="24"/>
      <c r="N726" s="24">
        <f t="shared" si="214"/>
        <v>200000</v>
      </c>
      <c r="O726" s="33">
        <v>100000</v>
      </c>
      <c r="P726" s="14">
        <f t="shared" si="215"/>
        <v>100000</v>
      </c>
    </row>
    <row r="727" spans="1:16" x14ac:dyDescent="0.25">
      <c r="A727" s="194"/>
      <c r="B727" s="196"/>
      <c r="C727" s="2" t="s">
        <v>47</v>
      </c>
      <c r="D727" s="24">
        <v>10000</v>
      </c>
      <c r="E727" s="24"/>
      <c r="F727" s="24"/>
      <c r="G727" s="24"/>
      <c r="H727" s="24"/>
      <c r="I727" s="24"/>
      <c r="J727" s="24"/>
      <c r="K727" s="24"/>
      <c r="L727" s="24"/>
      <c r="M727" s="24"/>
      <c r="N727" s="24">
        <f t="shared" si="214"/>
        <v>10000</v>
      </c>
      <c r="O727" s="33">
        <v>0</v>
      </c>
      <c r="P727" s="14">
        <f t="shared" si="215"/>
        <v>10000</v>
      </c>
    </row>
    <row r="728" spans="1:16" x14ac:dyDescent="0.25">
      <c r="A728" s="194"/>
      <c r="B728" s="196"/>
      <c r="C728" s="2" t="s">
        <v>49</v>
      </c>
      <c r="D728" s="24">
        <v>24000</v>
      </c>
      <c r="E728" s="24"/>
      <c r="F728" s="24"/>
      <c r="G728" s="24"/>
      <c r="H728" s="24"/>
      <c r="I728" s="24"/>
      <c r="J728" s="24"/>
      <c r="K728" s="24"/>
      <c r="L728" s="24"/>
      <c r="M728" s="24"/>
      <c r="N728" s="24">
        <f t="shared" si="214"/>
        <v>24000</v>
      </c>
      <c r="O728" s="33">
        <v>12000</v>
      </c>
      <c r="P728" s="14">
        <f t="shared" si="215"/>
        <v>12000</v>
      </c>
    </row>
    <row r="729" spans="1:16" x14ac:dyDescent="0.25">
      <c r="A729" s="194"/>
      <c r="B729" s="196"/>
      <c r="C729" s="2" t="s">
        <v>50</v>
      </c>
      <c r="D729" s="24">
        <v>15290</v>
      </c>
      <c r="E729" s="24"/>
      <c r="F729" s="24"/>
      <c r="G729" s="24"/>
      <c r="H729" s="24"/>
      <c r="I729" s="24"/>
      <c r="J729" s="24"/>
      <c r="K729" s="24"/>
      <c r="L729" s="24"/>
      <c r="M729" s="24"/>
      <c r="N729" s="24">
        <f t="shared" si="214"/>
        <v>15290</v>
      </c>
      <c r="O729" s="33">
        <v>15290</v>
      </c>
      <c r="P729" s="21">
        <f t="shared" si="215"/>
        <v>0</v>
      </c>
    </row>
    <row r="730" spans="1:16" x14ac:dyDescent="0.25">
      <c r="A730" s="194"/>
      <c r="B730" s="196"/>
      <c r="C730" s="2" t="s">
        <v>51</v>
      </c>
      <c r="D730" s="24">
        <v>15000</v>
      </c>
      <c r="E730" s="24"/>
      <c r="F730" s="24"/>
      <c r="G730" s="24"/>
      <c r="H730" s="24"/>
      <c r="I730" s="24"/>
      <c r="J730" s="24"/>
      <c r="K730" s="24"/>
      <c r="L730" s="24"/>
      <c r="M730" s="24"/>
      <c r="N730" s="24">
        <f t="shared" si="214"/>
        <v>15000</v>
      </c>
      <c r="O730" s="33">
        <v>0</v>
      </c>
      <c r="P730" s="14">
        <f t="shared" si="215"/>
        <v>15000</v>
      </c>
    </row>
    <row r="731" spans="1:16" x14ac:dyDescent="0.25">
      <c r="A731" s="194"/>
      <c r="B731" s="196"/>
      <c r="C731" s="6" t="s">
        <v>40</v>
      </c>
      <c r="D731" s="95">
        <f>SUM(D725:D730)</f>
        <v>5500337</v>
      </c>
      <c r="E731" s="95">
        <f>SUM(E725:E730)</f>
        <v>0</v>
      </c>
      <c r="F731" s="95">
        <f t="shared" ref="F731:M731" si="216">SUM(F725:F729)</f>
        <v>0</v>
      </c>
      <c r="G731" s="95"/>
      <c r="H731" s="95">
        <f t="shared" si="216"/>
        <v>0</v>
      </c>
      <c r="I731" s="95">
        <f t="shared" si="216"/>
        <v>0</v>
      </c>
      <c r="J731" s="95">
        <f t="shared" si="216"/>
        <v>0</v>
      </c>
      <c r="K731" s="95">
        <f t="shared" si="216"/>
        <v>0</v>
      </c>
      <c r="L731" s="95">
        <f t="shared" si="216"/>
        <v>0</v>
      </c>
      <c r="M731" s="95">
        <f t="shared" si="216"/>
        <v>0</v>
      </c>
      <c r="N731" s="95">
        <f>SUM(N725:N730)</f>
        <v>5500337</v>
      </c>
      <c r="O731" s="49">
        <f>SUM(O725:O730)</f>
        <v>3634669</v>
      </c>
      <c r="P731" s="26">
        <f>SUM(P725:P730)</f>
        <v>1865668</v>
      </c>
    </row>
    <row r="732" spans="1:16" x14ac:dyDescent="0.25">
      <c r="A732" s="194"/>
      <c r="B732" s="196"/>
      <c r="C732" s="57" t="s">
        <v>41</v>
      </c>
      <c r="D732" s="96">
        <v>995687</v>
      </c>
      <c r="E732" s="96"/>
      <c r="F732" s="96">
        <v>0</v>
      </c>
      <c r="G732" s="96"/>
      <c r="H732" s="96"/>
      <c r="I732" s="96"/>
      <c r="J732" s="96"/>
      <c r="K732" s="96"/>
      <c r="L732" s="96"/>
      <c r="M732" s="96"/>
      <c r="N732" s="97">
        <f>D732+E732+F732+H732+I732+K732</f>
        <v>995687</v>
      </c>
      <c r="O732" s="129">
        <v>626212</v>
      </c>
      <c r="P732" s="55">
        <f t="shared" ref="P732:P744" si="217">N732-O732</f>
        <v>369475</v>
      </c>
    </row>
    <row r="733" spans="1:16" x14ac:dyDescent="0.25">
      <c r="A733" s="194"/>
      <c r="B733" s="196"/>
      <c r="C733" s="2" t="s">
        <v>42</v>
      </c>
      <c r="D733" s="24">
        <v>40000</v>
      </c>
      <c r="E733" s="24">
        <v>-150000</v>
      </c>
      <c r="F733" s="24">
        <v>337795</v>
      </c>
      <c r="G733" s="24"/>
      <c r="H733" s="24">
        <v>200000</v>
      </c>
      <c r="I733" s="24"/>
      <c r="J733" s="24"/>
      <c r="K733" s="24"/>
      <c r="L733" s="24"/>
      <c r="M733" s="24"/>
      <c r="N733" s="24">
        <f t="shared" ref="N733:N744" si="218">D733+E733+F733+H733+I733+K733+J733</f>
        <v>427795</v>
      </c>
      <c r="O733" s="33">
        <v>0</v>
      </c>
      <c r="P733" s="14">
        <f t="shared" si="217"/>
        <v>427795</v>
      </c>
    </row>
    <row r="734" spans="1:16" x14ac:dyDescent="0.25">
      <c r="A734" s="194"/>
      <c r="B734" s="196"/>
      <c r="C734" s="2" t="s">
        <v>52</v>
      </c>
      <c r="D734" s="24">
        <v>65000</v>
      </c>
      <c r="E734" s="24">
        <v>150000</v>
      </c>
      <c r="F734" s="24"/>
      <c r="G734" s="24"/>
      <c r="H734" s="24">
        <v>239133</v>
      </c>
      <c r="I734" s="24"/>
      <c r="J734" s="24"/>
      <c r="K734" s="24"/>
      <c r="L734" s="24"/>
      <c r="M734" s="24"/>
      <c r="N734" s="24">
        <f t="shared" si="218"/>
        <v>454133</v>
      </c>
      <c r="O734" s="33">
        <v>25284</v>
      </c>
      <c r="P734" s="21">
        <f t="shared" si="217"/>
        <v>428849</v>
      </c>
    </row>
    <row r="735" spans="1:16" x14ac:dyDescent="0.25">
      <c r="A735" s="194"/>
      <c r="B735" s="196"/>
      <c r="C735" s="2" t="s">
        <v>53</v>
      </c>
      <c r="D735" s="24">
        <v>33456</v>
      </c>
      <c r="E735" s="24"/>
      <c r="F735" s="24"/>
      <c r="G735" s="24"/>
      <c r="H735" s="24"/>
      <c r="I735" s="24"/>
      <c r="J735" s="24">
        <v>39370</v>
      </c>
      <c r="K735" s="24"/>
      <c r="L735" s="24"/>
      <c r="M735" s="24"/>
      <c r="N735" s="24">
        <f t="shared" si="218"/>
        <v>72826</v>
      </c>
      <c r="O735" s="33">
        <v>22303</v>
      </c>
      <c r="P735" s="14">
        <f t="shared" si="217"/>
        <v>50523</v>
      </c>
    </row>
    <row r="736" spans="1:16" x14ac:dyDescent="0.25">
      <c r="A736" s="194"/>
      <c r="B736" s="196"/>
      <c r="C736" s="30" t="s">
        <v>54</v>
      </c>
      <c r="D736" s="24">
        <v>10000</v>
      </c>
      <c r="E736" s="24"/>
      <c r="F736" s="24"/>
      <c r="G736" s="24"/>
      <c r="H736" s="24"/>
      <c r="I736" s="24"/>
      <c r="J736" s="24">
        <v>39370</v>
      </c>
      <c r="K736" s="24"/>
      <c r="L736" s="24"/>
      <c r="M736" s="24"/>
      <c r="N736" s="24">
        <f t="shared" si="218"/>
        <v>49370</v>
      </c>
      <c r="O736" s="33">
        <v>5521</v>
      </c>
      <c r="P736" s="33">
        <f t="shared" si="217"/>
        <v>43849</v>
      </c>
    </row>
    <row r="737" spans="1:17" x14ac:dyDescent="0.25">
      <c r="A737" s="194"/>
      <c r="B737" s="196"/>
      <c r="C737" s="2" t="s">
        <v>55</v>
      </c>
      <c r="D737" s="24">
        <v>0</v>
      </c>
      <c r="E737" s="24"/>
      <c r="F737" s="24"/>
      <c r="G737" s="24"/>
      <c r="H737" s="24"/>
      <c r="I737" s="24"/>
      <c r="J737" s="24"/>
      <c r="K737" s="24"/>
      <c r="L737" s="24"/>
      <c r="M737" s="24"/>
      <c r="N737" s="24">
        <f t="shared" si="218"/>
        <v>0</v>
      </c>
      <c r="O737" s="33">
        <v>0</v>
      </c>
      <c r="P737" s="14">
        <f t="shared" si="217"/>
        <v>0</v>
      </c>
    </row>
    <row r="738" spans="1:17" x14ac:dyDescent="0.25">
      <c r="A738" s="194"/>
      <c r="B738" s="196"/>
      <c r="C738" s="2" t="s">
        <v>61</v>
      </c>
      <c r="D738" s="24">
        <v>300000</v>
      </c>
      <c r="E738" s="24"/>
      <c r="F738" s="24"/>
      <c r="G738" s="24"/>
      <c r="H738" s="24"/>
      <c r="I738" s="24"/>
      <c r="J738" s="24"/>
      <c r="K738" s="24"/>
      <c r="L738" s="24"/>
      <c r="M738" s="24"/>
      <c r="N738" s="24">
        <f t="shared" si="218"/>
        <v>300000</v>
      </c>
      <c r="O738" s="33">
        <v>150000</v>
      </c>
      <c r="P738" s="14">
        <f t="shared" si="217"/>
        <v>150000</v>
      </c>
    </row>
    <row r="739" spans="1:17" x14ac:dyDescent="0.25">
      <c r="A739" s="194"/>
      <c r="B739" s="196"/>
      <c r="C739" s="2" t="s">
        <v>56</v>
      </c>
      <c r="D739" s="24">
        <v>5000</v>
      </c>
      <c r="E739" s="28">
        <v>-5000</v>
      </c>
      <c r="F739" s="24"/>
      <c r="G739" s="24"/>
      <c r="H739" s="24"/>
      <c r="I739" s="24"/>
      <c r="J739" s="24"/>
      <c r="K739" s="24"/>
      <c r="L739" s="24"/>
      <c r="M739" s="24"/>
      <c r="N739" s="24">
        <f t="shared" si="218"/>
        <v>0</v>
      </c>
      <c r="O739" s="33">
        <v>0</v>
      </c>
      <c r="P739" s="14">
        <f t="shared" si="217"/>
        <v>0</v>
      </c>
    </row>
    <row r="740" spans="1:17" x14ac:dyDescent="0.25">
      <c r="A740" s="194"/>
      <c r="B740" s="196"/>
      <c r="C740" s="2" t="s">
        <v>43</v>
      </c>
      <c r="D740" s="24">
        <v>16800</v>
      </c>
      <c r="E740" s="28"/>
      <c r="F740" s="24"/>
      <c r="G740" s="24"/>
      <c r="H740" s="24"/>
      <c r="I740" s="24"/>
      <c r="J740" s="24"/>
      <c r="K740" s="24"/>
      <c r="L740" s="24"/>
      <c r="M740" s="24"/>
      <c r="N740" s="24">
        <f t="shared" si="218"/>
        <v>16800</v>
      </c>
      <c r="O740" s="33">
        <v>8400</v>
      </c>
      <c r="P740" s="14">
        <f t="shared" si="217"/>
        <v>8400</v>
      </c>
    </row>
    <row r="741" spans="1:17" x14ac:dyDescent="0.25">
      <c r="A741" s="194"/>
      <c r="B741" s="196"/>
      <c r="C741" s="2" t="s">
        <v>57</v>
      </c>
      <c r="D741" s="24">
        <v>10000</v>
      </c>
      <c r="E741" s="24"/>
      <c r="F741" s="24"/>
      <c r="G741" s="24"/>
      <c r="H741" s="24"/>
      <c r="I741" s="24"/>
      <c r="J741" s="24"/>
      <c r="K741" s="24"/>
      <c r="L741" s="24"/>
      <c r="M741" s="24"/>
      <c r="N741" s="24">
        <f t="shared" si="218"/>
        <v>10000</v>
      </c>
      <c r="O741" s="33">
        <v>0</v>
      </c>
      <c r="P741" s="14">
        <f t="shared" si="217"/>
        <v>10000</v>
      </c>
    </row>
    <row r="742" spans="1:17" x14ac:dyDescent="0.25">
      <c r="A742" s="194"/>
      <c r="B742" s="196"/>
      <c r="C742" s="2" t="s">
        <v>58</v>
      </c>
      <c r="D742" s="24">
        <v>30000</v>
      </c>
      <c r="E742" s="24"/>
      <c r="F742" s="24"/>
      <c r="G742" s="24"/>
      <c r="H742" s="24"/>
      <c r="I742" s="24"/>
      <c r="J742" s="24"/>
      <c r="K742" s="24"/>
      <c r="L742" s="24"/>
      <c r="M742" s="24"/>
      <c r="N742" s="24">
        <f t="shared" si="218"/>
        <v>30000</v>
      </c>
      <c r="O742" s="33">
        <v>7425</v>
      </c>
      <c r="P742" s="14">
        <f t="shared" si="217"/>
        <v>22575</v>
      </c>
    </row>
    <row r="743" spans="1:17" x14ac:dyDescent="0.25">
      <c r="A743" s="194"/>
      <c r="B743" s="196"/>
      <c r="C743" s="2" t="s">
        <v>44</v>
      </c>
      <c r="D743" s="24">
        <v>35343</v>
      </c>
      <c r="E743" s="24"/>
      <c r="F743" s="24">
        <v>91205</v>
      </c>
      <c r="G743" s="24"/>
      <c r="H743" s="24">
        <v>118567</v>
      </c>
      <c r="I743" s="24"/>
      <c r="J743" s="24">
        <v>21260</v>
      </c>
      <c r="K743" s="24"/>
      <c r="L743" s="24"/>
      <c r="M743" s="24"/>
      <c r="N743" s="24">
        <f t="shared" si="218"/>
        <v>266375</v>
      </c>
      <c r="O743" s="33">
        <v>9163</v>
      </c>
      <c r="P743" s="21">
        <f t="shared" si="217"/>
        <v>257212</v>
      </c>
    </row>
    <row r="744" spans="1:17" x14ac:dyDescent="0.25">
      <c r="A744" s="194"/>
      <c r="B744" s="196"/>
      <c r="C744" s="2" t="s">
        <v>59</v>
      </c>
      <c r="D744" s="24">
        <v>0</v>
      </c>
      <c r="E744" s="24"/>
      <c r="F744" s="24"/>
      <c r="G744" s="24"/>
      <c r="H744" s="24"/>
      <c r="I744" s="24"/>
      <c r="J744" s="24"/>
      <c r="K744" s="24"/>
      <c r="L744" s="24"/>
      <c r="M744" s="24"/>
      <c r="N744" s="24">
        <f t="shared" si="218"/>
        <v>0</v>
      </c>
      <c r="O744" s="33">
        <v>0</v>
      </c>
      <c r="P744" s="14">
        <f t="shared" si="217"/>
        <v>0</v>
      </c>
    </row>
    <row r="745" spans="1:17" x14ac:dyDescent="0.25">
      <c r="A745" s="194"/>
      <c r="B745" s="196"/>
      <c r="C745" s="6" t="s">
        <v>45</v>
      </c>
      <c r="D745" s="95">
        <f>SUM(D733:D744)</f>
        <v>545599</v>
      </c>
      <c r="E745" s="95">
        <f t="shared" ref="E745:P745" si="219">SUM(E733:E744)</f>
        <v>-5000</v>
      </c>
      <c r="F745" s="95">
        <f t="shared" si="219"/>
        <v>429000</v>
      </c>
      <c r="G745" s="95">
        <f t="shared" si="219"/>
        <v>0</v>
      </c>
      <c r="H745" s="95">
        <f t="shared" si="219"/>
        <v>557700</v>
      </c>
      <c r="I745" s="95">
        <f t="shared" si="219"/>
        <v>0</v>
      </c>
      <c r="J745" s="95">
        <f t="shared" si="219"/>
        <v>100000</v>
      </c>
      <c r="K745" s="95">
        <f t="shared" si="219"/>
        <v>0</v>
      </c>
      <c r="L745" s="95">
        <f t="shared" si="219"/>
        <v>0</v>
      </c>
      <c r="M745" s="95">
        <f t="shared" si="219"/>
        <v>0</v>
      </c>
      <c r="N745" s="95">
        <f t="shared" si="219"/>
        <v>1627299</v>
      </c>
      <c r="O745" s="49">
        <f t="shared" si="219"/>
        <v>228096</v>
      </c>
      <c r="P745" s="26">
        <f t="shared" si="219"/>
        <v>1399203</v>
      </c>
    </row>
    <row r="746" spans="1:17" x14ac:dyDescent="0.25">
      <c r="A746" s="194"/>
      <c r="B746" s="196"/>
      <c r="C746" s="2" t="s">
        <v>111</v>
      </c>
      <c r="D746" s="24">
        <v>0</v>
      </c>
      <c r="E746" s="24"/>
      <c r="F746" s="24"/>
      <c r="G746" s="24"/>
      <c r="H746" s="24"/>
      <c r="I746" s="24"/>
      <c r="J746" s="24"/>
      <c r="K746" s="24"/>
      <c r="L746" s="24"/>
      <c r="M746" s="24"/>
      <c r="N746" s="24">
        <f>D746+E746+F746+H746+I746+K746+J746</f>
        <v>0</v>
      </c>
      <c r="O746" s="33">
        <v>0</v>
      </c>
      <c r="P746" s="14">
        <f t="shared" ref="P746:P747" si="220">N746-O746</f>
        <v>0</v>
      </c>
    </row>
    <row r="747" spans="1:17" x14ac:dyDescent="0.25">
      <c r="A747" s="194"/>
      <c r="B747" s="196"/>
      <c r="C747" s="2" t="s">
        <v>112</v>
      </c>
      <c r="D747" s="24">
        <v>0</v>
      </c>
      <c r="E747" s="24"/>
      <c r="F747" s="24"/>
      <c r="G747" s="24"/>
      <c r="H747" s="24"/>
      <c r="I747" s="24"/>
      <c r="J747" s="24"/>
      <c r="K747" s="24"/>
      <c r="L747" s="24"/>
      <c r="M747" s="24"/>
      <c r="N747" s="24">
        <f>D747+E747+F747+H747+I747+K747+J747</f>
        <v>0</v>
      </c>
      <c r="O747" s="33">
        <v>0</v>
      </c>
      <c r="P747" s="14">
        <f t="shared" si="220"/>
        <v>0</v>
      </c>
    </row>
    <row r="748" spans="1:17" x14ac:dyDescent="0.25">
      <c r="A748" s="194"/>
      <c r="B748" s="197"/>
      <c r="C748" s="6" t="s">
        <v>113</v>
      </c>
      <c r="D748" s="95">
        <f>SUM(D746:D747)</f>
        <v>0</v>
      </c>
      <c r="E748" s="95">
        <f t="shared" ref="E748:P748" si="221">SUM(E746:E747)</f>
        <v>0</v>
      </c>
      <c r="F748" s="95">
        <f t="shared" si="221"/>
        <v>0</v>
      </c>
      <c r="G748" s="95"/>
      <c r="H748" s="95">
        <f t="shared" si="221"/>
        <v>0</v>
      </c>
      <c r="I748" s="95">
        <f t="shared" si="221"/>
        <v>0</v>
      </c>
      <c r="J748" s="95">
        <f t="shared" si="221"/>
        <v>0</v>
      </c>
      <c r="K748" s="95">
        <f t="shared" si="221"/>
        <v>0</v>
      </c>
      <c r="L748" s="95">
        <f t="shared" si="221"/>
        <v>0</v>
      </c>
      <c r="M748" s="95">
        <f t="shared" si="221"/>
        <v>0</v>
      </c>
      <c r="N748" s="95">
        <f t="shared" si="221"/>
        <v>0</v>
      </c>
      <c r="O748" s="49">
        <f t="shared" si="221"/>
        <v>0</v>
      </c>
      <c r="P748" s="26">
        <f t="shared" si="221"/>
        <v>0</v>
      </c>
    </row>
    <row r="749" spans="1:17" x14ac:dyDescent="0.25">
      <c r="A749" s="194"/>
      <c r="B749" s="185" t="s">
        <v>20</v>
      </c>
      <c r="C749" s="2" t="s">
        <v>61</v>
      </c>
      <c r="D749" s="24">
        <v>72000</v>
      </c>
      <c r="E749" s="24"/>
      <c r="F749" s="24"/>
      <c r="G749" s="24"/>
      <c r="H749" s="24"/>
      <c r="I749" s="24"/>
      <c r="J749" s="24"/>
      <c r="K749" s="24"/>
      <c r="L749" s="24"/>
      <c r="M749" s="24"/>
      <c r="N749" s="24">
        <f>D749+E749+F749+H749+I749+K749+J749</f>
        <v>72000</v>
      </c>
      <c r="O749" s="33">
        <v>39000</v>
      </c>
      <c r="P749" s="14">
        <f t="shared" ref="P749:P753" si="222">N749-O749</f>
        <v>33000</v>
      </c>
    </row>
    <row r="750" spans="1:17" x14ac:dyDescent="0.25">
      <c r="A750" s="194"/>
      <c r="B750" s="196"/>
      <c r="C750" s="2" t="s">
        <v>56</v>
      </c>
      <c r="D750" s="24">
        <v>16000</v>
      </c>
      <c r="E750" s="24"/>
      <c r="F750" s="24"/>
      <c r="G750" s="24"/>
      <c r="H750" s="24"/>
      <c r="I750" s="24"/>
      <c r="J750" s="24"/>
      <c r="K750" s="24"/>
      <c r="L750" s="24"/>
      <c r="M750" s="24"/>
      <c r="N750" s="24">
        <f>D750+E750+F750+H750+I750+K750+J750</f>
        <v>16000</v>
      </c>
      <c r="O750" s="33">
        <v>12000</v>
      </c>
      <c r="P750" s="21">
        <f t="shared" si="222"/>
        <v>4000</v>
      </c>
    </row>
    <row r="751" spans="1:17" s="19" customFormat="1" x14ac:dyDescent="0.25">
      <c r="A751" s="194"/>
      <c r="B751" s="196"/>
      <c r="C751" s="30" t="s">
        <v>63</v>
      </c>
      <c r="D751" s="28">
        <v>0</v>
      </c>
      <c r="E751" s="28">
        <v>5000</v>
      </c>
      <c r="F751" s="28"/>
      <c r="G751" s="28"/>
      <c r="H751" s="28"/>
      <c r="I751" s="28"/>
      <c r="J751" s="28"/>
      <c r="K751" s="28"/>
      <c r="L751" s="28"/>
      <c r="M751" s="28"/>
      <c r="N751" s="28">
        <f>D751+E751+F751+H751+I751+K751+J751</f>
        <v>5000</v>
      </c>
      <c r="O751" s="32">
        <v>5000</v>
      </c>
      <c r="P751" s="21">
        <f t="shared" si="222"/>
        <v>0</v>
      </c>
      <c r="Q751" s="53"/>
    </row>
    <row r="752" spans="1:17" x14ac:dyDescent="0.25">
      <c r="A752" s="194"/>
      <c r="B752" s="196"/>
      <c r="C752" s="2" t="s">
        <v>57</v>
      </c>
      <c r="D752" s="24">
        <v>0</v>
      </c>
      <c r="E752" s="24"/>
      <c r="F752" s="24"/>
      <c r="G752" s="24"/>
      <c r="H752" s="24"/>
      <c r="I752" s="24"/>
      <c r="J752" s="24"/>
      <c r="K752" s="24"/>
      <c r="L752" s="24"/>
      <c r="M752" s="24"/>
      <c r="N752" s="24">
        <f>D752+E752+F752+H752+I752+K752+J752</f>
        <v>0</v>
      </c>
      <c r="O752" s="33">
        <v>0</v>
      </c>
      <c r="P752" s="14">
        <f t="shared" si="222"/>
        <v>0</v>
      </c>
    </row>
    <row r="753" spans="1:16" x14ac:dyDescent="0.25">
      <c r="A753" s="194"/>
      <c r="B753" s="196"/>
      <c r="C753" s="2" t="s">
        <v>44</v>
      </c>
      <c r="D753" s="24">
        <v>20790</v>
      </c>
      <c r="E753" s="24"/>
      <c r="F753" s="24"/>
      <c r="G753" s="24"/>
      <c r="H753" s="24"/>
      <c r="I753" s="24"/>
      <c r="J753" s="24"/>
      <c r="K753" s="24"/>
      <c r="L753" s="24"/>
      <c r="M753" s="24"/>
      <c r="N753" s="24">
        <f>D753+E753+F753+H753+I753+K753+J753</f>
        <v>20790</v>
      </c>
      <c r="O753" s="33">
        <v>15120</v>
      </c>
      <c r="P753" s="14">
        <f t="shared" si="222"/>
        <v>5670</v>
      </c>
    </row>
    <row r="754" spans="1:16" x14ac:dyDescent="0.25">
      <c r="A754" s="195"/>
      <c r="B754" s="197"/>
      <c r="C754" s="6" t="s">
        <v>45</v>
      </c>
      <c r="D754" s="95">
        <f>SUM(D749:D753)</f>
        <v>108790</v>
      </c>
      <c r="E754" s="95">
        <f t="shared" ref="E754:P754" si="223">SUM(E749:E753)</f>
        <v>5000</v>
      </c>
      <c r="F754" s="95">
        <f t="shared" si="223"/>
        <v>0</v>
      </c>
      <c r="G754" s="95"/>
      <c r="H754" s="95">
        <f t="shared" si="223"/>
        <v>0</v>
      </c>
      <c r="I754" s="95">
        <f t="shared" si="223"/>
        <v>0</v>
      </c>
      <c r="J754" s="95">
        <f t="shared" si="223"/>
        <v>0</v>
      </c>
      <c r="K754" s="95">
        <f t="shared" si="223"/>
        <v>0</v>
      </c>
      <c r="L754" s="95">
        <f t="shared" si="223"/>
        <v>0</v>
      </c>
      <c r="M754" s="95">
        <f t="shared" si="223"/>
        <v>0</v>
      </c>
      <c r="N754" s="95">
        <f t="shared" si="223"/>
        <v>113790</v>
      </c>
      <c r="O754" s="49">
        <f t="shared" si="223"/>
        <v>71120</v>
      </c>
      <c r="P754" s="26">
        <f t="shared" si="223"/>
        <v>42670</v>
      </c>
    </row>
    <row r="755" spans="1:16" x14ac:dyDescent="0.25">
      <c r="A755" s="182" t="s">
        <v>106</v>
      </c>
      <c r="B755" s="184" t="s">
        <v>17</v>
      </c>
      <c r="C755" s="2" t="s">
        <v>39</v>
      </c>
      <c r="D755" s="24">
        <v>567933</v>
      </c>
      <c r="E755" s="24"/>
      <c r="F755" s="24"/>
      <c r="G755" s="24"/>
      <c r="H755" s="24"/>
      <c r="I755" s="24"/>
      <c r="J755" s="24"/>
      <c r="K755" s="24"/>
      <c r="L755" s="24"/>
      <c r="M755" s="24"/>
      <c r="N755" s="24">
        <f>D755+E755+F755+H755+I755+K755+J755</f>
        <v>567933</v>
      </c>
      <c r="O755" s="33">
        <v>369619</v>
      </c>
      <c r="P755" s="14">
        <f t="shared" ref="P755:P756" si="224">N755-O755</f>
        <v>198314</v>
      </c>
    </row>
    <row r="756" spans="1:16" x14ac:dyDescent="0.25">
      <c r="A756" s="182"/>
      <c r="B756" s="184"/>
      <c r="C756" s="2" t="s">
        <v>41</v>
      </c>
      <c r="D756" s="24">
        <v>94430</v>
      </c>
      <c r="E756" s="24"/>
      <c r="F756" s="24"/>
      <c r="G756" s="24"/>
      <c r="H756" s="24"/>
      <c r="I756" s="24"/>
      <c r="J756" s="24"/>
      <c r="K756" s="24"/>
      <c r="L756" s="24"/>
      <c r="M756" s="24"/>
      <c r="N756" s="24">
        <f>D756+E756+F756+H756+I756+K756+J756</f>
        <v>94430</v>
      </c>
      <c r="O756" s="33">
        <v>63695</v>
      </c>
      <c r="P756" s="14">
        <f t="shared" si="224"/>
        <v>30735</v>
      </c>
    </row>
    <row r="757" spans="1:16" x14ac:dyDescent="0.25">
      <c r="A757" s="186" t="s">
        <v>130</v>
      </c>
      <c r="B757" s="187"/>
      <c r="C757" s="188"/>
      <c r="D757" s="113">
        <f>SUM(D715+D718+D719+D724+D731+D732+D745+D748+D754+D755+D756)</f>
        <v>8876743</v>
      </c>
      <c r="E757" s="101">
        <f t="shared" ref="E757:P757" si="225">SUM(E715,E718,E719,E724,E731,E732,E745,E748,E754,E755,E756)</f>
        <v>0</v>
      </c>
      <c r="F757" s="101">
        <f t="shared" si="225"/>
        <v>429000</v>
      </c>
      <c r="G757" s="101">
        <f t="shared" si="225"/>
        <v>0</v>
      </c>
      <c r="H757" s="101">
        <f t="shared" si="225"/>
        <v>557700</v>
      </c>
      <c r="I757" s="101">
        <f t="shared" si="225"/>
        <v>0</v>
      </c>
      <c r="J757" s="101">
        <f t="shared" si="225"/>
        <v>100000</v>
      </c>
      <c r="K757" s="101">
        <f t="shared" si="225"/>
        <v>0</v>
      </c>
      <c r="L757" s="101">
        <f t="shared" si="225"/>
        <v>0</v>
      </c>
      <c r="M757" s="101">
        <f t="shared" si="225"/>
        <v>0</v>
      </c>
      <c r="N757" s="101">
        <f t="shared" si="225"/>
        <v>9963443</v>
      </c>
      <c r="O757" s="133">
        <f>SUM(O715,O718,O719,O724,O731,O732,O745,O748,O754,O755,O756)</f>
        <v>5693754</v>
      </c>
      <c r="P757" s="61">
        <f t="shared" si="225"/>
        <v>4269689</v>
      </c>
    </row>
    <row r="758" spans="1:16" x14ac:dyDescent="0.25">
      <c r="A758" s="182" t="s">
        <v>107</v>
      </c>
      <c r="B758" s="184" t="s">
        <v>38</v>
      </c>
      <c r="C758" s="6" t="s">
        <v>39</v>
      </c>
      <c r="D758" s="95">
        <v>0</v>
      </c>
      <c r="E758" s="95"/>
      <c r="F758" s="95"/>
      <c r="G758" s="95"/>
      <c r="H758" s="95"/>
      <c r="I758" s="95"/>
      <c r="J758" s="95"/>
      <c r="K758" s="95"/>
      <c r="L758" s="95"/>
      <c r="M758" s="95"/>
      <c r="N758" s="106">
        <f>D758+E758+F758+H758+I758+K758</f>
        <v>0</v>
      </c>
      <c r="O758" s="49">
        <v>0</v>
      </c>
      <c r="P758" s="20">
        <f t="shared" ref="P758:P761" si="226">N758-O758</f>
        <v>0</v>
      </c>
    </row>
    <row r="759" spans="1:16" x14ac:dyDescent="0.25">
      <c r="A759" s="182"/>
      <c r="B759" s="184"/>
      <c r="C759" s="57" t="s">
        <v>41</v>
      </c>
      <c r="D759" s="96">
        <v>0</v>
      </c>
      <c r="E759" s="96"/>
      <c r="F759" s="96"/>
      <c r="G759" s="96"/>
      <c r="H759" s="96"/>
      <c r="I759" s="96"/>
      <c r="J759" s="96"/>
      <c r="K759" s="96"/>
      <c r="L759" s="96"/>
      <c r="M759" s="96"/>
      <c r="N759" s="97">
        <f>D759+E759+F759+H759+I759+K759</f>
        <v>0</v>
      </c>
      <c r="O759" s="129">
        <v>0</v>
      </c>
      <c r="P759" s="55">
        <f t="shared" si="226"/>
        <v>0</v>
      </c>
    </row>
    <row r="760" spans="1:16" x14ac:dyDescent="0.25">
      <c r="A760" s="182"/>
      <c r="B760" s="184"/>
      <c r="C760" s="2" t="s">
        <v>42</v>
      </c>
      <c r="D760" s="24">
        <v>0</v>
      </c>
      <c r="E760" s="24"/>
      <c r="F760" s="24"/>
      <c r="G760" s="24"/>
      <c r="H760" s="24"/>
      <c r="I760" s="24"/>
      <c r="J760" s="24"/>
      <c r="K760" s="24"/>
      <c r="L760" s="24"/>
      <c r="M760" s="24"/>
      <c r="N760" s="24">
        <f>D760+E760+F760+H760+I760+K760+J760</f>
        <v>0</v>
      </c>
      <c r="O760" s="33">
        <v>0</v>
      </c>
      <c r="P760" s="14">
        <f t="shared" si="226"/>
        <v>0</v>
      </c>
    </row>
    <row r="761" spans="1:16" x14ac:dyDescent="0.25">
      <c r="A761" s="182"/>
      <c r="B761" s="184"/>
      <c r="C761" s="2" t="s">
        <v>44</v>
      </c>
      <c r="D761" s="24">
        <v>0</v>
      </c>
      <c r="E761" s="24"/>
      <c r="F761" s="24"/>
      <c r="G761" s="24"/>
      <c r="H761" s="24"/>
      <c r="I761" s="24"/>
      <c r="J761" s="24"/>
      <c r="K761" s="24"/>
      <c r="L761" s="24"/>
      <c r="M761" s="24"/>
      <c r="N761" s="24">
        <f>D761+E761+F761+H761+I761+K761+J761</f>
        <v>0</v>
      </c>
      <c r="O761" s="33">
        <v>0</v>
      </c>
      <c r="P761" s="14">
        <f t="shared" si="226"/>
        <v>0</v>
      </c>
    </row>
    <row r="762" spans="1:16" x14ac:dyDescent="0.25">
      <c r="A762" s="182"/>
      <c r="B762" s="184"/>
      <c r="C762" s="6" t="s">
        <v>45</v>
      </c>
      <c r="D762" s="95">
        <v>0</v>
      </c>
      <c r="E762" s="95">
        <f t="shared" ref="E762:P762" si="227">SUM(E760:E761)</f>
        <v>0</v>
      </c>
      <c r="F762" s="95">
        <f t="shared" si="227"/>
        <v>0</v>
      </c>
      <c r="G762" s="95"/>
      <c r="H762" s="95">
        <f t="shared" si="227"/>
        <v>0</v>
      </c>
      <c r="I762" s="95">
        <f t="shared" si="227"/>
        <v>0</v>
      </c>
      <c r="J762" s="95">
        <f t="shared" si="227"/>
        <v>0</v>
      </c>
      <c r="K762" s="95">
        <f t="shared" si="227"/>
        <v>0</v>
      </c>
      <c r="L762" s="95">
        <f t="shared" si="227"/>
        <v>0</v>
      </c>
      <c r="M762" s="95">
        <f t="shared" si="227"/>
        <v>0</v>
      </c>
      <c r="N762" s="95">
        <f t="shared" si="227"/>
        <v>0</v>
      </c>
      <c r="O762" s="49">
        <f t="shared" si="227"/>
        <v>0</v>
      </c>
      <c r="P762" s="26">
        <f t="shared" si="227"/>
        <v>0</v>
      </c>
    </row>
    <row r="763" spans="1:16" x14ac:dyDescent="0.25">
      <c r="A763" s="182"/>
      <c r="B763" s="184" t="s">
        <v>17</v>
      </c>
      <c r="C763" s="2" t="s">
        <v>39</v>
      </c>
      <c r="D763" s="24">
        <v>10689791</v>
      </c>
      <c r="E763" s="24"/>
      <c r="F763" s="24"/>
      <c r="G763" s="24"/>
      <c r="H763" s="24"/>
      <c r="I763" s="24"/>
      <c r="J763" s="24"/>
      <c r="K763" s="24"/>
      <c r="L763" s="24"/>
      <c r="M763" s="24"/>
      <c r="N763" s="24">
        <f t="shared" ref="N763:N768" si="228">D763+E763+F763+H763+I763+K763+J763</f>
        <v>10689791</v>
      </c>
      <c r="O763" s="33">
        <v>6931491</v>
      </c>
      <c r="P763" s="14">
        <f t="shared" ref="P763:P768" si="229">N763-O763</f>
        <v>3758300</v>
      </c>
    </row>
    <row r="764" spans="1:16" x14ac:dyDescent="0.25">
      <c r="A764" s="182"/>
      <c r="B764" s="184"/>
      <c r="C764" s="2" t="s">
        <v>62</v>
      </c>
      <c r="D764" s="24">
        <v>0</v>
      </c>
      <c r="E764" s="24"/>
      <c r="F764" s="24"/>
      <c r="G764" s="24"/>
      <c r="H764" s="24"/>
      <c r="I764" s="24"/>
      <c r="J764" s="24"/>
      <c r="K764" s="24"/>
      <c r="L764" s="24"/>
      <c r="M764" s="24"/>
      <c r="N764" s="24">
        <f t="shared" si="228"/>
        <v>0</v>
      </c>
      <c r="O764" s="33">
        <v>0</v>
      </c>
      <c r="P764" s="14">
        <f t="shared" si="229"/>
        <v>0</v>
      </c>
    </row>
    <row r="765" spans="1:16" x14ac:dyDescent="0.25">
      <c r="A765" s="182"/>
      <c r="B765" s="184"/>
      <c r="C765" s="2" t="s">
        <v>46</v>
      </c>
      <c r="D765" s="24">
        <v>400000</v>
      </c>
      <c r="E765" s="24"/>
      <c r="F765" s="24"/>
      <c r="G765" s="24"/>
      <c r="H765" s="24"/>
      <c r="I765" s="24"/>
      <c r="J765" s="24"/>
      <c r="K765" s="24"/>
      <c r="L765" s="24"/>
      <c r="M765" s="24"/>
      <c r="N765" s="24">
        <f t="shared" si="228"/>
        <v>400000</v>
      </c>
      <c r="O765" s="33">
        <v>183333</v>
      </c>
      <c r="P765" s="14">
        <f t="shared" si="229"/>
        <v>216667</v>
      </c>
    </row>
    <row r="766" spans="1:16" x14ac:dyDescent="0.25">
      <c r="A766" s="182"/>
      <c r="B766" s="184"/>
      <c r="C766" s="2" t="s">
        <v>47</v>
      </c>
      <c r="D766" s="24">
        <v>20000</v>
      </c>
      <c r="E766" s="24"/>
      <c r="F766" s="24"/>
      <c r="G766" s="24"/>
      <c r="H766" s="24"/>
      <c r="I766" s="24"/>
      <c r="J766" s="24"/>
      <c r="K766" s="24"/>
      <c r="L766" s="24"/>
      <c r="M766" s="24"/>
      <c r="N766" s="24">
        <f t="shared" si="228"/>
        <v>20000</v>
      </c>
      <c r="O766" s="33">
        <v>0</v>
      </c>
      <c r="P766" s="14">
        <f t="shared" si="229"/>
        <v>20000</v>
      </c>
    </row>
    <row r="767" spans="1:16" x14ac:dyDescent="0.25">
      <c r="A767" s="182"/>
      <c r="B767" s="184"/>
      <c r="C767" s="2" t="s">
        <v>49</v>
      </c>
      <c r="D767" s="24">
        <v>48000</v>
      </c>
      <c r="E767" s="24"/>
      <c r="F767" s="24"/>
      <c r="G767" s="24"/>
      <c r="H767" s="24"/>
      <c r="I767" s="24"/>
      <c r="J767" s="24"/>
      <c r="K767" s="24"/>
      <c r="L767" s="24"/>
      <c r="M767" s="24"/>
      <c r="N767" s="24">
        <f t="shared" si="228"/>
        <v>48000</v>
      </c>
      <c r="O767" s="33">
        <v>22000</v>
      </c>
      <c r="P767" s="14">
        <f t="shared" si="229"/>
        <v>26000</v>
      </c>
    </row>
    <row r="768" spans="1:16" x14ac:dyDescent="0.25">
      <c r="A768" s="182"/>
      <c r="B768" s="184"/>
      <c r="C768" s="2" t="s">
        <v>50</v>
      </c>
      <c r="D768" s="24">
        <v>41182</v>
      </c>
      <c r="E768" s="24"/>
      <c r="F768" s="28"/>
      <c r="G768" s="28"/>
      <c r="H768" s="24"/>
      <c r="I768" s="24"/>
      <c r="J768" s="24"/>
      <c r="K768" s="24"/>
      <c r="L768" s="24"/>
      <c r="M768" s="24"/>
      <c r="N768" s="24">
        <f t="shared" si="228"/>
        <v>41182</v>
      </c>
      <c r="O768" s="33">
        <v>41182</v>
      </c>
      <c r="P768" s="14">
        <f t="shared" si="229"/>
        <v>0</v>
      </c>
    </row>
    <row r="769" spans="1:16" x14ac:dyDescent="0.25">
      <c r="A769" s="182"/>
      <c r="B769" s="184"/>
      <c r="C769" s="6" t="s">
        <v>40</v>
      </c>
      <c r="D769" s="95">
        <f>SUM(D763:D768)</f>
        <v>11198973</v>
      </c>
      <c r="E769" s="95">
        <f t="shared" ref="E769:P769" si="230">SUM(E763:E768)</f>
        <v>0</v>
      </c>
      <c r="F769" s="95">
        <f t="shared" si="230"/>
        <v>0</v>
      </c>
      <c r="G769" s="95"/>
      <c r="H769" s="95">
        <f t="shared" si="230"/>
        <v>0</v>
      </c>
      <c r="I769" s="95">
        <f t="shared" si="230"/>
        <v>0</v>
      </c>
      <c r="J769" s="95">
        <f t="shared" si="230"/>
        <v>0</v>
      </c>
      <c r="K769" s="95">
        <f t="shared" si="230"/>
        <v>0</v>
      </c>
      <c r="L769" s="95">
        <f t="shared" si="230"/>
        <v>0</v>
      </c>
      <c r="M769" s="95">
        <f t="shared" si="230"/>
        <v>0</v>
      </c>
      <c r="N769" s="95">
        <f t="shared" si="230"/>
        <v>11198973</v>
      </c>
      <c r="O769" s="49">
        <f t="shared" si="230"/>
        <v>7178006</v>
      </c>
      <c r="P769" s="26">
        <f t="shared" si="230"/>
        <v>4020967</v>
      </c>
    </row>
    <row r="770" spans="1:16" x14ac:dyDescent="0.25">
      <c r="A770" s="182"/>
      <c r="B770" s="184"/>
      <c r="C770" s="57" t="s">
        <v>41</v>
      </c>
      <c r="D770" s="96">
        <v>2025573</v>
      </c>
      <c r="E770" s="96"/>
      <c r="F770" s="96"/>
      <c r="G770" s="96"/>
      <c r="H770" s="96"/>
      <c r="I770" s="96"/>
      <c r="J770" s="96"/>
      <c r="K770" s="96"/>
      <c r="L770" s="96"/>
      <c r="M770" s="96"/>
      <c r="N770" s="97">
        <f t="shared" ref="N770:N778" si="231">D770+E770+F770+H770+I770+K770+J770</f>
        <v>2025573</v>
      </c>
      <c r="O770" s="129">
        <v>1189302</v>
      </c>
      <c r="P770" s="55">
        <f t="shared" ref="P770:P781" si="232">N770-O770</f>
        <v>836271</v>
      </c>
    </row>
    <row r="771" spans="1:16" x14ac:dyDescent="0.25">
      <c r="A771" s="182"/>
      <c r="B771" s="184"/>
      <c r="C771" s="2" t="s">
        <v>42</v>
      </c>
      <c r="D771" s="24">
        <v>60000</v>
      </c>
      <c r="E771" s="24">
        <v>-930</v>
      </c>
      <c r="F771" s="24">
        <v>337795</v>
      </c>
      <c r="G771" s="24">
        <v>-337795</v>
      </c>
      <c r="H771" s="24">
        <v>878268</v>
      </c>
      <c r="I771" s="24">
        <v>-878268</v>
      </c>
      <c r="J771" s="24">
        <v>37480</v>
      </c>
      <c r="K771" s="24"/>
      <c r="L771" s="24"/>
      <c r="M771" s="24"/>
      <c r="N771" s="24">
        <f>D771+E771+F771+H771+I771+K771+J771+G771</f>
        <v>96550</v>
      </c>
      <c r="O771" s="33">
        <v>23622</v>
      </c>
      <c r="P771" s="14">
        <f t="shared" si="232"/>
        <v>72928</v>
      </c>
    </row>
    <row r="772" spans="1:16" x14ac:dyDescent="0.25">
      <c r="A772" s="182"/>
      <c r="B772" s="184"/>
      <c r="C772" s="2" t="s">
        <v>52</v>
      </c>
      <c r="D772" s="24">
        <v>50000</v>
      </c>
      <c r="E772" s="24">
        <v>-30000</v>
      </c>
      <c r="F772" s="24"/>
      <c r="G772" s="24"/>
      <c r="H772" s="24"/>
      <c r="I772" s="24"/>
      <c r="J772" s="24">
        <v>100000</v>
      </c>
      <c r="K772" s="24"/>
      <c r="L772" s="24"/>
      <c r="M772" s="24"/>
      <c r="N772" s="24">
        <f t="shared" si="231"/>
        <v>120000</v>
      </c>
      <c r="O772" s="33">
        <v>0</v>
      </c>
      <c r="P772" s="14">
        <f t="shared" si="232"/>
        <v>120000</v>
      </c>
    </row>
    <row r="773" spans="1:16" x14ac:dyDescent="0.25">
      <c r="A773" s="182"/>
      <c r="B773" s="184"/>
      <c r="C773" s="2" t="s">
        <v>53</v>
      </c>
      <c r="D773" s="24">
        <v>38688</v>
      </c>
      <c r="E773" s="24"/>
      <c r="F773" s="24"/>
      <c r="G773" s="24"/>
      <c r="H773" s="24"/>
      <c r="I773" s="24"/>
      <c r="J773" s="24"/>
      <c r="K773" s="24"/>
      <c r="L773" s="24"/>
      <c r="M773" s="24"/>
      <c r="N773" s="24">
        <f t="shared" si="231"/>
        <v>38688</v>
      </c>
      <c r="O773" s="33">
        <v>26552</v>
      </c>
      <c r="P773" s="14">
        <f t="shared" si="232"/>
        <v>12136</v>
      </c>
    </row>
    <row r="774" spans="1:16" x14ac:dyDescent="0.25">
      <c r="A774" s="182"/>
      <c r="B774" s="184"/>
      <c r="C774" s="2" t="s">
        <v>54</v>
      </c>
      <c r="D774" s="24">
        <v>8132</v>
      </c>
      <c r="E774" s="24"/>
      <c r="F774" s="24"/>
      <c r="G774" s="24"/>
      <c r="H774" s="24"/>
      <c r="I774" s="24"/>
      <c r="J774" s="24"/>
      <c r="K774" s="24"/>
      <c r="L774" s="24"/>
      <c r="M774" s="24"/>
      <c r="N774" s="24">
        <f t="shared" si="231"/>
        <v>8132</v>
      </c>
      <c r="O774" s="33">
        <v>0</v>
      </c>
      <c r="P774" s="14">
        <f t="shared" si="232"/>
        <v>8132</v>
      </c>
    </row>
    <row r="775" spans="1:16" x14ac:dyDescent="0.25">
      <c r="A775" s="182"/>
      <c r="B775" s="184"/>
      <c r="C775" s="2" t="s">
        <v>61</v>
      </c>
      <c r="D775" s="24">
        <v>0</v>
      </c>
      <c r="E775" s="24"/>
      <c r="F775" s="24"/>
      <c r="G775" s="24"/>
      <c r="H775" s="24"/>
      <c r="I775" s="24"/>
      <c r="J775" s="24"/>
      <c r="K775" s="24"/>
      <c r="L775" s="24"/>
      <c r="M775" s="24"/>
      <c r="N775" s="24">
        <f t="shared" si="231"/>
        <v>0</v>
      </c>
      <c r="O775" s="33">
        <v>0</v>
      </c>
      <c r="P775" s="14">
        <f t="shared" si="232"/>
        <v>0</v>
      </c>
    </row>
    <row r="776" spans="1:16" x14ac:dyDescent="0.25">
      <c r="A776" s="182"/>
      <c r="B776" s="184"/>
      <c r="C776" s="2" t="s">
        <v>56</v>
      </c>
      <c r="D776" s="24">
        <v>14000</v>
      </c>
      <c r="E776" s="28"/>
      <c r="F776" s="24"/>
      <c r="G776" s="24"/>
      <c r="H776" s="24"/>
      <c r="I776" s="24"/>
      <c r="J776" s="24"/>
      <c r="K776" s="24"/>
      <c r="L776" s="24"/>
      <c r="M776" s="24"/>
      <c r="N776" s="24">
        <f>D776+E776+F776+H776+I776+K776+J776</f>
        <v>14000</v>
      </c>
      <c r="O776" s="33">
        <v>0</v>
      </c>
      <c r="P776" s="14">
        <f t="shared" si="232"/>
        <v>14000</v>
      </c>
    </row>
    <row r="777" spans="1:16" x14ac:dyDescent="0.25">
      <c r="A777" s="182"/>
      <c r="B777" s="184"/>
      <c r="C777" s="2" t="s">
        <v>43</v>
      </c>
      <c r="D777" s="24">
        <v>33600</v>
      </c>
      <c r="E777" s="24"/>
      <c r="F777" s="24"/>
      <c r="G777" s="24"/>
      <c r="H777" s="24"/>
      <c r="I777" s="24"/>
      <c r="J777" s="24"/>
      <c r="K777" s="24"/>
      <c r="L777" s="24"/>
      <c r="M777" s="24"/>
      <c r="N777" s="24">
        <f t="shared" si="231"/>
        <v>33600</v>
      </c>
      <c r="O777" s="33">
        <v>16800</v>
      </c>
      <c r="P777" s="14">
        <f t="shared" si="232"/>
        <v>16800</v>
      </c>
    </row>
    <row r="778" spans="1:16" x14ac:dyDescent="0.25">
      <c r="A778" s="182"/>
      <c r="B778" s="184"/>
      <c r="C778" s="2" t="s">
        <v>57</v>
      </c>
      <c r="D778" s="24">
        <v>0</v>
      </c>
      <c r="E778" s="24"/>
      <c r="F778" s="28"/>
      <c r="G778" s="28"/>
      <c r="H778" s="24"/>
      <c r="I778" s="28"/>
      <c r="J778" s="28"/>
      <c r="K778" s="24"/>
      <c r="L778" s="24"/>
      <c r="M778" s="24"/>
      <c r="N778" s="24">
        <f t="shared" si="231"/>
        <v>0</v>
      </c>
      <c r="O778" s="33">
        <v>0</v>
      </c>
      <c r="P778" s="14">
        <f t="shared" si="232"/>
        <v>0</v>
      </c>
    </row>
    <row r="779" spans="1:16" x14ac:dyDescent="0.25">
      <c r="A779" s="182"/>
      <c r="B779" s="184"/>
      <c r="C779" s="2" t="s">
        <v>58</v>
      </c>
      <c r="D779" s="24">
        <v>25875</v>
      </c>
      <c r="E779" s="24">
        <f>930+30000</f>
        <v>30930</v>
      </c>
      <c r="F779" s="28"/>
      <c r="G779" s="28"/>
      <c r="H779" s="24"/>
      <c r="I779" s="24"/>
      <c r="J779" s="24"/>
      <c r="K779" s="24"/>
      <c r="L779" s="24"/>
      <c r="M779" s="24"/>
      <c r="N779" s="24">
        <f>D779+E779+F779+H779+I779+K779+J779+L779+M779</f>
        <v>56805</v>
      </c>
      <c r="O779" s="33">
        <v>26805</v>
      </c>
      <c r="P779" s="14">
        <f t="shared" si="232"/>
        <v>30000</v>
      </c>
    </row>
    <row r="780" spans="1:16" x14ac:dyDescent="0.25">
      <c r="A780" s="182"/>
      <c r="B780" s="184"/>
      <c r="C780" s="2" t="s">
        <v>44</v>
      </c>
      <c r="D780" s="24">
        <v>30644</v>
      </c>
      <c r="E780" s="24"/>
      <c r="F780" s="28">
        <v>91205</v>
      </c>
      <c r="G780" s="28">
        <v>-91205</v>
      </c>
      <c r="H780" s="24">
        <v>237132</v>
      </c>
      <c r="I780" s="24">
        <v>-237132</v>
      </c>
      <c r="J780" s="24">
        <v>37120</v>
      </c>
      <c r="K780" s="24"/>
      <c r="L780" s="24"/>
      <c r="M780" s="24"/>
      <c r="N780" s="24">
        <f>D780+E780+F780+H780+I780+K780+J780+G780</f>
        <v>67764</v>
      </c>
      <c r="O780" s="33">
        <v>7706</v>
      </c>
      <c r="P780" s="14">
        <f t="shared" si="232"/>
        <v>60058</v>
      </c>
    </row>
    <row r="781" spans="1:16" x14ac:dyDescent="0.25">
      <c r="A781" s="182"/>
      <c r="B781" s="184"/>
      <c r="C781" s="2" t="s">
        <v>59</v>
      </c>
      <c r="D781" s="24">
        <v>0</v>
      </c>
      <c r="E781" s="28"/>
      <c r="F781" s="28"/>
      <c r="G781" s="28"/>
      <c r="H781" s="24"/>
      <c r="I781" s="24"/>
      <c r="J781" s="24"/>
      <c r="K781" s="24"/>
      <c r="L781" s="24"/>
      <c r="M781" s="24"/>
      <c r="N781" s="24">
        <f>D781+E781+F781+H781+I781+K781+J781</f>
        <v>0</v>
      </c>
      <c r="O781" s="33">
        <v>0</v>
      </c>
      <c r="P781" s="14">
        <f t="shared" si="232"/>
        <v>0</v>
      </c>
    </row>
    <row r="782" spans="1:16" x14ac:dyDescent="0.25">
      <c r="A782" s="182"/>
      <c r="B782" s="184"/>
      <c r="C782" s="6" t="s">
        <v>45</v>
      </c>
      <c r="D782" s="95">
        <f>SUM(D771:D781)</f>
        <v>260939</v>
      </c>
      <c r="E782" s="95">
        <f t="shared" ref="E782:P782" si="233">SUM(E771:E781)</f>
        <v>0</v>
      </c>
      <c r="F782" s="95">
        <f t="shared" si="233"/>
        <v>429000</v>
      </c>
      <c r="G782" s="95">
        <f t="shared" si="233"/>
        <v>-429000</v>
      </c>
      <c r="H782" s="95">
        <f t="shared" si="233"/>
        <v>1115400</v>
      </c>
      <c r="I782" s="95">
        <f t="shared" si="233"/>
        <v>-1115400</v>
      </c>
      <c r="J782" s="95">
        <f t="shared" si="233"/>
        <v>174600</v>
      </c>
      <c r="K782" s="95">
        <f t="shared" si="233"/>
        <v>0</v>
      </c>
      <c r="L782" s="95">
        <f t="shared" si="233"/>
        <v>0</v>
      </c>
      <c r="M782" s="95">
        <f t="shared" si="233"/>
        <v>0</v>
      </c>
      <c r="N782" s="95">
        <f t="shared" si="233"/>
        <v>435539</v>
      </c>
      <c r="O782" s="49">
        <f t="shared" si="233"/>
        <v>101485</v>
      </c>
      <c r="P782" s="26">
        <f t="shared" si="233"/>
        <v>334054</v>
      </c>
    </row>
    <row r="783" spans="1:16" x14ac:dyDescent="0.25">
      <c r="A783" s="182"/>
      <c r="B783" s="184" t="s">
        <v>20</v>
      </c>
      <c r="C783" s="12" t="s">
        <v>64</v>
      </c>
      <c r="D783" s="104">
        <v>1450000</v>
      </c>
      <c r="E783" s="107"/>
      <c r="F783" s="107"/>
      <c r="G783" s="107"/>
      <c r="H783" s="107"/>
      <c r="I783" s="107"/>
      <c r="J783" s="107"/>
      <c r="K783" s="107"/>
      <c r="L783" s="107"/>
      <c r="M783" s="107"/>
      <c r="N783" s="24">
        <f>D783+E783+F783+H783+I783+K783+J783</f>
        <v>1450000</v>
      </c>
      <c r="O783" s="132">
        <v>870175</v>
      </c>
      <c r="P783" s="14">
        <f t="shared" ref="P783:P784" si="234">N783-O783</f>
        <v>579825</v>
      </c>
    </row>
    <row r="784" spans="1:16" x14ac:dyDescent="0.25">
      <c r="A784" s="182"/>
      <c r="B784" s="184"/>
      <c r="C784" s="12" t="s">
        <v>51</v>
      </c>
      <c r="D784" s="104">
        <v>300000</v>
      </c>
      <c r="E784" s="107"/>
      <c r="F784" s="107"/>
      <c r="G784" s="107"/>
      <c r="H784" s="107"/>
      <c r="I784" s="107"/>
      <c r="J784" s="107"/>
      <c r="K784" s="107"/>
      <c r="L784" s="107"/>
      <c r="M784" s="107"/>
      <c r="N784" s="24">
        <f>D784+E784+F784+H784+I784+K784+J784</f>
        <v>300000</v>
      </c>
      <c r="O784" s="132">
        <v>200000</v>
      </c>
      <c r="P784" s="14">
        <f t="shared" si="234"/>
        <v>100000</v>
      </c>
    </row>
    <row r="785" spans="1:16" x14ac:dyDescent="0.25">
      <c r="A785" s="182"/>
      <c r="B785" s="184"/>
      <c r="C785" s="6" t="s">
        <v>40</v>
      </c>
      <c r="D785" s="95">
        <f>SUM(D783:D784)</f>
        <v>1750000</v>
      </c>
      <c r="E785" s="95">
        <f t="shared" ref="E785:P785" si="235">SUM(E783:E784)</f>
        <v>0</v>
      </c>
      <c r="F785" s="95">
        <f t="shared" si="235"/>
        <v>0</v>
      </c>
      <c r="G785" s="95"/>
      <c r="H785" s="95">
        <f t="shared" si="235"/>
        <v>0</v>
      </c>
      <c r="I785" s="95">
        <f t="shared" si="235"/>
        <v>0</v>
      </c>
      <c r="J785" s="95">
        <f t="shared" si="235"/>
        <v>0</v>
      </c>
      <c r="K785" s="95">
        <f t="shared" si="235"/>
        <v>0</v>
      </c>
      <c r="L785" s="95">
        <f t="shared" si="235"/>
        <v>0</v>
      </c>
      <c r="M785" s="95">
        <f t="shared" si="235"/>
        <v>0</v>
      </c>
      <c r="N785" s="95">
        <f t="shared" si="235"/>
        <v>1750000</v>
      </c>
      <c r="O785" s="49">
        <f t="shared" si="235"/>
        <v>1070175</v>
      </c>
      <c r="P785" s="26">
        <f t="shared" si="235"/>
        <v>679825</v>
      </c>
    </row>
    <row r="786" spans="1:16" x14ac:dyDescent="0.25">
      <c r="A786" s="182"/>
      <c r="B786" s="184"/>
      <c r="C786" s="57" t="s">
        <v>41</v>
      </c>
      <c r="D786" s="96">
        <v>276284</v>
      </c>
      <c r="E786" s="96"/>
      <c r="F786" s="96"/>
      <c r="G786" s="96"/>
      <c r="H786" s="96"/>
      <c r="I786" s="96"/>
      <c r="J786" s="96"/>
      <c r="K786" s="96"/>
      <c r="L786" s="96"/>
      <c r="M786" s="96"/>
      <c r="N786" s="97">
        <f t="shared" ref="N786:N791" si="236">D786+E786+F786+H786+I786+K786+J786</f>
        <v>276284</v>
      </c>
      <c r="O786" s="129">
        <v>164224</v>
      </c>
      <c r="P786" s="55">
        <f t="shared" ref="P786:P794" si="237">N786-O786</f>
        <v>112060</v>
      </c>
    </row>
    <row r="787" spans="1:16" x14ac:dyDescent="0.25">
      <c r="A787" s="182"/>
      <c r="B787" s="184"/>
      <c r="C787" s="2" t="s">
        <v>42</v>
      </c>
      <c r="D787" s="24">
        <v>35000</v>
      </c>
      <c r="E787" s="24">
        <v>-3875</v>
      </c>
      <c r="F787" s="24"/>
      <c r="G787" s="24"/>
      <c r="H787" s="24"/>
      <c r="I787" s="24"/>
      <c r="J787" s="24"/>
      <c r="K787" s="24"/>
      <c r="L787" s="24"/>
      <c r="M787" s="24"/>
      <c r="N787" s="24">
        <f t="shared" si="236"/>
        <v>31125</v>
      </c>
      <c r="O787" s="33">
        <v>0</v>
      </c>
      <c r="P787" s="14">
        <f t="shared" si="237"/>
        <v>31125</v>
      </c>
    </row>
    <row r="788" spans="1:16" x14ac:dyDescent="0.25">
      <c r="A788" s="182"/>
      <c r="B788" s="184"/>
      <c r="C788" s="2" t="s">
        <v>52</v>
      </c>
      <c r="D788" s="24">
        <v>25000</v>
      </c>
      <c r="E788" s="24"/>
      <c r="F788" s="24"/>
      <c r="G788" s="24"/>
      <c r="H788" s="24"/>
      <c r="I788" s="24"/>
      <c r="J788" s="24"/>
      <c r="K788" s="24"/>
      <c r="L788" s="24"/>
      <c r="M788" s="24"/>
      <c r="N788" s="24">
        <f t="shared" si="236"/>
        <v>25000</v>
      </c>
      <c r="O788" s="33">
        <v>0</v>
      </c>
      <c r="P788" s="14">
        <f t="shared" si="237"/>
        <v>25000</v>
      </c>
    </row>
    <row r="789" spans="1:16" x14ac:dyDescent="0.25">
      <c r="A789" s="182"/>
      <c r="B789" s="184"/>
      <c r="C789" s="2" t="s">
        <v>54</v>
      </c>
      <c r="D789" s="24">
        <v>20400</v>
      </c>
      <c r="E789" s="24"/>
      <c r="F789" s="24"/>
      <c r="G789" s="24"/>
      <c r="H789" s="24"/>
      <c r="I789" s="24"/>
      <c r="J789" s="24"/>
      <c r="K789" s="24"/>
      <c r="L789" s="24"/>
      <c r="M789" s="24"/>
      <c r="N789" s="24">
        <f t="shared" si="236"/>
        <v>20400</v>
      </c>
      <c r="O789" s="33">
        <v>11605</v>
      </c>
      <c r="P789" s="14">
        <f t="shared" si="237"/>
        <v>8795</v>
      </c>
    </row>
    <row r="790" spans="1:16" x14ac:dyDescent="0.25">
      <c r="A790" s="182"/>
      <c r="B790" s="184"/>
      <c r="C790" s="2" t="s">
        <v>61</v>
      </c>
      <c r="D790" s="24">
        <v>684000</v>
      </c>
      <c r="E790" s="24"/>
      <c r="F790" s="24"/>
      <c r="G790" s="24"/>
      <c r="H790" s="24"/>
      <c r="I790" s="24"/>
      <c r="J790" s="24"/>
      <c r="K790" s="24"/>
      <c r="L790" s="24"/>
      <c r="M790" s="24"/>
      <c r="N790" s="24">
        <f t="shared" si="236"/>
        <v>684000</v>
      </c>
      <c r="O790" s="33">
        <v>396000</v>
      </c>
      <c r="P790" s="14">
        <f t="shared" si="237"/>
        <v>288000</v>
      </c>
    </row>
    <row r="791" spans="1:16" x14ac:dyDescent="0.25">
      <c r="A791" s="182"/>
      <c r="B791" s="184"/>
      <c r="C791" s="2" t="s">
        <v>56</v>
      </c>
      <c r="D791" s="24">
        <v>90000</v>
      </c>
      <c r="E791" s="24"/>
      <c r="F791" s="24"/>
      <c r="G791" s="24"/>
      <c r="H791" s="24"/>
      <c r="I791" s="24"/>
      <c r="J791" s="24">
        <v>10000</v>
      </c>
      <c r="K791" s="24"/>
      <c r="L791" s="24"/>
      <c r="M791" s="24"/>
      <c r="N791" s="24">
        <f t="shared" si="236"/>
        <v>100000</v>
      </c>
      <c r="O791" s="33">
        <v>66000</v>
      </c>
      <c r="P791" s="21">
        <f t="shared" si="237"/>
        <v>34000</v>
      </c>
    </row>
    <row r="792" spans="1:16" x14ac:dyDescent="0.25">
      <c r="A792" s="182"/>
      <c r="B792" s="184"/>
      <c r="C792" s="2" t="s">
        <v>63</v>
      </c>
      <c r="D792" s="24">
        <v>20000</v>
      </c>
      <c r="E792" s="24"/>
      <c r="F792" s="24"/>
      <c r="G792" s="24"/>
      <c r="H792" s="24"/>
      <c r="I792" s="24"/>
      <c r="J792" s="24"/>
      <c r="K792" s="24"/>
      <c r="L792" s="24"/>
      <c r="M792" s="24"/>
      <c r="N792" s="24">
        <f>D792+E792+F792+H792+I792+K792+J792+L792+M792</f>
        <v>20000</v>
      </c>
      <c r="O792" s="33">
        <v>12000</v>
      </c>
      <c r="P792" s="14">
        <f t="shared" si="237"/>
        <v>8000</v>
      </c>
    </row>
    <row r="793" spans="1:16" x14ac:dyDescent="0.25">
      <c r="A793" s="182"/>
      <c r="B793" s="184"/>
      <c r="C793" s="2" t="s">
        <v>57</v>
      </c>
      <c r="D793" s="24">
        <v>16125</v>
      </c>
      <c r="E793" s="24">
        <v>3875</v>
      </c>
      <c r="F793" s="24"/>
      <c r="G793" s="24"/>
      <c r="H793" s="24"/>
      <c r="I793" s="24"/>
      <c r="J793" s="24">
        <v>10000</v>
      </c>
      <c r="K793" s="24"/>
      <c r="L793" s="24"/>
      <c r="M793" s="24"/>
      <c r="N793" s="24">
        <f>D793+E793+F793+H793+I793+K793+J793</f>
        <v>30000</v>
      </c>
      <c r="O793" s="33">
        <v>20000</v>
      </c>
      <c r="P793" s="21">
        <f t="shared" si="237"/>
        <v>10000</v>
      </c>
    </row>
    <row r="794" spans="1:16" x14ac:dyDescent="0.25">
      <c r="A794" s="182"/>
      <c r="B794" s="184"/>
      <c r="C794" s="2" t="s">
        <v>44</v>
      </c>
      <c r="D794" s="24">
        <v>235070</v>
      </c>
      <c r="E794" s="24"/>
      <c r="F794" s="24"/>
      <c r="G794" s="24"/>
      <c r="H794" s="24"/>
      <c r="I794" s="24"/>
      <c r="J794" s="24">
        <v>5400</v>
      </c>
      <c r="K794" s="24"/>
      <c r="L794" s="24"/>
      <c r="M794" s="24"/>
      <c r="N794" s="24">
        <f>D794+E794+F794+H794+I794+K794+J794</f>
        <v>240470</v>
      </c>
      <c r="O794" s="33">
        <v>135760</v>
      </c>
      <c r="P794" s="14">
        <f t="shared" si="237"/>
        <v>104710</v>
      </c>
    </row>
    <row r="795" spans="1:16" x14ac:dyDescent="0.25">
      <c r="A795" s="182"/>
      <c r="B795" s="184"/>
      <c r="C795" s="6" t="s">
        <v>45</v>
      </c>
      <c r="D795" s="95">
        <f>SUM(D787:D794)</f>
        <v>1125595</v>
      </c>
      <c r="E795" s="95">
        <f t="shared" ref="E795:P795" si="238">SUM(E787:E794)</f>
        <v>0</v>
      </c>
      <c r="F795" s="95">
        <f t="shared" si="238"/>
        <v>0</v>
      </c>
      <c r="G795" s="95"/>
      <c r="H795" s="95">
        <f t="shared" si="238"/>
        <v>0</v>
      </c>
      <c r="I795" s="95">
        <f t="shared" si="238"/>
        <v>0</v>
      </c>
      <c r="J795" s="95">
        <f t="shared" si="238"/>
        <v>25400</v>
      </c>
      <c r="K795" s="95">
        <f t="shared" si="238"/>
        <v>0</v>
      </c>
      <c r="L795" s="95">
        <f t="shared" si="238"/>
        <v>0</v>
      </c>
      <c r="M795" s="95">
        <f t="shared" si="238"/>
        <v>0</v>
      </c>
      <c r="N795" s="95">
        <f t="shared" si="238"/>
        <v>1150995</v>
      </c>
      <c r="O795" s="49">
        <f t="shared" si="238"/>
        <v>641365</v>
      </c>
      <c r="P795" s="26">
        <f t="shared" si="238"/>
        <v>509630</v>
      </c>
    </row>
    <row r="796" spans="1:16" x14ac:dyDescent="0.25">
      <c r="A796" s="182" t="s">
        <v>108</v>
      </c>
      <c r="B796" s="184" t="s">
        <v>17</v>
      </c>
      <c r="C796" s="2" t="s">
        <v>39</v>
      </c>
      <c r="D796" s="24">
        <v>1437252</v>
      </c>
      <c r="E796" s="24"/>
      <c r="F796" s="24"/>
      <c r="G796" s="24"/>
      <c r="H796" s="24"/>
      <c r="I796" s="24"/>
      <c r="J796" s="24"/>
      <c r="K796" s="24"/>
      <c r="L796" s="24"/>
      <c r="M796" s="24"/>
      <c r="N796" s="24">
        <f>D796+E796+F796+H796+I796+K796+J796</f>
        <v>1437252</v>
      </c>
      <c r="O796" s="33">
        <v>902094</v>
      </c>
      <c r="P796" s="14">
        <f t="shared" ref="P796:P797" si="239">N796-O796</f>
        <v>535158</v>
      </c>
    </row>
    <row r="797" spans="1:16" x14ac:dyDescent="0.25">
      <c r="A797" s="182"/>
      <c r="B797" s="184"/>
      <c r="C797" s="2" t="s">
        <v>41</v>
      </c>
      <c r="D797" s="24">
        <v>238015</v>
      </c>
      <c r="E797" s="24"/>
      <c r="F797" s="24"/>
      <c r="G797" s="24"/>
      <c r="H797" s="24"/>
      <c r="I797" s="24"/>
      <c r="J797" s="24"/>
      <c r="K797" s="24"/>
      <c r="L797" s="24"/>
      <c r="M797" s="24"/>
      <c r="N797" s="24">
        <f>D797+E797+F797+H797+I797+K797+J797+L797</f>
        <v>238015</v>
      </c>
      <c r="O797" s="33">
        <v>155325</v>
      </c>
      <c r="P797" s="14">
        <f t="shared" si="239"/>
        <v>82690</v>
      </c>
    </row>
    <row r="798" spans="1:16" x14ac:dyDescent="0.25">
      <c r="A798" s="186" t="s">
        <v>131</v>
      </c>
      <c r="B798" s="187"/>
      <c r="C798" s="188"/>
      <c r="D798" s="113">
        <f>SUM(D758+D759+D762+D769+D770+D782+D785+D786+D795+D796+D797)</f>
        <v>18312631</v>
      </c>
      <c r="E798" s="101">
        <f t="shared" ref="E798:P798" si="240">SUM(E758,E759,E762,E769,E770,E782,E785,E786,E796,E795,E797)</f>
        <v>0</v>
      </c>
      <c r="F798" s="101">
        <f t="shared" si="240"/>
        <v>429000</v>
      </c>
      <c r="G798" s="101">
        <f t="shared" si="240"/>
        <v>-429000</v>
      </c>
      <c r="H798" s="101">
        <f t="shared" si="240"/>
        <v>1115400</v>
      </c>
      <c r="I798" s="101">
        <f t="shared" si="240"/>
        <v>-1115400</v>
      </c>
      <c r="J798" s="101">
        <f t="shared" si="240"/>
        <v>200000</v>
      </c>
      <c r="K798" s="101">
        <f t="shared" si="240"/>
        <v>0</v>
      </c>
      <c r="L798" s="101">
        <f t="shared" si="240"/>
        <v>0</v>
      </c>
      <c r="M798" s="101">
        <f t="shared" si="240"/>
        <v>0</v>
      </c>
      <c r="N798" s="101">
        <f t="shared" si="240"/>
        <v>18512631</v>
      </c>
      <c r="O798" s="133">
        <f>SUM(O758,O759,O762,O769,O770,O782,O785,O786,O796,O795,O797)</f>
        <v>11401976</v>
      </c>
      <c r="P798" s="61">
        <f t="shared" si="240"/>
        <v>7110655</v>
      </c>
    </row>
    <row r="799" spans="1:16" x14ac:dyDescent="0.25">
      <c r="A799" s="183" t="s">
        <v>109</v>
      </c>
      <c r="B799" s="3" t="s">
        <v>5</v>
      </c>
      <c r="C799" s="2" t="s">
        <v>66</v>
      </c>
      <c r="D799" s="24">
        <v>0</v>
      </c>
      <c r="E799" s="24"/>
      <c r="F799" s="24"/>
      <c r="G799" s="24"/>
      <c r="H799" s="24"/>
      <c r="I799" s="24"/>
      <c r="J799" s="24"/>
      <c r="K799" s="24"/>
      <c r="L799" s="24"/>
      <c r="M799" s="24"/>
      <c r="N799" s="24">
        <f t="shared" ref="N799:N804" si="241">D799+E799+F799+H799+I799+K799+J799</f>
        <v>0</v>
      </c>
      <c r="O799" s="33">
        <v>0</v>
      </c>
      <c r="P799" s="14">
        <f t="shared" ref="P799:P804" si="242">N799-O799</f>
        <v>0</v>
      </c>
    </row>
    <row r="800" spans="1:16" x14ac:dyDescent="0.25">
      <c r="A800" s="194"/>
      <c r="B800" s="184" t="s">
        <v>17</v>
      </c>
      <c r="C800" s="2" t="s">
        <v>39</v>
      </c>
      <c r="D800" s="24">
        <v>2612064</v>
      </c>
      <c r="E800" s="24"/>
      <c r="F800" s="28"/>
      <c r="G800" s="28"/>
      <c r="H800" s="24"/>
      <c r="I800" s="24"/>
      <c r="J800" s="24"/>
      <c r="K800" s="24"/>
      <c r="L800" s="24"/>
      <c r="M800" s="24"/>
      <c r="N800" s="24">
        <f t="shared" si="241"/>
        <v>2612064</v>
      </c>
      <c r="O800" s="33">
        <v>1739351</v>
      </c>
      <c r="P800" s="14">
        <f t="shared" si="242"/>
        <v>872713</v>
      </c>
    </row>
    <row r="801" spans="1:16" x14ac:dyDescent="0.25">
      <c r="A801" s="194"/>
      <c r="B801" s="184"/>
      <c r="C801" s="2" t="s">
        <v>46</v>
      </c>
      <c r="D801" s="24">
        <v>100000</v>
      </c>
      <c r="E801" s="24"/>
      <c r="F801" s="28"/>
      <c r="G801" s="28"/>
      <c r="H801" s="24"/>
      <c r="I801" s="24"/>
      <c r="J801" s="24"/>
      <c r="K801" s="24"/>
      <c r="L801" s="24"/>
      <c r="M801" s="24"/>
      <c r="N801" s="24">
        <f t="shared" si="241"/>
        <v>100000</v>
      </c>
      <c r="O801" s="33">
        <v>50000</v>
      </c>
      <c r="P801" s="14">
        <f t="shared" si="242"/>
        <v>50000</v>
      </c>
    </row>
    <row r="802" spans="1:16" x14ac:dyDescent="0.25">
      <c r="A802" s="194"/>
      <c r="B802" s="184"/>
      <c r="C802" s="2" t="s">
        <v>47</v>
      </c>
      <c r="D802" s="24">
        <v>5000</v>
      </c>
      <c r="E802" s="24"/>
      <c r="F802" s="28"/>
      <c r="G802" s="28"/>
      <c r="H802" s="24"/>
      <c r="I802" s="24"/>
      <c r="J802" s="24"/>
      <c r="K802" s="24"/>
      <c r="L802" s="24"/>
      <c r="M802" s="24"/>
      <c r="N802" s="24">
        <f t="shared" si="241"/>
        <v>5000</v>
      </c>
      <c r="O802" s="33">
        <v>0</v>
      </c>
      <c r="P802" s="14">
        <f t="shared" si="242"/>
        <v>5000</v>
      </c>
    </row>
    <row r="803" spans="1:16" x14ac:dyDescent="0.25">
      <c r="A803" s="194"/>
      <c r="B803" s="184"/>
      <c r="C803" s="2" t="s">
        <v>49</v>
      </c>
      <c r="D803" s="24">
        <v>12000</v>
      </c>
      <c r="E803" s="24"/>
      <c r="F803" s="28"/>
      <c r="G803" s="28"/>
      <c r="H803" s="24"/>
      <c r="I803" s="24"/>
      <c r="J803" s="24"/>
      <c r="K803" s="24"/>
      <c r="L803" s="24"/>
      <c r="M803" s="24"/>
      <c r="N803" s="24">
        <f t="shared" si="241"/>
        <v>12000</v>
      </c>
      <c r="O803" s="33">
        <v>6000</v>
      </c>
      <c r="P803" s="14">
        <f t="shared" si="242"/>
        <v>6000</v>
      </c>
    </row>
    <row r="804" spans="1:16" x14ac:dyDescent="0.25">
      <c r="A804" s="194"/>
      <c r="B804" s="184"/>
      <c r="C804" s="2" t="s">
        <v>50</v>
      </c>
      <c r="D804" s="24">
        <v>0</v>
      </c>
      <c r="E804" s="24"/>
      <c r="F804" s="28"/>
      <c r="G804" s="28"/>
      <c r="H804" s="24"/>
      <c r="I804" s="24"/>
      <c r="J804" s="24"/>
      <c r="K804" s="24"/>
      <c r="L804" s="24"/>
      <c r="M804" s="24"/>
      <c r="N804" s="24">
        <f t="shared" si="241"/>
        <v>0</v>
      </c>
      <c r="O804" s="33">
        <v>0</v>
      </c>
      <c r="P804" s="14">
        <f t="shared" si="242"/>
        <v>0</v>
      </c>
    </row>
    <row r="805" spans="1:16" x14ac:dyDescent="0.25">
      <c r="A805" s="194"/>
      <c r="B805" s="184"/>
      <c r="C805" s="6" t="s">
        <v>40</v>
      </c>
      <c r="D805" s="95">
        <f>SUM(D800:D804)</f>
        <v>2729064</v>
      </c>
      <c r="E805" s="95">
        <f t="shared" ref="E805:P805" si="243">SUM(E800:E804)</f>
        <v>0</v>
      </c>
      <c r="F805" s="95">
        <f t="shared" si="243"/>
        <v>0</v>
      </c>
      <c r="G805" s="95"/>
      <c r="H805" s="95">
        <f t="shared" si="243"/>
        <v>0</v>
      </c>
      <c r="I805" s="95">
        <f t="shared" si="243"/>
        <v>0</v>
      </c>
      <c r="J805" s="95">
        <f t="shared" si="243"/>
        <v>0</v>
      </c>
      <c r="K805" s="95">
        <f t="shared" si="243"/>
        <v>0</v>
      </c>
      <c r="L805" s="95">
        <f t="shared" si="243"/>
        <v>0</v>
      </c>
      <c r="M805" s="95">
        <f t="shared" si="243"/>
        <v>0</v>
      </c>
      <c r="N805" s="95">
        <f t="shared" si="243"/>
        <v>2729064</v>
      </c>
      <c r="O805" s="49">
        <f t="shared" si="243"/>
        <v>1795351</v>
      </c>
      <c r="P805" s="26">
        <f t="shared" si="243"/>
        <v>933713</v>
      </c>
    </row>
    <row r="806" spans="1:16" x14ac:dyDescent="0.25">
      <c r="A806" s="194"/>
      <c r="B806" s="184"/>
      <c r="C806" s="57" t="s">
        <v>41</v>
      </c>
      <c r="D806" s="96">
        <v>492586</v>
      </c>
      <c r="E806" s="96"/>
      <c r="F806" s="96"/>
      <c r="G806" s="96"/>
      <c r="H806" s="96"/>
      <c r="I806" s="96"/>
      <c r="J806" s="96"/>
      <c r="K806" s="96"/>
      <c r="L806" s="96"/>
      <c r="M806" s="96"/>
      <c r="N806" s="97">
        <f>D806+E806+F806+H806+I806+K806</f>
        <v>492586</v>
      </c>
      <c r="O806" s="129">
        <v>310304</v>
      </c>
      <c r="P806" s="55">
        <f t="shared" ref="P806:P815" si="244">N806-O806</f>
        <v>182282</v>
      </c>
    </row>
    <row r="807" spans="1:16" x14ac:dyDescent="0.25">
      <c r="A807" s="194"/>
      <c r="B807" s="184"/>
      <c r="C807" s="2" t="s">
        <v>42</v>
      </c>
      <c r="D807" s="24">
        <v>30000</v>
      </c>
      <c r="E807" s="24"/>
      <c r="F807" s="24"/>
      <c r="G807" s="24"/>
      <c r="H807" s="24">
        <v>107559</v>
      </c>
      <c r="I807" s="24">
        <v>-7559</v>
      </c>
      <c r="J807" s="24"/>
      <c r="K807" s="24"/>
      <c r="L807" s="24"/>
      <c r="M807" s="24"/>
      <c r="N807" s="24">
        <f>D807+E807+F807+H807+I807+K807+J807</f>
        <v>130000</v>
      </c>
      <c r="O807" s="33">
        <v>0</v>
      </c>
      <c r="P807" s="14">
        <f t="shared" si="244"/>
        <v>130000</v>
      </c>
    </row>
    <row r="808" spans="1:16" x14ac:dyDescent="0.25">
      <c r="A808" s="194"/>
      <c r="B808" s="184"/>
      <c r="C808" s="2" t="s">
        <v>52</v>
      </c>
      <c r="D808" s="24">
        <v>35000</v>
      </c>
      <c r="E808" s="24">
        <v>-5000</v>
      </c>
      <c r="F808" s="24"/>
      <c r="G808" s="24"/>
      <c r="H808" s="24">
        <v>128897</v>
      </c>
      <c r="I808" s="24"/>
      <c r="J808" s="24"/>
      <c r="K808" s="24"/>
      <c r="L808" s="24"/>
      <c r="M808" s="24"/>
      <c r="N808" s="24">
        <f>D808+E808+F808+H808+I808+K808+J808+L808+M808</f>
        <v>158897</v>
      </c>
      <c r="O808" s="33">
        <v>0</v>
      </c>
      <c r="P808" s="14">
        <f t="shared" si="244"/>
        <v>158897</v>
      </c>
    </row>
    <row r="809" spans="1:16" x14ac:dyDescent="0.25">
      <c r="A809" s="194"/>
      <c r="B809" s="184"/>
      <c r="C809" s="30" t="s">
        <v>54</v>
      </c>
      <c r="D809" s="24">
        <v>0</v>
      </c>
      <c r="E809" s="24"/>
      <c r="F809" s="24"/>
      <c r="G809" s="24"/>
      <c r="H809" s="24"/>
      <c r="I809" s="24"/>
      <c r="J809" s="24"/>
      <c r="K809" s="24"/>
      <c r="L809" s="24"/>
      <c r="M809" s="24"/>
      <c r="N809" s="24">
        <f t="shared" ref="N809:N815" si="245">D809+E809+F809+H809+I809+K809+J809</f>
        <v>0</v>
      </c>
      <c r="O809" s="32">
        <v>0</v>
      </c>
      <c r="P809" s="32">
        <f t="shared" si="244"/>
        <v>0</v>
      </c>
    </row>
    <row r="810" spans="1:16" x14ac:dyDescent="0.25">
      <c r="A810" s="194"/>
      <c r="B810" s="184"/>
      <c r="C810" s="30" t="s">
        <v>56</v>
      </c>
      <c r="D810" s="24">
        <v>0</v>
      </c>
      <c r="E810" s="24"/>
      <c r="F810" s="24"/>
      <c r="G810" s="24"/>
      <c r="H810" s="24"/>
      <c r="I810" s="24"/>
      <c r="J810" s="24"/>
      <c r="K810" s="24"/>
      <c r="L810" s="24"/>
      <c r="M810" s="24"/>
      <c r="N810" s="24">
        <f t="shared" si="245"/>
        <v>0</v>
      </c>
      <c r="O810" s="32">
        <v>0</v>
      </c>
      <c r="P810" s="32">
        <f t="shared" si="244"/>
        <v>0</v>
      </c>
    </row>
    <row r="811" spans="1:16" x14ac:dyDescent="0.25">
      <c r="A811" s="194"/>
      <c r="B811" s="184"/>
      <c r="C811" s="2" t="s">
        <v>43</v>
      </c>
      <c r="D811" s="24">
        <v>8400</v>
      </c>
      <c r="E811" s="24"/>
      <c r="F811" s="24"/>
      <c r="G811" s="24"/>
      <c r="H811" s="24"/>
      <c r="I811" s="24"/>
      <c r="J811" s="24"/>
      <c r="K811" s="24"/>
      <c r="L811" s="24"/>
      <c r="M811" s="24"/>
      <c r="N811" s="24">
        <f t="shared" si="245"/>
        <v>8400</v>
      </c>
      <c r="O811" s="32">
        <v>4200</v>
      </c>
      <c r="P811" s="21">
        <f t="shared" si="244"/>
        <v>4200</v>
      </c>
    </row>
    <row r="812" spans="1:16" x14ac:dyDescent="0.25">
      <c r="A812" s="194"/>
      <c r="B812" s="184"/>
      <c r="C812" s="2" t="s">
        <v>57</v>
      </c>
      <c r="D812" s="24">
        <v>0</v>
      </c>
      <c r="E812" s="24"/>
      <c r="F812" s="24"/>
      <c r="G812" s="24"/>
      <c r="H812" s="24"/>
      <c r="I812" s="24"/>
      <c r="J812" s="24"/>
      <c r="K812" s="24"/>
      <c r="L812" s="24"/>
      <c r="M812" s="24"/>
      <c r="N812" s="24">
        <f t="shared" si="245"/>
        <v>0</v>
      </c>
      <c r="O812" s="32">
        <v>0</v>
      </c>
      <c r="P812" s="21">
        <f t="shared" si="244"/>
        <v>0</v>
      </c>
    </row>
    <row r="813" spans="1:16" x14ac:dyDescent="0.25">
      <c r="A813" s="194"/>
      <c r="B813" s="184"/>
      <c r="C813" s="2" t="s">
        <v>58</v>
      </c>
      <c r="D813" s="24">
        <v>15000</v>
      </c>
      <c r="E813" s="24">
        <v>5000</v>
      </c>
      <c r="F813" s="28"/>
      <c r="G813" s="28"/>
      <c r="H813" s="28"/>
      <c r="I813" s="24"/>
      <c r="J813" s="24"/>
      <c r="K813" s="24"/>
      <c r="L813" s="24"/>
      <c r="M813" s="24"/>
      <c r="N813" s="24">
        <f t="shared" si="245"/>
        <v>20000</v>
      </c>
      <c r="O813" s="32">
        <v>12430</v>
      </c>
      <c r="P813" s="21">
        <f t="shared" si="244"/>
        <v>7570</v>
      </c>
    </row>
    <row r="814" spans="1:16" x14ac:dyDescent="0.25">
      <c r="A814" s="194"/>
      <c r="B814" s="184"/>
      <c r="C814" s="2" t="s">
        <v>44</v>
      </c>
      <c r="D814" s="24">
        <v>14250</v>
      </c>
      <c r="E814" s="24"/>
      <c r="F814" s="28"/>
      <c r="G814" s="28"/>
      <c r="H814" s="28">
        <v>63844</v>
      </c>
      <c r="I814" s="24">
        <v>-2041</v>
      </c>
      <c r="J814" s="24"/>
      <c r="K814" s="24"/>
      <c r="L814" s="24"/>
      <c r="M814" s="24"/>
      <c r="N814" s="24">
        <f t="shared" si="245"/>
        <v>76053</v>
      </c>
      <c r="O814" s="32">
        <v>0</v>
      </c>
      <c r="P814" s="21">
        <f t="shared" si="244"/>
        <v>76053</v>
      </c>
    </row>
    <row r="815" spans="1:16" x14ac:dyDescent="0.25">
      <c r="A815" s="194"/>
      <c r="B815" s="184"/>
      <c r="C815" s="2" t="s">
        <v>59</v>
      </c>
      <c r="D815" s="24">
        <v>0</v>
      </c>
      <c r="E815" s="24"/>
      <c r="F815" s="28"/>
      <c r="G815" s="28"/>
      <c r="H815" s="28"/>
      <c r="I815" s="24"/>
      <c r="J815" s="24"/>
      <c r="K815" s="24"/>
      <c r="L815" s="24"/>
      <c r="M815" s="24"/>
      <c r="N815" s="24">
        <f t="shared" si="245"/>
        <v>0</v>
      </c>
      <c r="O815" s="32">
        <v>0</v>
      </c>
      <c r="P815" s="21">
        <f t="shared" si="244"/>
        <v>0</v>
      </c>
    </row>
    <row r="816" spans="1:16" x14ac:dyDescent="0.25">
      <c r="A816" s="194"/>
      <c r="B816" s="184"/>
      <c r="C816" s="6" t="s">
        <v>45</v>
      </c>
      <c r="D816" s="95">
        <f>SUM(D807:D815)</f>
        <v>102650</v>
      </c>
      <c r="E816" s="95">
        <f t="shared" ref="E816:P816" si="246">SUM(E807:E815)</f>
        <v>0</v>
      </c>
      <c r="F816" s="95">
        <f t="shared" si="246"/>
        <v>0</v>
      </c>
      <c r="G816" s="95"/>
      <c r="H816" s="95">
        <f t="shared" si="246"/>
        <v>300300</v>
      </c>
      <c r="I816" s="95">
        <f t="shared" si="246"/>
        <v>-9600</v>
      </c>
      <c r="J816" s="95">
        <f t="shared" si="246"/>
        <v>0</v>
      </c>
      <c r="K816" s="95">
        <f t="shared" si="246"/>
        <v>0</v>
      </c>
      <c r="L816" s="95">
        <f t="shared" si="246"/>
        <v>0</v>
      </c>
      <c r="M816" s="95">
        <f t="shared" si="246"/>
        <v>0</v>
      </c>
      <c r="N816" s="95">
        <f t="shared" si="246"/>
        <v>393350</v>
      </c>
      <c r="O816" s="49">
        <f>SUM(O807:O815)</f>
        <v>16630</v>
      </c>
      <c r="P816" s="26">
        <f t="shared" si="246"/>
        <v>376720</v>
      </c>
    </row>
    <row r="817" spans="1:17" x14ac:dyDescent="0.25">
      <c r="A817" s="194"/>
      <c r="B817" s="185" t="s">
        <v>20</v>
      </c>
      <c r="C817" s="67" t="s">
        <v>61</v>
      </c>
      <c r="D817" s="108">
        <v>36000</v>
      </c>
      <c r="E817" s="108"/>
      <c r="F817" s="108"/>
      <c r="G817" s="108"/>
      <c r="H817" s="108"/>
      <c r="I817" s="108"/>
      <c r="J817" s="108"/>
      <c r="K817" s="108"/>
      <c r="L817" s="108"/>
      <c r="M817" s="108"/>
      <c r="N817" s="24">
        <f>D817+E817+F817+H817+I817+K817+J817</f>
        <v>36000</v>
      </c>
      <c r="O817" s="130">
        <v>21000</v>
      </c>
      <c r="P817" s="21">
        <f t="shared" ref="P817:P821" si="247">N817-O817</f>
        <v>15000</v>
      </c>
    </row>
    <row r="818" spans="1:17" x14ac:dyDescent="0.25">
      <c r="A818" s="194"/>
      <c r="B818" s="196"/>
      <c r="C818" s="86" t="s">
        <v>56</v>
      </c>
      <c r="D818" s="108">
        <v>6000</v>
      </c>
      <c r="E818" s="108"/>
      <c r="F818" s="108"/>
      <c r="G818" s="108"/>
      <c r="H818" s="108"/>
      <c r="I818" s="108"/>
      <c r="J818" s="108"/>
      <c r="K818" s="108"/>
      <c r="L818" s="108"/>
      <c r="M818" s="108"/>
      <c r="N818" s="24">
        <f>D818+E818+F818+H818+I818+K818+J818</f>
        <v>6000</v>
      </c>
      <c r="O818" s="130">
        <v>6000</v>
      </c>
      <c r="P818" s="21">
        <f t="shared" si="247"/>
        <v>0</v>
      </c>
    </row>
    <row r="819" spans="1:17" x14ac:dyDescent="0.25">
      <c r="A819" s="195"/>
      <c r="B819" s="197"/>
      <c r="C819" s="67" t="s">
        <v>44</v>
      </c>
      <c r="D819" s="108">
        <v>11340</v>
      </c>
      <c r="E819" s="108"/>
      <c r="F819" s="108"/>
      <c r="G819" s="108"/>
      <c r="H819" s="108"/>
      <c r="I819" s="108"/>
      <c r="J819" s="108"/>
      <c r="K819" s="108"/>
      <c r="L819" s="108"/>
      <c r="M819" s="108"/>
      <c r="N819" s="24">
        <f>D819+E819+F819+H819+I819+K819+J819</f>
        <v>11340</v>
      </c>
      <c r="O819" s="130">
        <v>7290</v>
      </c>
      <c r="P819" s="21">
        <f t="shared" si="247"/>
        <v>4050</v>
      </c>
    </row>
    <row r="820" spans="1:17" x14ac:dyDescent="0.25">
      <c r="A820" s="182" t="s">
        <v>110</v>
      </c>
      <c r="B820" s="184" t="s">
        <v>17</v>
      </c>
      <c r="C820" s="2" t="s">
        <v>39</v>
      </c>
      <c r="D820" s="24">
        <v>232958</v>
      </c>
      <c r="E820" s="24"/>
      <c r="F820" s="24"/>
      <c r="G820" s="24"/>
      <c r="H820" s="24"/>
      <c r="I820" s="24"/>
      <c r="J820" s="24"/>
      <c r="K820" s="24"/>
      <c r="L820" s="24"/>
      <c r="M820" s="24"/>
      <c r="N820" s="24">
        <f>D820+E820+F820+H820+I820+K820+J820</f>
        <v>232958</v>
      </c>
      <c r="O820" s="33">
        <v>151047</v>
      </c>
      <c r="P820" s="14">
        <f t="shared" si="247"/>
        <v>81911</v>
      </c>
    </row>
    <row r="821" spans="1:17" x14ac:dyDescent="0.25">
      <c r="A821" s="183"/>
      <c r="B821" s="185"/>
      <c r="C821" s="5" t="s">
        <v>41</v>
      </c>
      <c r="D821" s="90">
        <v>38719</v>
      </c>
      <c r="E821" s="90"/>
      <c r="F821" s="90"/>
      <c r="G821" s="90"/>
      <c r="H821" s="90"/>
      <c r="I821" s="90"/>
      <c r="J821" s="90"/>
      <c r="K821" s="90"/>
      <c r="L821" s="90"/>
      <c r="M821" s="90"/>
      <c r="N821" s="24">
        <f>D821+E821+F821+H821+I821+K821+J821</f>
        <v>38719</v>
      </c>
      <c r="O821" s="126">
        <v>26024</v>
      </c>
      <c r="P821" s="14">
        <f t="shared" si="247"/>
        <v>12695</v>
      </c>
    </row>
    <row r="822" spans="1:17" x14ac:dyDescent="0.25">
      <c r="A822" s="186" t="s">
        <v>132</v>
      </c>
      <c r="B822" s="187"/>
      <c r="C822" s="188"/>
      <c r="D822" s="109">
        <f>SUM(D799,D805,D806,D816,D820,D821,D817,D819,D818)</f>
        <v>3649317</v>
      </c>
      <c r="E822" s="109">
        <f>SUM(E799,E805,E806,E816,E820,E821,E817,E819,E818)</f>
        <v>0</v>
      </c>
      <c r="F822" s="109">
        <f t="shared" ref="F822:O822" si="248">SUM(F799,F805,F806,F816,F820,F821,F817,F819,F818)</f>
        <v>0</v>
      </c>
      <c r="G822" s="109"/>
      <c r="H822" s="109">
        <f t="shared" si="248"/>
        <v>300300</v>
      </c>
      <c r="I822" s="109">
        <f t="shared" si="248"/>
        <v>-9600</v>
      </c>
      <c r="J822" s="109">
        <f t="shared" si="248"/>
        <v>0</v>
      </c>
      <c r="K822" s="109">
        <f t="shared" si="248"/>
        <v>0</v>
      </c>
      <c r="L822" s="109">
        <f t="shared" si="248"/>
        <v>0</v>
      </c>
      <c r="M822" s="109">
        <f t="shared" si="248"/>
        <v>0</v>
      </c>
      <c r="N822" s="109">
        <f t="shared" si="248"/>
        <v>3940017</v>
      </c>
      <c r="O822" s="63">
        <f t="shared" si="248"/>
        <v>2333646</v>
      </c>
      <c r="P822" s="63">
        <f>SUM(P799,P805,P806,P816,P820,P821,P817,P819,P818)</f>
        <v>1606371</v>
      </c>
    </row>
    <row r="823" spans="1:17" ht="43.5" customHeight="1" x14ac:dyDescent="0.25">
      <c r="A823" s="189" t="s">
        <v>120</v>
      </c>
      <c r="B823" s="190"/>
      <c r="C823" s="191"/>
      <c r="D823" s="110">
        <f t="shared" ref="D823:O823" si="249">D822+D798+D757+D714+D687+D650+D615+D581+D544+D510+D488+D456+D423+D388+D325+D290+D258</f>
        <v>294381858</v>
      </c>
      <c r="E823" s="110">
        <f t="shared" si="249"/>
        <v>0</v>
      </c>
      <c r="F823" s="110">
        <f t="shared" si="249"/>
        <v>4794000</v>
      </c>
      <c r="G823" s="110">
        <f t="shared" si="249"/>
        <v>-1774232</v>
      </c>
      <c r="H823" s="110">
        <f t="shared" si="249"/>
        <v>14192000</v>
      </c>
      <c r="I823" s="110">
        <f t="shared" si="249"/>
        <v>-7372015</v>
      </c>
      <c r="J823" s="110">
        <f t="shared" si="249"/>
        <v>1595000</v>
      </c>
      <c r="K823" s="110">
        <f t="shared" si="249"/>
        <v>0</v>
      </c>
      <c r="L823" s="110">
        <f t="shared" si="249"/>
        <v>0</v>
      </c>
      <c r="M823" s="110">
        <f t="shared" si="249"/>
        <v>0</v>
      </c>
      <c r="N823" s="110">
        <f>N822+N798+N757+N714+N687+N650+N615+N581+N544+N510+N488+N456+N423+N388+N325+N290+N258</f>
        <v>305816611</v>
      </c>
      <c r="O823" s="66">
        <f t="shared" si="249"/>
        <v>176243437</v>
      </c>
      <c r="P823" s="66">
        <f>P822+P798+P757+P714+P687+P650+P615+P581+P544+P510+P488+P456+P423+P388+P325+P290+P258</f>
        <v>129573174</v>
      </c>
    </row>
    <row r="824" spans="1:17" x14ac:dyDescent="0.25">
      <c r="B824" s="1"/>
      <c r="P824" s="14"/>
    </row>
    <row r="825" spans="1:17" x14ac:dyDescent="0.25">
      <c r="B825" s="1"/>
      <c r="P825" s="13"/>
    </row>
    <row r="826" spans="1:17" x14ac:dyDescent="0.25">
      <c r="B826" s="1"/>
      <c r="P826" s="13"/>
    </row>
    <row r="827" spans="1:17" ht="15.75" x14ac:dyDescent="0.25">
      <c r="A827" s="23" t="s">
        <v>136</v>
      </c>
      <c r="B827" s="1"/>
      <c r="P827" s="13"/>
    </row>
    <row r="828" spans="1:17" x14ac:dyDescent="0.25">
      <c r="B828" s="1"/>
      <c r="C828" s="68"/>
      <c r="D828" s="69"/>
      <c r="E828" s="69"/>
      <c r="F828" s="69"/>
      <c r="G828" s="69"/>
      <c r="H828" s="69"/>
      <c r="I828" s="69"/>
      <c r="J828" s="69"/>
      <c r="K828" s="69"/>
      <c r="L828" s="69"/>
      <c r="M828" s="69"/>
      <c r="N828" s="69"/>
      <c r="O828" s="70"/>
      <c r="P828" s="13"/>
    </row>
    <row r="829" spans="1:17" s="40" customFormat="1" ht="88.15" customHeight="1" x14ac:dyDescent="0.25">
      <c r="A829" s="192" t="s">
        <v>141</v>
      </c>
      <c r="B829" s="193"/>
      <c r="C829" s="121" t="s">
        <v>2</v>
      </c>
      <c r="D829" s="119" t="s">
        <v>190</v>
      </c>
      <c r="E829" s="119" t="s">
        <v>3</v>
      </c>
      <c r="F829" s="122" t="s">
        <v>192</v>
      </c>
      <c r="G829" s="122" t="s">
        <v>193</v>
      </c>
      <c r="H829" s="122" t="s">
        <v>192</v>
      </c>
      <c r="I829" s="122" t="s">
        <v>193</v>
      </c>
      <c r="J829" s="122" t="s">
        <v>189</v>
      </c>
      <c r="K829" s="122"/>
      <c r="L829" s="122"/>
      <c r="M829" s="122" t="s">
        <v>147</v>
      </c>
      <c r="N829" s="119" t="s">
        <v>191</v>
      </c>
      <c r="O829" s="120" t="s">
        <v>187</v>
      </c>
      <c r="P829" s="39"/>
      <c r="Q829" s="45"/>
    </row>
    <row r="830" spans="1:17" ht="15" customHeight="1" x14ac:dyDescent="0.25">
      <c r="A830" s="192"/>
      <c r="B830" s="193"/>
      <c r="C830" s="71" t="s">
        <v>6</v>
      </c>
      <c r="D830" s="71">
        <f t="shared" ref="D830:O830" si="250">D103+D95+D88+D85+D79+D73+D70+D65+D58+D55+D52+D49+D42+D35+D30+D27+D6</f>
        <v>60956655</v>
      </c>
      <c r="E830" s="71">
        <f t="shared" si="250"/>
        <v>0</v>
      </c>
      <c r="F830" s="71">
        <f t="shared" si="250"/>
        <v>0</v>
      </c>
      <c r="G830" s="71">
        <f t="shared" ref="G830" si="251">G103+G95+G88+G85+G79+G73+G70+G65+G58+G55+G52+G49+G42+G35+G30+G27+G6</f>
        <v>-1774232</v>
      </c>
      <c r="H830" s="71">
        <f t="shared" si="250"/>
        <v>0</v>
      </c>
      <c r="I830" s="71">
        <f t="shared" si="250"/>
        <v>-7372015</v>
      </c>
      <c r="J830" s="71">
        <f t="shared" si="250"/>
        <v>0</v>
      </c>
      <c r="K830" s="71">
        <f t="shared" si="250"/>
        <v>0</v>
      </c>
      <c r="L830" s="71">
        <f t="shared" ref="L830:M830" si="252">L103+L95+L88+L85+L79+L73+L70+L65+L58+L55+L52+L49+L42+L35+L30+L27+L6</f>
        <v>0</v>
      </c>
      <c r="M830" s="71">
        <f t="shared" si="252"/>
        <v>0</v>
      </c>
      <c r="N830" s="71">
        <f>D830+E830+F830+H830+I830+K830+J830+L830+M830+G830</f>
        <v>51810408</v>
      </c>
      <c r="O830" s="72">
        <f t="shared" si="250"/>
        <v>33679054</v>
      </c>
      <c r="P830" s="13"/>
    </row>
    <row r="831" spans="1:17" ht="15" customHeight="1" x14ac:dyDescent="0.25">
      <c r="A831" s="192"/>
      <c r="B831" s="193"/>
      <c r="C831" s="71" t="s">
        <v>133</v>
      </c>
      <c r="D831" s="71">
        <f t="shared" ref="D831:K831" si="253">D89+D66+D59+D43+D36+D31+D7</f>
        <v>127000</v>
      </c>
      <c r="E831" s="71">
        <f t="shared" si="253"/>
        <v>0</v>
      </c>
      <c r="F831" s="71">
        <f t="shared" si="253"/>
        <v>0</v>
      </c>
      <c r="G831" s="71">
        <f t="shared" ref="G831" si="254">G89+G66+G59+G43+G36+G31+G7</f>
        <v>0</v>
      </c>
      <c r="H831" s="71">
        <f t="shared" si="253"/>
        <v>0</v>
      </c>
      <c r="I831" s="71">
        <f t="shared" si="253"/>
        <v>0</v>
      </c>
      <c r="J831" s="71">
        <f t="shared" si="253"/>
        <v>0</v>
      </c>
      <c r="K831" s="71">
        <f t="shared" si="253"/>
        <v>0</v>
      </c>
      <c r="L831" s="71">
        <f t="shared" ref="L831:M831" si="255">L89+L66+L59+L43+L36+L31+L7</f>
        <v>0</v>
      </c>
      <c r="M831" s="71">
        <f t="shared" si="255"/>
        <v>0</v>
      </c>
      <c r="N831" s="71">
        <f t="shared" ref="N830:N842" si="256">D831+E831+F831+H831+I831+K831+J831+L831+M831</f>
        <v>127000</v>
      </c>
      <c r="O831" s="72" t="s">
        <v>148</v>
      </c>
      <c r="P831" s="13"/>
    </row>
    <row r="832" spans="1:17" ht="15" customHeight="1" x14ac:dyDescent="0.25">
      <c r="A832" s="192"/>
      <c r="B832" s="193"/>
      <c r="C832" s="71" t="s">
        <v>134</v>
      </c>
      <c r="D832" s="71">
        <f t="shared" ref="D832:O832" si="257">D11</f>
        <v>0</v>
      </c>
      <c r="E832" s="71">
        <f t="shared" si="257"/>
        <v>0</v>
      </c>
      <c r="F832" s="71">
        <f t="shared" si="257"/>
        <v>0</v>
      </c>
      <c r="G832" s="71">
        <f t="shared" ref="G832" si="258">G11</f>
        <v>0</v>
      </c>
      <c r="H832" s="71">
        <f t="shared" si="257"/>
        <v>0</v>
      </c>
      <c r="I832" s="71">
        <f t="shared" si="257"/>
        <v>0</v>
      </c>
      <c r="J832" s="71">
        <f t="shared" si="257"/>
        <v>0</v>
      </c>
      <c r="K832" s="71">
        <f t="shared" si="257"/>
        <v>0</v>
      </c>
      <c r="L832" s="71">
        <f t="shared" ref="L832:M832" si="259">L11</f>
        <v>0</v>
      </c>
      <c r="M832" s="71">
        <f t="shared" si="259"/>
        <v>0</v>
      </c>
      <c r="N832" s="71">
        <f t="shared" si="256"/>
        <v>0</v>
      </c>
      <c r="O832" s="72">
        <f t="shared" si="257"/>
        <v>0</v>
      </c>
      <c r="P832" s="13"/>
    </row>
    <row r="833" spans="1:16" ht="15" customHeight="1" x14ac:dyDescent="0.25">
      <c r="A833" s="192"/>
      <c r="B833" s="193"/>
      <c r="C833" s="71" t="s">
        <v>18</v>
      </c>
      <c r="D833" s="71">
        <f>D92+D82+D46+D24+D19+D62+D97+D100+D76</f>
        <v>75000</v>
      </c>
      <c r="E833" s="71">
        <f t="shared" ref="E833:O833" si="260">E92+E82+E46+E24+E19+E62+E97+E100+E76</f>
        <v>16206</v>
      </c>
      <c r="F833" s="71">
        <f t="shared" si="260"/>
        <v>0</v>
      </c>
      <c r="G833" s="71">
        <f t="shared" ref="G833" si="261">G92+G82+G46+G24+G19+G62+G97+G100+G76</f>
        <v>0</v>
      </c>
      <c r="H833" s="71">
        <f t="shared" si="260"/>
        <v>0</v>
      </c>
      <c r="I833" s="71">
        <f t="shared" si="260"/>
        <v>0</v>
      </c>
      <c r="J833" s="71">
        <f t="shared" si="260"/>
        <v>0</v>
      </c>
      <c r="K833" s="71">
        <f t="shared" si="260"/>
        <v>0</v>
      </c>
      <c r="L833" s="71">
        <f t="shared" si="260"/>
        <v>0</v>
      </c>
      <c r="M833" s="71">
        <f t="shared" si="260"/>
        <v>0</v>
      </c>
      <c r="N833" s="71">
        <f t="shared" si="260"/>
        <v>91206</v>
      </c>
      <c r="O833" s="71">
        <f t="shared" si="260"/>
        <v>73532</v>
      </c>
      <c r="P833" s="13"/>
    </row>
    <row r="834" spans="1:16" ht="15" customHeight="1" x14ac:dyDescent="0.25">
      <c r="A834" s="192"/>
      <c r="B834" s="193"/>
      <c r="C834" s="71" t="s">
        <v>10</v>
      </c>
      <c r="D834" s="71">
        <f>D106+D102+D98+D93+D91+D87+D83+D81+D78+D75+D72+D69+D68+D64+D61+D57+D54+D51+D47+D45+D40+D39+D38+D34+D33+D29+D25+D20+D16+D13+D12+D10+D105</f>
        <v>27090000</v>
      </c>
      <c r="E834" s="71">
        <f t="shared" ref="E834:O834" si="262">E106+E102+E98+E93+E91+E87+E83+E81+E78+E75+E72+E69+E68+E64+E61+E57+E54+E51+E47+E45+E40+E39+E38+E34+E33+E29+E25+E20+E16+E13+E12+E10+E105</f>
        <v>-441232</v>
      </c>
      <c r="F834" s="71">
        <f t="shared" si="262"/>
        <v>0</v>
      </c>
      <c r="G834" s="71">
        <f t="shared" ref="G834" si="263">G106+G102+G98+G93+G91+G87+G83+G81+G78+G75+G72+G69+G68+G64+G61+G57+G54+G51+G47+G45+G40+G39+G38+G34+G33+G29+G25+G20+G16+G13+G12+G10+G105</f>
        <v>0</v>
      </c>
      <c r="H834" s="71">
        <f t="shared" si="262"/>
        <v>0</v>
      </c>
      <c r="I834" s="71">
        <f t="shared" si="262"/>
        <v>0</v>
      </c>
      <c r="J834" s="71">
        <f t="shared" si="262"/>
        <v>1595000</v>
      </c>
      <c r="K834" s="71">
        <f t="shared" si="262"/>
        <v>0</v>
      </c>
      <c r="L834" s="71">
        <f t="shared" ref="L834:M834" si="264">L106+L102+L98+L93+L91+L87+L83+L81+L78+L75+L72+L69+L68+L64+L61+L57+L54+L51+L47+L45+L40+L39+L38+L34+L33+L29+L25+L20+L16+L13+L12+L10+L105</f>
        <v>0</v>
      </c>
      <c r="M834" s="71">
        <f t="shared" si="264"/>
        <v>0</v>
      </c>
      <c r="N834" s="71">
        <f t="shared" si="256"/>
        <v>28243768</v>
      </c>
      <c r="O834" s="72">
        <f t="shared" si="262"/>
        <v>19466095</v>
      </c>
      <c r="P834" s="13"/>
    </row>
    <row r="835" spans="1:16" ht="15" customHeight="1" x14ac:dyDescent="0.25">
      <c r="A835" s="192"/>
      <c r="B835" s="193"/>
      <c r="C835" s="71" t="s">
        <v>13</v>
      </c>
      <c r="D835" s="71">
        <f>D94+D84+D48+D41+D26+D21+D14+D17+D63+D99+D101+D77</f>
        <v>1612937</v>
      </c>
      <c r="E835" s="71">
        <f t="shared" ref="E835:O835" si="265">E94+E84+E48+E41+E26+E21+E14+E17+E63+E99+E101+E77</f>
        <v>3026</v>
      </c>
      <c r="F835" s="71">
        <f t="shared" si="265"/>
        <v>0</v>
      </c>
      <c r="G835" s="71">
        <f t="shared" ref="G835" si="266">G94+G84+G48+G41+G26+G21+G14+G17+G63+G99+G101+G77</f>
        <v>0</v>
      </c>
      <c r="H835" s="71">
        <f t="shared" si="265"/>
        <v>0</v>
      </c>
      <c r="I835" s="71">
        <f t="shared" si="265"/>
        <v>0</v>
      </c>
      <c r="J835" s="71">
        <f t="shared" si="265"/>
        <v>0</v>
      </c>
      <c r="K835" s="71">
        <f t="shared" si="265"/>
        <v>0</v>
      </c>
      <c r="L835" s="71">
        <f t="shared" si="265"/>
        <v>0</v>
      </c>
      <c r="M835" s="71">
        <f t="shared" si="265"/>
        <v>0</v>
      </c>
      <c r="N835" s="71">
        <f t="shared" si="265"/>
        <v>1615963</v>
      </c>
      <c r="O835" s="71">
        <f t="shared" si="265"/>
        <v>1108729</v>
      </c>
      <c r="P835" s="13"/>
    </row>
    <row r="836" spans="1:16" ht="15" customHeight="1" x14ac:dyDescent="0.25">
      <c r="A836" s="192"/>
      <c r="B836" s="193"/>
      <c r="C836" s="71" t="s">
        <v>16</v>
      </c>
      <c r="D836" s="71">
        <f t="shared" ref="D836:O836" si="267">D18</f>
        <v>0</v>
      </c>
      <c r="E836" s="71">
        <f t="shared" si="267"/>
        <v>422000</v>
      </c>
      <c r="F836" s="71">
        <f t="shared" si="267"/>
        <v>0</v>
      </c>
      <c r="G836" s="71">
        <f t="shared" ref="G836" si="268">G18</f>
        <v>0</v>
      </c>
      <c r="H836" s="71">
        <f t="shared" si="267"/>
        <v>0</v>
      </c>
      <c r="I836" s="71">
        <f t="shared" si="267"/>
        <v>0</v>
      </c>
      <c r="J836" s="71">
        <f t="shared" si="267"/>
        <v>0</v>
      </c>
      <c r="K836" s="71">
        <f t="shared" si="267"/>
        <v>0</v>
      </c>
      <c r="L836" s="71">
        <f t="shared" ref="L836:M836" si="269">L18</f>
        <v>0</v>
      </c>
      <c r="M836" s="71">
        <f t="shared" si="269"/>
        <v>0</v>
      </c>
      <c r="N836" s="71">
        <f t="shared" si="256"/>
        <v>422000</v>
      </c>
      <c r="O836" s="72">
        <f t="shared" si="267"/>
        <v>422000</v>
      </c>
      <c r="P836" s="13"/>
    </row>
    <row r="837" spans="1:16" ht="15" customHeight="1" x14ac:dyDescent="0.25">
      <c r="A837" s="192"/>
      <c r="B837" s="193"/>
      <c r="C837" s="71" t="s">
        <v>19</v>
      </c>
      <c r="D837" s="71">
        <f t="shared" ref="D837:O837" si="270">D22</f>
        <v>2832</v>
      </c>
      <c r="E837" s="71">
        <f t="shared" si="270"/>
        <v>0</v>
      </c>
      <c r="F837" s="71">
        <f t="shared" si="270"/>
        <v>0</v>
      </c>
      <c r="G837" s="71">
        <f t="shared" ref="G837" si="271">G22</f>
        <v>0</v>
      </c>
      <c r="H837" s="71">
        <f t="shared" si="270"/>
        <v>0</v>
      </c>
      <c r="I837" s="71">
        <f t="shared" si="270"/>
        <v>0</v>
      </c>
      <c r="J837" s="71">
        <f t="shared" si="270"/>
        <v>0</v>
      </c>
      <c r="K837" s="71">
        <f t="shared" si="270"/>
        <v>0</v>
      </c>
      <c r="L837" s="71">
        <f t="shared" ref="L837:M837" si="272">L22</f>
        <v>0</v>
      </c>
      <c r="M837" s="71">
        <f t="shared" si="272"/>
        <v>0</v>
      </c>
      <c r="N837" s="71">
        <f t="shared" si="256"/>
        <v>2832</v>
      </c>
      <c r="O837" s="72">
        <f t="shared" si="270"/>
        <v>1041</v>
      </c>
      <c r="P837" s="13"/>
    </row>
    <row r="838" spans="1:16" ht="15" customHeight="1" x14ac:dyDescent="0.25">
      <c r="A838" s="192"/>
      <c r="B838" s="193"/>
      <c r="C838" s="71" t="s">
        <v>14</v>
      </c>
      <c r="D838" s="71">
        <f>D23+D15</f>
        <v>10481</v>
      </c>
      <c r="E838" s="71">
        <f t="shared" ref="E838:O838" si="273">E23+E15</f>
        <v>0</v>
      </c>
      <c r="F838" s="71">
        <f t="shared" si="273"/>
        <v>0</v>
      </c>
      <c r="G838" s="71">
        <f t="shared" ref="G838" si="274">G23+G15</f>
        <v>0</v>
      </c>
      <c r="H838" s="71">
        <f t="shared" si="273"/>
        <v>0</v>
      </c>
      <c r="I838" s="71">
        <f t="shared" si="273"/>
        <v>0</v>
      </c>
      <c r="J838" s="71">
        <f t="shared" si="273"/>
        <v>0</v>
      </c>
      <c r="K838" s="71">
        <f t="shared" si="273"/>
        <v>0</v>
      </c>
      <c r="L838" s="71">
        <f t="shared" ref="L838:M838" si="275">L23+L15</f>
        <v>0</v>
      </c>
      <c r="M838" s="71">
        <f t="shared" si="275"/>
        <v>0</v>
      </c>
      <c r="N838" s="71">
        <f t="shared" si="256"/>
        <v>10481</v>
      </c>
      <c r="O838" s="72">
        <f t="shared" si="273"/>
        <v>5623</v>
      </c>
      <c r="P838" s="13"/>
    </row>
    <row r="839" spans="1:16" ht="15" customHeight="1" x14ac:dyDescent="0.25">
      <c r="A839" s="192"/>
      <c r="B839" s="193"/>
      <c r="C839" s="73" t="s">
        <v>137</v>
      </c>
      <c r="D839" s="73">
        <f>D100+D101+D105+D99+D97+D63+D62+D34+D106+D102+D98+D94+D93+D92+D91+D87+D84+D83+D82+D81+D78+D75+D72+D69+D68+D64+D61+D57+D54+D51+D48+D47+D46+D45+D41+D40+D39+D38+D33+D29+D26+D25+D24+D23+D22+D21+D20+D19+D18+D17+D16+D15+D14+D13+D12+D11+D10+D76+D77</f>
        <v>28791250</v>
      </c>
      <c r="E839" s="73">
        <f t="shared" ref="E839:O839" si="276">E100+E101+E105+E99+E97+E63+E62+E34+E106+E102+E98+E94+E93+E92+E91+E87+E84+E83+E82+E81+E78+E75+E72+E69+E68+E64+E61+E57+E54+E51+E48+E47+E46+E45+E41+E40+E39+E38+E33+E29+E26+E25+E24+E23+E22+E21+E20+E19+E18+E17+E16+E15+E14+E13+E12+E11+E10+E76+E77</f>
        <v>0</v>
      </c>
      <c r="F839" s="73">
        <f t="shared" si="276"/>
        <v>0</v>
      </c>
      <c r="G839" s="73">
        <f t="shared" ref="G839" si="277">G100+G101+G105+G99+G97+G63+G62+G34+G106+G102+G98+G94+G93+G92+G91+G87+G84+G83+G82+G81+G78+G75+G72+G69+G68+G64+G61+G57+G54+G51+G48+G47+G46+G45+G41+G40+G39+G38+G33+G29+G26+G25+G24+G23+G22+G21+G20+G19+G18+G17+G16+G15+G14+G13+G12+G11+G10+G76+G77</f>
        <v>0</v>
      </c>
      <c r="H839" s="73">
        <f t="shared" si="276"/>
        <v>0</v>
      </c>
      <c r="I839" s="73">
        <f t="shared" si="276"/>
        <v>0</v>
      </c>
      <c r="J839" s="73">
        <f t="shared" si="276"/>
        <v>1595000</v>
      </c>
      <c r="K839" s="73">
        <f t="shared" si="276"/>
        <v>0</v>
      </c>
      <c r="L839" s="73">
        <f t="shared" si="276"/>
        <v>0</v>
      </c>
      <c r="M839" s="73">
        <f t="shared" si="276"/>
        <v>0</v>
      </c>
      <c r="N839" s="73">
        <f>N100+N101+N105+N99+N97+N63+N62+N34+N106+N102+N98+N94+N93+N92+N91+N87+N84+N83+N82+N81+N78+N75+N72+N69+N68+N64+N61+N57+N54+N51+N48+N47+N46+N45+N41+N40+N39+N38+N33+N29+N26+N25+N24+N23+N22+N21+N20+N19+N18+N17+N16+N15+N14+N13+N12+N11+N10+N76+N77</f>
        <v>30386250</v>
      </c>
      <c r="O839" s="73">
        <f t="shared" si="276"/>
        <v>21077020</v>
      </c>
      <c r="P839" s="13"/>
    </row>
    <row r="840" spans="1:16" ht="15" customHeight="1" x14ac:dyDescent="0.25">
      <c r="A840" s="192"/>
      <c r="B840" s="193"/>
      <c r="C840" s="71" t="s">
        <v>7</v>
      </c>
      <c r="D840" s="71">
        <f t="shared" ref="D840:O840" si="278">D104+D96+D90+D86+D80+D74+D71+D67+D60+D56+D53+D50+D44+D37+D32+D28+D8</f>
        <v>27719855</v>
      </c>
      <c r="E840" s="71">
        <f t="shared" si="278"/>
        <v>0</v>
      </c>
      <c r="F840" s="71">
        <f t="shared" si="278"/>
        <v>0</v>
      </c>
      <c r="G840" s="71">
        <f t="shared" ref="G840" si="279">G104+G96+G90+G86+G80+G74+G71+G67+G60+G56+G53+G50+G44+G37+G32+G28+G8</f>
        <v>0</v>
      </c>
      <c r="H840" s="71">
        <f t="shared" si="278"/>
        <v>0</v>
      </c>
      <c r="I840" s="71">
        <f t="shared" si="278"/>
        <v>0</v>
      </c>
      <c r="J840" s="71">
        <f t="shared" si="278"/>
        <v>0</v>
      </c>
      <c r="K840" s="71">
        <f t="shared" si="278"/>
        <v>0</v>
      </c>
      <c r="L840" s="71">
        <f t="shared" ref="L840:M840" si="280">L104+L96+L90+L86+L80+L74+L71+L67+L60+L56+L53+L50+L44+L37+L32+L28+L8</f>
        <v>0</v>
      </c>
      <c r="M840" s="71">
        <f t="shared" si="280"/>
        <v>0</v>
      </c>
      <c r="N840" s="71">
        <f t="shared" si="256"/>
        <v>27719855</v>
      </c>
      <c r="O840" s="72">
        <f t="shared" si="278"/>
        <v>27719855</v>
      </c>
      <c r="P840" s="13"/>
    </row>
    <row r="841" spans="1:16" ht="15" customHeight="1" x14ac:dyDescent="0.25">
      <c r="A841" s="192"/>
      <c r="B841" s="193"/>
      <c r="C841" s="71" t="s">
        <v>8</v>
      </c>
      <c r="D841" s="71">
        <f t="shared" ref="D841:O841" si="281">D9</f>
        <v>176787098</v>
      </c>
      <c r="E841" s="71">
        <f t="shared" si="281"/>
        <v>0</v>
      </c>
      <c r="F841" s="71">
        <f t="shared" si="281"/>
        <v>4794000</v>
      </c>
      <c r="G841" s="71">
        <f t="shared" ref="G841" si="282">G9</f>
        <v>0</v>
      </c>
      <c r="H841" s="71">
        <f t="shared" si="281"/>
        <v>14192000</v>
      </c>
      <c r="I841" s="71">
        <f t="shared" si="281"/>
        <v>0</v>
      </c>
      <c r="J841" s="71">
        <f t="shared" si="281"/>
        <v>0</v>
      </c>
      <c r="K841" s="71">
        <f t="shared" si="281"/>
        <v>0</v>
      </c>
      <c r="L841" s="71">
        <f t="shared" ref="L841:M841" si="283">L9</f>
        <v>0</v>
      </c>
      <c r="M841" s="71">
        <f t="shared" si="283"/>
        <v>0</v>
      </c>
      <c r="N841" s="71">
        <f t="shared" si="256"/>
        <v>195773098</v>
      </c>
      <c r="O841" s="72">
        <f t="shared" si="281"/>
        <v>105294041</v>
      </c>
      <c r="P841" s="13"/>
    </row>
    <row r="842" spans="1:16" ht="15" customHeight="1" x14ac:dyDescent="0.25">
      <c r="A842" s="192"/>
      <c r="B842" s="193"/>
      <c r="C842" s="73" t="s">
        <v>138</v>
      </c>
      <c r="D842" s="73">
        <f t="shared" ref="D842:O842" si="284">D104+D96+D90+D86+D80+D74+D71+D67+D60+D56+D53+D44+D50+D37+D32+D28+D9+D8</f>
        <v>204506953</v>
      </c>
      <c r="E842" s="73">
        <f t="shared" si="284"/>
        <v>0</v>
      </c>
      <c r="F842" s="73">
        <f t="shared" si="284"/>
        <v>4794000</v>
      </c>
      <c r="G842" s="73">
        <f t="shared" ref="G842" si="285">G104+G96+G90+G86+G80+G74+G71+G67+G60+G56+G53+G44+G50+G37+G32+G28+G9+G8</f>
        <v>0</v>
      </c>
      <c r="H842" s="73">
        <f t="shared" si="284"/>
        <v>14192000</v>
      </c>
      <c r="I842" s="73">
        <f t="shared" si="284"/>
        <v>0</v>
      </c>
      <c r="J842" s="73">
        <f t="shared" si="284"/>
        <v>0</v>
      </c>
      <c r="K842" s="73">
        <f t="shared" si="284"/>
        <v>0</v>
      </c>
      <c r="L842" s="73">
        <f t="shared" ref="L842:M842" si="286">L104+L96+L90+L86+L80+L74+L71+L67+L60+L56+L53+L44+L50+L37+L32+L28+L9+L8</f>
        <v>0</v>
      </c>
      <c r="M842" s="73">
        <f t="shared" si="286"/>
        <v>0</v>
      </c>
      <c r="N842" s="73">
        <f t="shared" si="256"/>
        <v>223492953</v>
      </c>
      <c r="O842" s="74">
        <f t="shared" si="284"/>
        <v>133013896</v>
      </c>
      <c r="P842" s="13"/>
    </row>
    <row r="843" spans="1:16" ht="15" customHeight="1" x14ac:dyDescent="0.25">
      <c r="A843" s="192"/>
      <c r="B843" s="193"/>
      <c r="C843" s="73" t="s">
        <v>139</v>
      </c>
      <c r="D843" s="73">
        <f>D100+D101+D99+D105+D97+D63+D62+D106+D104+D103+D102+D98+D96+D95+D94+D93+D92+D91+D90+D89+D87+D88+D86+D85+D84+D83+D82+D81+D80+D79+D78+D75+D74+D73+D72+D71+D70+D69+D68+D67+D66+D65+D64+D61+D60+D59+D58+D57+D56+D55+D54+D53+D52+D51+D50+D49+D48+D47+D46+D45+D44+D43+D42+D41+D40+D39+D38+D37+D36+D35+D34+D33+D32+D31+D30+D29+D28+D27+D26+D25+D24+D23+D22+D21+D20+D19+D18+D17+D16+D15+D14+D13+D12+D11+D9+D10+D8+D7+D6+D76+D77</f>
        <v>294381858</v>
      </c>
      <c r="E843" s="73">
        <f t="shared" ref="E843:O843" si="287">E100+E101+E99+E105+E97+E63+E62+E106+E104+E103+E102+E98+E96+E95+E94+E93+E92+E91+E90+E89+E87+E88+E86+E85+E84+E83+E82+E81+E80+E79+E78+E75+E74+E73+E72+E71+E70+E69+E68+E67+E66+E65+E64+E61+E60+E59+E58+E57+E56+E55+E54+E53+E52+E51+E50+E49+E48+E47+E46+E45+E44+E43+E42+E41+E40+E39+E38+E37+E36+E35+E34+E33+E32+E31+E30+E29+E28+E27+E26+E25+E24+E23+E22+E21+E20+E19+E18+E17+E16+E15+E14+E13+E12+E11+E9+E10+E8+E7+E6+E76+E77</f>
        <v>0</v>
      </c>
      <c r="F843" s="73">
        <f t="shared" si="287"/>
        <v>4794000</v>
      </c>
      <c r="G843" s="73">
        <f t="shared" ref="G843" si="288">G100+G101+G99+G105+G97+G63+G62+G106+G104+G103+G102+G98+G96+G95+G94+G93+G92+G91+G90+G89+G87+G88+G86+G85+G84+G83+G82+G81+G80+G79+G78+G75+G74+G73+G72+G71+G70+G69+G68+G67+G66+G65+G64+G61+G60+G59+G58+G57+G56+G55+G54+G53+G52+G51+G50+G49+G48+G47+G46+G45+G44+G43+G42+G41+G40+G39+G38+G37+G36+G35+G34+G33+G32+G31+G30+G29+G28+G27+G26+G25+G24+G23+G22+G21+G20+G19+G18+G17+G16+G15+G14+G13+G12+G11+G9+G10+G8+G7+G6+G76+G77</f>
        <v>-1774232</v>
      </c>
      <c r="H843" s="73">
        <f t="shared" si="287"/>
        <v>14192000</v>
      </c>
      <c r="I843" s="73">
        <f t="shared" si="287"/>
        <v>-7372015</v>
      </c>
      <c r="J843" s="73">
        <f t="shared" si="287"/>
        <v>1595000</v>
      </c>
      <c r="K843" s="73">
        <f t="shared" si="287"/>
        <v>0</v>
      </c>
      <c r="L843" s="73">
        <f t="shared" si="287"/>
        <v>0</v>
      </c>
      <c r="M843" s="73">
        <f t="shared" si="287"/>
        <v>0</v>
      </c>
      <c r="N843" s="73">
        <f t="shared" si="287"/>
        <v>305816611</v>
      </c>
      <c r="O843" s="73">
        <f t="shared" si="287"/>
        <v>187769970</v>
      </c>
      <c r="P843" s="13"/>
    </row>
    <row r="844" spans="1:16" ht="15" customHeight="1" x14ac:dyDescent="0.25">
      <c r="A844" s="192"/>
      <c r="B844" s="193"/>
      <c r="C844" s="71" t="s">
        <v>39</v>
      </c>
      <c r="D844" s="71">
        <f t="shared" ref="D844:K844" si="289">D699+D820+D800+D796+D763+D758+D755+D725+D716+D712+D688+D685+D661+D652+D648+D622+D617+D613+D592+D583+D577+D550+D546+D540+D512+D508+D490+D484+D466+D458+D454+D434+D425+D421+D399+D384+D390+D382+D357+D334+D326+D323+D299+D292+D288+D269+D260+D246+D244+D240+D242+D238+D197+D182+D138+D160+D117+D108</f>
        <v>195228438</v>
      </c>
      <c r="E844" s="72">
        <f t="shared" si="289"/>
        <v>-270518</v>
      </c>
      <c r="F844" s="72">
        <f t="shared" si="289"/>
        <v>0</v>
      </c>
      <c r="G844" s="72">
        <f t="shared" ref="G844" si="290">G699+G820+G800+G796+G763+G758+G755+G725+G716+G712+G688+G685+G661+G652+G648+G622+G617+G613+G592+G583+G577+G550+G546+G540+G512+G508+G490+G484+G466+G458+G454+G434+G425+G421+G399+G384+G390+G382+G357+G334+G326+G323+G299+G292+G288+G269+G260+G246+G244+G240+G242+G238+G197+G182+G138+G160+G117+G108</f>
        <v>0</v>
      </c>
      <c r="H844" s="72">
        <f t="shared" si="289"/>
        <v>0</v>
      </c>
      <c r="I844" s="72">
        <f t="shared" si="289"/>
        <v>0</v>
      </c>
      <c r="J844" s="72">
        <f t="shared" si="289"/>
        <v>0</v>
      </c>
      <c r="K844" s="72">
        <f t="shared" si="289"/>
        <v>0</v>
      </c>
      <c r="L844" s="72">
        <f t="shared" ref="L844:M844" si="291">L699+L820+L800+L796+L763+L758+L755+L725+L716+L712+L688+L685+L661+L652+L648+L622+L617+L613+L592+L583+L577+L550+L546+L540+L512+L508+L490+L484+L466+L458+L454+L434+L425+L421+L399+L384+L390+L382+L357+L334+L326+L323+L299+L292+L288+L269+L260+L246+L244+L240+L242+L238+L197+L182+L138+L160+L117+L108</f>
        <v>0</v>
      </c>
      <c r="M844" s="72">
        <f t="shared" si="291"/>
        <v>0</v>
      </c>
      <c r="N844" s="72">
        <f>N699+N820+N800+N796+N763+N758+N755+N725+N716+N712+N688+N685+N661+N652+N648+N622+N617+N613+N592+N583+N577+N550+N546+N540+N512+N508+N490+N484+N466+N458+N454+N434+N425+N421+N399+N384+N390+N382+N357+N334+N326+N323+N299+N292+N288+N269+N260+N246+N244+N240+N242+N238+N197+N182+N138+N160+N117+N108</f>
        <v>194957920</v>
      </c>
      <c r="O844" s="75">
        <f>O699+O820+O800+O796+O763+O758+O755+O725+O716+O712+O688+O685+O661+O652+O648+O622+O617+O613+O592+O583+O577+O550+O546+O540+O512+O508+O490+O484+O466+O458+O454+O434+O425+O421+O399+O384+O390+O382+O357+O334+O326+O323+O299+O292+O288+O269+O260+O246+O244+O240+O242+O238+O197+O182+O138+O160+O117+O108</f>
        <v>120794012</v>
      </c>
      <c r="P844" s="13"/>
    </row>
    <row r="845" spans="1:16" ht="15" customHeight="1" x14ac:dyDescent="0.25">
      <c r="A845" s="192"/>
      <c r="B845" s="193"/>
      <c r="C845" s="71" t="s">
        <v>64</v>
      </c>
      <c r="D845" s="71">
        <f>D783+D225</f>
        <v>3180000</v>
      </c>
      <c r="E845" s="71">
        <f t="shared" ref="E845:O845" si="292">E783+E225</f>
        <v>0</v>
      </c>
      <c r="F845" s="71">
        <f t="shared" si="292"/>
        <v>0</v>
      </c>
      <c r="G845" s="71">
        <f t="shared" ref="G845" si="293">G783+G225</f>
        <v>0</v>
      </c>
      <c r="H845" s="71">
        <f t="shared" si="292"/>
        <v>0</v>
      </c>
      <c r="I845" s="71">
        <f t="shared" si="292"/>
        <v>0</v>
      </c>
      <c r="J845" s="71">
        <f t="shared" si="292"/>
        <v>0</v>
      </c>
      <c r="K845" s="71">
        <f t="shared" si="292"/>
        <v>0</v>
      </c>
      <c r="L845" s="71">
        <f t="shared" ref="L845:N845" si="294">L783+L225</f>
        <v>0</v>
      </c>
      <c r="M845" s="71">
        <f t="shared" si="294"/>
        <v>0</v>
      </c>
      <c r="N845" s="72">
        <f t="shared" si="294"/>
        <v>3180000</v>
      </c>
      <c r="O845" s="72">
        <f t="shared" si="292"/>
        <v>1964486</v>
      </c>
      <c r="P845" s="13"/>
    </row>
    <row r="846" spans="1:16" ht="15" customHeight="1" x14ac:dyDescent="0.25">
      <c r="A846" s="192"/>
      <c r="B846" s="193"/>
      <c r="C846" s="71" t="s">
        <v>62</v>
      </c>
      <c r="D846" s="71">
        <f>D764+D593+D335+D198+D467</f>
        <v>1365000</v>
      </c>
      <c r="E846" s="71">
        <f t="shared" ref="E846:K846" si="295">E764+E593+E335+E198</f>
        <v>0</v>
      </c>
      <c r="F846" s="71">
        <f t="shared" si="295"/>
        <v>0</v>
      </c>
      <c r="G846" s="71">
        <f t="shared" ref="G846" si="296">G764+G593+G335+G198</f>
        <v>0</v>
      </c>
      <c r="H846" s="71">
        <f t="shared" si="295"/>
        <v>0</v>
      </c>
      <c r="I846" s="71">
        <f t="shared" si="295"/>
        <v>0</v>
      </c>
      <c r="J846" s="71">
        <f t="shared" si="295"/>
        <v>0</v>
      </c>
      <c r="K846" s="71">
        <f t="shared" si="295"/>
        <v>0</v>
      </c>
      <c r="L846" s="71">
        <f t="shared" ref="L846:M846" si="297">L764+L593+L335+L198</f>
        <v>0</v>
      </c>
      <c r="M846" s="71">
        <f t="shared" si="297"/>
        <v>0</v>
      </c>
      <c r="N846" s="72">
        <f>N764+N593+N335+N198+N467</f>
        <v>1365000</v>
      </c>
      <c r="O846" s="72">
        <f>O764+O593+O335+O198+O467</f>
        <v>1365000</v>
      </c>
      <c r="P846" s="13"/>
    </row>
    <row r="847" spans="1:16" ht="15" customHeight="1" x14ac:dyDescent="0.25">
      <c r="A847" s="192"/>
      <c r="B847" s="193"/>
      <c r="C847" s="71" t="s">
        <v>46</v>
      </c>
      <c r="D847" s="71">
        <f t="shared" ref="D847:K848" si="298">D801+D765+D726+D689+D662+D623+D594+D551+D513+D491+D468+D435+D400+D358+D336+D300+D270+D199+D183+D161+D139+D118</f>
        <v>6250000</v>
      </c>
      <c r="E847" s="71">
        <f t="shared" si="298"/>
        <v>0</v>
      </c>
      <c r="F847" s="71">
        <f t="shared" si="298"/>
        <v>0</v>
      </c>
      <c r="G847" s="71">
        <f t="shared" ref="G847" si="299">G801+G765+G726+G689+G662+G623+G594+G551+G513+G491+G468+G435+G400+G358+G336+G300+G270+G199+G183+G161+G139+G118</f>
        <v>0</v>
      </c>
      <c r="H847" s="71">
        <f t="shared" si="298"/>
        <v>0</v>
      </c>
      <c r="I847" s="71">
        <f t="shared" si="298"/>
        <v>0</v>
      </c>
      <c r="J847" s="71">
        <f t="shared" si="298"/>
        <v>0</v>
      </c>
      <c r="K847" s="71">
        <f t="shared" si="298"/>
        <v>0</v>
      </c>
      <c r="L847" s="71">
        <f t="shared" ref="L847:M847" si="300">L801+L765+L726+L689+L662+L623+L594+L551+L513+L491+L468+L435+L400+L358+L336+L300+L270+L199+L183+L161+L139+L118</f>
        <v>0</v>
      </c>
      <c r="M847" s="71">
        <f t="shared" si="300"/>
        <v>0</v>
      </c>
      <c r="N847" s="72">
        <f>N801+N765+N726+N689+N662+N623+N594+N551+N513+N491+N468+N435+N400+N358+N336+N300+N270+N199+N183+N161+N139+N118</f>
        <v>6250000</v>
      </c>
      <c r="O847" s="72">
        <f>O801+O765+O726+O689+O662+O623+O594+O551+O513+O491+O468+O435+O400+O358+O336+O300+O270+O199+O183+O161+O139+O118</f>
        <v>2917417</v>
      </c>
      <c r="P847" s="13"/>
    </row>
    <row r="848" spans="1:16" ht="15" customHeight="1" x14ac:dyDescent="0.25">
      <c r="A848" s="192"/>
      <c r="B848" s="193"/>
      <c r="C848" s="71" t="s">
        <v>47</v>
      </c>
      <c r="D848" s="71">
        <f t="shared" si="298"/>
        <v>320000</v>
      </c>
      <c r="E848" s="71">
        <f t="shared" si="298"/>
        <v>0</v>
      </c>
      <c r="F848" s="71">
        <f t="shared" si="298"/>
        <v>0</v>
      </c>
      <c r="G848" s="71">
        <f t="shared" ref="G848" si="301">G802+G766+G727+G690+G663+G624+G595+G552+G514+G492+G469+G436+G401+G359+G337+G301+G271+G200+G184+G162+G140+G119</f>
        <v>0</v>
      </c>
      <c r="H848" s="71">
        <f t="shared" si="298"/>
        <v>0</v>
      </c>
      <c r="I848" s="71">
        <f t="shared" si="298"/>
        <v>0</v>
      </c>
      <c r="J848" s="71">
        <f t="shared" si="298"/>
        <v>0</v>
      </c>
      <c r="K848" s="71">
        <f t="shared" si="298"/>
        <v>0</v>
      </c>
      <c r="L848" s="71">
        <f t="shared" ref="L848:M848" si="302">L802+L766+L727+L690+L663+L624+L595+L552+L514+L492+L469+L436+L401+L359+L337+L301+L271+L200+L184+L162+L140+L119</f>
        <v>0</v>
      </c>
      <c r="M848" s="71">
        <f t="shared" si="302"/>
        <v>0</v>
      </c>
      <c r="N848" s="72">
        <f>N802+N766+N727+N690+N663+N624+N595+N552+N514+N492+N469+N436+N401+N359+N337+N301+N271+N200+N184+N162+N140+N119</f>
        <v>320000</v>
      </c>
      <c r="O848" s="72">
        <f>O802+O766+O727+O690+O663+O624+O595+O552+O514+O492+O469+O436+O401+O359+O337+O301+O271+O200+O184+O162+O140+O119</f>
        <v>132650</v>
      </c>
      <c r="P848" s="13"/>
    </row>
    <row r="849" spans="1:16" ht="15" customHeight="1" x14ac:dyDescent="0.25">
      <c r="A849" s="192"/>
      <c r="B849" s="193"/>
      <c r="C849" s="71" t="s">
        <v>48</v>
      </c>
      <c r="D849" s="76">
        <f>D625+D596+D437+D201+D163+D141+D120+D424+D582+D651+D664+D338</f>
        <v>911000</v>
      </c>
      <c r="E849" s="76">
        <f>E625+E596+E437+E201+E163+E141+E120+E424+E582+E651+E664+E338</f>
        <v>0</v>
      </c>
      <c r="F849" s="76">
        <f t="shared" ref="F849:L849" si="303">F625+F596+F437+F201+F163+F141+F120+F424+F582+F651+F664+F338</f>
        <v>0</v>
      </c>
      <c r="G849" s="76">
        <f t="shared" ref="G849" si="304">G625+G596+G437+G201+G163+G141+G120+G424+G582+G651+G664+G338</f>
        <v>0</v>
      </c>
      <c r="H849" s="76">
        <f t="shared" si="303"/>
        <v>0</v>
      </c>
      <c r="I849" s="76">
        <f t="shared" si="303"/>
        <v>0</v>
      </c>
      <c r="J849" s="76">
        <f t="shared" si="303"/>
        <v>0</v>
      </c>
      <c r="K849" s="76">
        <f t="shared" si="303"/>
        <v>0</v>
      </c>
      <c r="L849" s="76">
        <f t="shared" si="303"/>
        <v>0</v>
      </c>
      <c r="M849" s="75">
        <f t="shared" ref="M849" si="305">M625+M596+M437+M201+M163+M141+M120+M424+M582+M651+M664+M338</f>
        <v>0</v>
      </c>
      <c r="N849" s="75">
        <f>N625+N596+N437+N201+N163+N141+N120+N424+N582+N651+N664+N338</f>
        <v>911000</v>
      </c>
      <c r="O849" s="75">
        <f>O625+O596+O437+O201+O163+O141+O120+O424+O582+O651+O664+O338</f>
        <v>150216</v>
      </c>
      <c r="P849" s="13"/>
    </row>
    <row r="850" spans="1:16" ht="15" customHeight="1" x14ac:dyDescent="0.25">
      <c r="A850" s="192"/>
      <c r="B850" s="193"/>
      <c r="C850" s="71" t="s">
        <v>49</v>
      </c>
      <c r="D850" s="71">
        <f t="shared" ref="D850:O850" si="306">D803+D767+D728+D691+D665+D626+D553+D597+D515+D493+D470+D438+D402+D360+D339+D302+D272+D202+D185+D164+D142+D121</f>
        <v>760000</v>
      </c>
      <c r="E850" s="71">
        <f t="shared" si="306"/>
        <v>0</v>
      </c>
      <c r="F850" s="71">
        <f t="shared" si="306"/>
        <v>0</v>
      </c>
      <c r="G850" s="71">
        <f t="shared" ref="G850" si="307">G803+G767+G728+G691+G665+G626+G553+G597+G515+G493+G470+G438+G402+G360+G339+G302+G272+G202+G185+G164+G142+G121</f>
        <v>0</v>
      </c>
      <c r="H850" s="71">
        <f t="shared" si="306"/>
        <v>0</v>
      </c>
      <c r="I850" s="71">
        <f t="shared" si="306"/>
        <v>0</v>
      </c>
      <c r="J850" s="71">
        <f t="shared" si="306"/>
        <v>0</v>
      </c>
      <c r="K850" s="71">
        <f t="shared" si="306"/>
        <v>0</v>
      </c>
      <c r="L850" s="71">
        <f t="shared" ref="L850:N850" si="308">L803+L767+L728+L691+L665+L626+L553+L597+L515+L493+L470+L438+L402+L360+L339+L302+L272+L202+L185+L164+L142+L121</f>
        <v>0</v>
      </c>
      <c r="M850" s="71">
        <f t="shared" si="308"/>
        <v>0</v>
      </c>
      <c r="N850" s="71">
        <f t="shared" si="308"/>
        <v>760000</v>
      </c>
      <c r="O850" s="71">
        <f t="shared" si="306"/>
        <v>356000</v>
      </c>
      <c r="P850" s="13"/>
    </row>
    <row r="851" spans="1:16" ht="15" customHeight="1" x14ac:dyDescent="0.25">
      <c r="A851" s="192"/>
      <c r="B851" s="193"/>
      <c r="C851" s="71" t="s">
        <v>50</v>
      </c>
      <c r="D851" s="71">
        <f t="shared" ref="D851:O851" si="309">D143+D804+D768+D729+D717+D692+D666+D653+D627+D598+D584+D579+D554+D547+D542+D516+D494+D486+D471+D459+D439+D426+D403+D391+D386+D361+D340+D327+D303+D293+D273+D261+D256+D254+D252+D250+D248+D203+D186+D165+D122+D109</f>
        <v>2501758</v>
      </c>
      <c r="E851" s="71">
        <f t="shared" si="309"/>
        <v>270518</v>
      </c>
      <c r="F851" s="71">
        <f t="shared" si="309"/>
        <v>0</v>
      </c>
      <c r="G851" s="71">
        <f t="shared" ref="G851" si="310">G143+G804+G768+G729+G717+G692+G666+G653+G627+G598+G584+G579+G554+G547+G542+G516+G494+G486+G471+G459+G439+G426+G403+G391+G386+G361+G340+G327+G303+G293+G273+G261+G256+G254+G252+G250+G248+G203+G186+G165+G122+G109</f>
        <v>0</v>
      </c>
      <c r="H851" s="71">
        <f t="shared" si="309"/>
        <v>0</v>
      </c>
      <c r="I851" s="71">
        <f t="shared" si="309"/>
        <v>0</v>
      </c>
      <c r="J851" s="71">
        <f t="shared" si="309"/>
        <v>0</v>
      </c>
      <c r="K851" s="71">
        <f t="shared" si="309"/>
        <v>0</v>
      </c>
      <c r="L851" s="71">
        <f t="shared" ref="L851:N851" si="311">L143+L804+L768+L729+L717+L692+L666+L653+L627+L598+L584+L579+L554+L547+L542+L516+L494+L486+L471+L459+L439+L426+L403+L391+L386+L361+L340+L327+L303+L293+L273+L261+L256+L254+L252+L250+L248+L203+L186+L165+L122+L109</f>
        <v>0</v>
      </c>
      <c r="M851" s="71">
        <f t="shared" si="311"/>
        <v>0</v>
      </c>
      <c r="N851" s="72">
        <f t="shared" si="311"/>
        <v>2772276</v>
      </c>
      <c r="O851" s="72">
        <f t="shared" si="309"/>
        <v>1436196</v>
      </c>
      <c r="P851" s="13"/>
    </row>
    <row r="852" spans="1:16" ht="15" customHeight="1" x14ac:dyDescent="0.25">
      <c r="A852" s="192"/>
      <c r="B852" s="193"/>
      <c r="C852" s="71" t="s">
        <v>51</v>
      </c>
      <c r="D852" s="71">
        <f>D784+D628+D341+D274+D226+D204+D123+D730</f>
        <v>1115000</v>
      </c>
      <c r="E852" s="71">
        <f>E784+E628+E341+E274+E226+E204+E123+E730</f>
        <v>0</v>
      </c>
      <c r="F852" s="71">
        <f t="shared" ref="F852:K852" si="312">F784+F628+F341+F274+F226+F204+F123+F730</f>
        <v>0</v>
      </c>
      <c r="G852" s="71">
        <f t="shared" ref="G852" si="313">G784+G628+G341+G274+G226+G204+G123+G730</f>
        <v>0</v>
      </c>
      <c r="H852" s="71">
        <f t="shared" si="312"/>
        <v>0</v>
      </c>
      <c r="I852" s="71">
        <f t="shared" si="312"/>
        <v>0</v>
      </c>
      <c r="J852" s="71">
        <f t="shared" si="312"/>
        <v>0</v>
      </c>
      <c r="K852" s="71">
        <f t="shared" si="312"/>
        <v>0</v>
      </c>
      <c r="L852" s="71">
        <f t="shared" ref="L852:M852" si="314">L784+L628+L341+L274+L226+L204+L123+L730</f>
        <v>0</v>
      </c>
      <c r="M852" s="71">
        <f t="shared" si="314"/>
        <v>0</v>
      </c>
      <c r="N852" s="75">
        <f>N784+N628+N341+N274+N226+N204+N123+N730</f>
        <v>1115000</v>
      </c>
      <c r="O852" s="75">
        <f>O784+O628+O341+O274+O226+O204+O123+O730</f>
        <v>680000</v>
      </c>
      <c r="P852" s="13"/>
    </row>
    <row r="853" spans="1:16" ht="15" customHeight="1" x14ac:dyDescent="0.25">
      <c r="A853" s="192"/>
      <c r="B853" s="193"/>
      <c r="C853" s="73" t="s">
        <v>40</v>
      </c>
      <c r="D853" s="74">
        <f>D256+D254+D252+D250+D248+D386+D486+D542+D579+D820+D805+D796+D785+D769+D758+D755+D731+D718+D712+D700+D693+D685+D667+D654+D648+D629+D617+D613+D599+D585+D577+D555+D548+D540+D517+D508+D495+D484+D472+D460+D454+D440+D427+D421+D404+D392+D384+D382+D362+D342+D328+D323+D304+D294+D288+D275+D262+D246+D244+D242+D240+D238+D227+D205+D187+D166+D144+D124+D110</f>
        <v>211631196</v>
      </c>
      <c r="E853" s="74">
        <f t="shared" ref="E853:L853" si="315">E256+E254+E252+E250+E248+E386+E486+E542+E579+E820+E805+E796+E785+E769+E758+E755+E731+E718+E712+E700+E693+E685+E667+E654+E648+E629+E617+E613+E599+E585+E577+E555+E548+E540+E517+E508+E495+E484+E472+E460+E454+E440+E427+E421+E404+E392+E384+E382+E362+E342+E328+E323+E304+E294+E288+E275+E262+E246+E244+E242+E240+E238+E227+E205+E187+E166+E144+E124+E110</f>
        <v>0</v>
      </c>
      <c r="F853" s="74">
        <f t="shared" si="315"/>
        <v>0</v>
      </c>
      <c r="G853" s="74">
        <f t="shared" ref="G853" si="316">G256+G254+G252+G250+G248+G386+G486+G542+G579+G820+G805+G796+G785+G769+G758+G755+G731+G718+G712+G700+G693+G685+G667+G654+G648+G629+G617+G613+G599+G585+G577+G555+G548+G540+G517+G508+G495+G484+G472+G460+G454+G440+G427+G421+G404+G392+G384+G382+G362+G342+G328+G323+G304+G294+G288+G275+G262+G246+G244+G242+G240+G238+G227+G205+G187+G166+G144+G124+G110</f>
        <v>0</v>
      </c>
      <c r="H853" s="74">
        <f t="shared" si="315"/>
        <v>0</v>
      </c>
      <c r="I853" s="74">
        <f t="shared" si="315"/>
        <v>0</v>
      </c>
      <c r="J853" s="74">
        <f t="shared" si="315"/>
        <v>0</v>
      </c>
      <c r="K853" s="74">
        <f t="shared" si="315"/>
        <v>0</v>
      </c>
      <c r="L853" s="74">
        <f t="shared" si="315"/>
        <v>0</v>
      </c>
      <c r="M853" s="74">
        <f t="shared" ref="M853" si="317">M256+M254+M252+M250+M248+M386+M486+M542+M579+M820+M805+M796+M785+M769+M758+M755+M731+M718+M712+M700+M693+M685+M667+M654+M648+M629+M617+M613+M599+M585+M577+M555+M548+M540+M517+M508+M495+M484+M472+M460+M454+M440+M427+M421+M404+M392+M384+M382+M362+M342+M328+M323+M304+M294+M288+M275+M262+M246+M244+M242+M240+M238+M227+M205+M187+M166+M144+M124+M110</f>
        <v>0</v>
      </c>
      <c r="N853" s="74">
        <f t="shared" ref="N853:N876" si="318">D853+E853+F853+H853+I853+K853+J853+L853+M853</f>
        <v>211631196</v>
      </c>
      <c r="O853" s="74">
        <f t="shared" ref="O853" si="319">O256+O254+O252+O250+O248+O386+O486+O542+O579+O820+O805+O796+O785+O769+O758+O755+O731+O718+O712+O700+O693+O685+O667+O654+O648+O629+O617+O613+O599+O585+O577+O555+O548+O540+O517+O508+O495+O484+O472+O460+O454+O440+O427+O421+O404+O392+O384+O382+O362+O342+O328+O323+O304+O294+O288+O275+O262+O246+O244+O242+O240+O238+O227+O205+O187+O166+O144+O124+O110</f>
        <v>129795977</v>
      </c>
      <c r="P853" s="13"/>
    </row>
    <row r="854" spans="1:16" ht="15" customHeight="1" x14ac:dyDescent="0.25">
      <c r="A854" s="192"/>
      <c r="B854" s="193"/>
      <c r="C854" s="73" t="s">
        <v>41</v>
      </c>
      <c r="D854" s="73">
        <f t="shared" ref="D854:M854" si="320">D701+D821+D806+D797+D786+D770+D759+D756+D732+D719+D713+D694+D686+D668+D655+D649+D630+D618+D614+D600+D586+D580+D578+D556+D549+D543+D541+D518+D509+D496+D487+D485+D473+D461+D455+D441+D428+D422+D405+D393+D387+D385+D383+D363+D343+D329+D324+D305+D295+D289+D276+D263+D257+D255+D253+D251+D249+D247+D245+D243+D241+D239+D228+D206+D188+D167+D145+D125+D111</f>
        <v>36443767</v>
      </c>
      <c r="E854" s="73">
        <f t="shared" si="320"/>
        <v>0</v>
      </c>
      <c r="F854" s="73">
        <f t="shared" si="320"/>
        <v>0</v>
      </c>
      <c r="G854" s="73">
        <f t="shared" ref="G854" si="321">G701+G821+G806+G797+G786+G770+G759+G756+G732+G719+G713+G694+G686+G668+G655+G649+G630+G618+G614+G600+G586+G580+G578+G556+G549+G543+G541+G518+G509+G496+G487+G485+G473+G461+G455+G441+G428+G422+G405+G393+G387+G385+G383+G363+G343+G329+G324+G305+G295+G289+G276+G263+G257+G255+G253+G251+G249+G247+G245+G243+G241+G239+G228+G206+G188+G167+G145+G125+G111</f>
        <v>0</v>
      </c>
      <c r="H854" s="73">
        <f t="shared" si="320"/>
        <v>0</v>
      </c>
      <c r="I854" s="73">
        <f t="shared" si="320"/>
        <v>0</v>
      </c>
      <c r="J854" s="73">
        <f t="shared" si="320"/>
        <v>0</v>
      </c>
      <c r="K854" s="73">
        <f t="shared" si="320"/>
        <v>0</v>
      </c>
      <c r="L854" s="73">
        <f t="shared" si="320"/>
        <v>0</v>
      </c>
      <c r="M854" s="73">
        <f t="shared" si="320"/>
        <v>0</v>
      </c>
      <c r="N854" s="73">
        <f t="shared" si="318"/>
        <v>36443767</v>
      </c>
      <c r="O854" s="74">
        <f>O821+O806+O797+O786+O770+O759+O756+O732+O719+O713+O701+O694+O686+O668+O655+O649+O630+O618+O614+O600+O586+O580+O578+O556+O549+O543+O541+O518+O509+O496+O487+O485+O473+O461+O455+O441+O428+O422+O405+O393+O387+O385+O383+O363+O343+O329+O324+O305+O295+O289+O276+O263+O257+O255+O253+O251+O249+O247+O245+O243+O241+O239+O228+O206+O188+O167+O145+O125+O111</f>
        <v>21964319</v>
      </c>
      <c r="P854" s="13"/>
    </row>
    <row r="855" spans="1:16" ht="15" customHeight="1" x14ac:dyDescent="0.25">
      <c r="A855" s="192"/>
      <c r="B855" s="193"/>
      <c r="C855" s="71" t="s">
        <v>42</v>
      </c>
      <c r="D855" s="72">
        <f t="shared" ref="D855:N855" si="322">D695+D807+D787+D771+D760+D733+D720+D702+D669+D656+D631+D619+D601+D587+D557+D519+D497+D474+D462+D442+D429+D406+D394+D364+D344+D330+D306+D277+D296+D264+D229+D207+D168+D146+D126+D112+D189</f>
        <v>1125000</v>
      </c>
      <c r="E855" s="72">
        <f t="shared" si="322"/>
        <v>-1078258</v>
      </c>
      <c r="F855" s="72">
        <f t="shared" si="322"/>
        <v>3079526</v>
      </c>
      <c r="G855" s="72">
        <f t="shared" ref="G855" si="323">G695+G807+G787+G771+G760+G733+G720+G702+G669+G656+G631+G619+G601+G587+G557+G519+G497+G474+G462+G442+G429+G406+G394+G364+G344+G330+G306+G277+G296+G264+G229+G207+G168+G146+G126+G112+G189</f>
        <v>-1039553</v>
      </c>
      <c r="H855" s="72">
        <f t="shared" si="322"/>
        <v>3830276</v>
      </c>
      <c r="I855" s="72">
        <f t="shared" si="322"/>
        <v>-1893819</v>
      </c>
      <c r="J855" s="72">
        <f t="shared" si="322"/>
        <v>253700</v>
      </c>
      <c r="K855" s="72">
        <f t="shared" si="322"/>
        <v>0</v>
      </c>
      <c r="L855" s="72">
        <f t="shared" si="322"/>
        <v>0</v>
      </c>
      <c r="M855" s="72">
        <f t="shared" si="322"/>
        <v>0</v>
      </c>
      <c r="N855" s="75">
        <f t="shared" si="322"/>
        <v>4276872</v>
      </c>
      <c r="O855" s="75">
        <f>O695+O807+O787+O771+O760+O733+O720+O702+O669+O656+O631+O619+O601+O587+O557+O519+O497+O474+O462+O442+O429+O406+O394+O364+O344+O330+O306+O277+O296+O264+O229+O207+O168+O146+O126+O112+O189</f>
        <v>618088</v>
      </c>
      <c r="P855" s="13"/>
    </row>
    <row r="856" spans="1:16" ht="15" customHeight="1" x14ac:dyDescent="0.25">
      <c r="A856" s="192"/>
      <c r="B856" s="193"/>
      <c r="C856" s="71" t="s">
        <v>52</v>
      </c>
      <c r="D856" s="71">
        <f t="shared" ref="D856:N856" si="324">D721+D696+D657+D588+D430+D395+D265+D113+D808+D788+D772+D734+D703+D670+D632+D602+D558+D520+D498+D475+D443+D407+D365+D345+D307+D278+D208+D190+D169+D147+D127</f>
        <v>1551010</v>
      </c>
      <c r="E856" s="71">
        <f t="shared" si="324"/>
        <v>995639</v>
      </c>
      <c r="F856" s="71">
        <f t="shared" si="324"/>
        <v>337795</v>
      </c>
      <c r="G856" s="71">
        <f t="shared" ref="G856" si="325">G721+G696+G657+G588+G430+G395+G265+G113+G808+G788+G772+G734+G703+G670+G632+G602+G558+G520+G498+G475+G443+G407+G365+G345+G307+G278+G208+G190+G169+G147+G127</f>
        <v>0</v>
      </c>
      <c r="H856" s="71">
        <f t="shared" si="324"/>
        <v>2331410</v>
      </c>
      <c r="I856" s="71">
        <f t="shared" si="324"/>
        <v>-510040</v>
      </c>
      <c r="J856" s="71">
        <f t="shared" si="324"/>
        <v>588936</v>
      </c>
      <c r="K856" s="71">
        <f t="shared" si="324"/>
        <v>0</v>
      </c>
      <c r="L856" s="71">
        <f t="shared" si="324"/>
        <v>0</v>
      </c>
      <c r="M856" s="71">
        <f t="shared" si="324"/>
        <v>0</v>
      </c>
      <c r="N856" s="76">
        <f t="shared" si="324"/>
        <v>5294750</v>
      </c>
      <c r="O856" s="76">
        <f>O721+O696+O657+O588+O430+O395+O265+O113+O808+O788+O772+O734+O703+O670+O632+O602+O558+O520+O498+O475+O443+O407+O365+O345+O307+O278+O208+O190+O169+O147+O127</f>
        <v>995259</v>
      </c>
      <c r="P856" s="13"/>
    </row>
    <row r="857" spans="1:16" ht="15" customHeight="1" x14ac:dyDescent="0.25">
      <c r="A857" s="192"/>
      <c r="B857" s="193"/>
      <c r="C857" s="71" t="s">
        <v>53</v>
      </c>
      <c r="D857" s="71">
        <f t="shared" ref="D857:K857" si="326">D773+D735+D346+D209+D170+D148+D128</f>
        <v>474892</v>
      </c>
      <c r="E857" s="71">
        <f t="shared" si="326"/>
        <v>2950</v>
      </c>
      <c r="F857" s="71">
        <f t="shared" si="326"/>
        <v>0</v>
      </c>
      <c r="G857" s="71">
        <f t="shared" ref="G857" si="327">G773+G735+G346+G209+G170+G148+G128</f>
        <v>0</v>
      </c>
      <c r="H857" s="71">
        <f t="shared" si="326"/>
        <v>0</v>
      </c>
      <c r="I857" s="71">
        <f t="shared" si="326"/>
        <v>0</v>
      </c>
      <c r="J857" s="71">
        <f t="shared" si="326"/>
        <v>39370</v>
      </c>
      <c r="K857" s="71">
        <f t="shared" si="326"/>
        <v>0</v>
      </c>
      <c r="L857" s="71">
        <f t="shared" ref="L857:M857" si="328">L773+L735+L346+L209+L170+L148+L128</f>
        <v>0</v>
      </c>
      <c r="M857" s="71">
        <f t="shared" si="328"/>
        <v>0</v>
      </c>
      <c r="N857" s="71">
        <f t="shared" si="318"/>
        <v>517212</v>
      </c>
      <c r="O857" s="72">
        <f>O773+O735+O346+O209+O170+O148+O128</f>
        <v>317410</v>
      </c>
      <c r="P857" s="13"/>
    </row>
    <row r="858" spans="1:16" ht="15" customHeight="1" x14ac:dyDescent="0.25">
      <c r="A858" s="192"/>
      <c r="B858" s="193"/>
      <c r="C858" s="71" t="s">
        <v>54</v>
      </c>
      <c r="D858" s="71">
        <f>D789+D774+D347+D230+D210+D171+D149+D129+D809+D736+D704+D671+D633+D603+D559+D521+D499+D476+D444+D408+D366+D308+D279</f>
        <v>690288</v>
      </c>
      <c r="E858" s="71">
        <f t="shared" ref="E858:O858" si="329">E789+E774+E347+E230+E210+E171+E149+E129+E809+E736+E704+E671+E633+E603+E559+E521+E499+E476+E444+E408+E366+E308+E279</f>
        <v>0</v>
      </c>
      <c r="F858" s="71">
        <f t="shared" si="329"/>
        <v>0</v>
      </c>
      <c r="G858" s="71">
        <f t="shared" ref="G858" si="330">G789+G774+G347+G230+G210+G171+G149+G129+G809+G736+G704+G671+G633+G603+G559+G521+G499+G476+G444+G408+G366+G308+G279</f>
        <v>0</v>
      </c>
      <c r="H858" s="71">
        <f t="shared" si="329"/>
        <v>0</v>
      </c>
      <c r="I858" s="71">
        <f t="shared" si="329"/>
        <v>0</v>
      </c>
      <c r="J858" s="71">
        <f t="shared" si="329"/>
        <v>39370</v>
      </c>
      <c r="K858" s="71">
        <f t="shared" si="329"/>
        <v>0</v>
      </c>
      <c r="L858" s="71">
        <f t="shared" ref="L858:M858" si="331">L789+L774+L347+L230+L210+L171+L149+L129+L809+L736+L704+L671+L633+L603+L559+L521+L499+L476+L444+L408+L366+L308+L279</f>
        <v>0</v>
      </c>
      <c r="M858" s="71">
        <f t="shared" si="331"/>
        <v>0</v>
      </c>
      <c r="N858" s="76">
        <f t="shared" si="318"/>
        <v>729658</v>
      </c>
      <c r="O858" s="75">
        <f t="shared" si="329"/>
        <v>401354</v>
      </c>
      <c r="P858" s="13"/>
    </row>
    <row r="859" spans="1:16" ht="15" customHeight="1" x14ac:dyDescent="0.25">
      <c r="A859" s="192"/>
      <c r="B859" s="193"/>
      <c r="C859" s="71" t="s">
        <v>55</v>
      </c>
      <c r="D859" s="71">
        <f t="shared" ref="D859:K859" si="332">D737+D672+D604+D560+D522+D500+D445+D348+D280+D211+D172+D150+D130+D409</f>
        <v>5369744</v>
      </c>
      <c r="E859" s="71">
        <f t="shared" si="332"/>
        <v>55000</v>
      </c>
      <c r="F859" s="71">
        <f t="shared" si="332"/>
        <v>0</v>
      </c>
      <c r="G859" s="71">
        <f t="shared" ref="G859" si="333">G737+G672+G604+G560+G522+G500+G445+G348+G280+G211+G172+G150+G130+G409</f>
        <v>0</v>
      </c>
      <c r="H859" s="71">
        <f t="shared" si="332"/>
        <v>0</v>
      </c>
      <c r="I859" s="71">
        <f t="shared" si="332"/>
        <v>0</v>
      </c>
      <c r="J859" s="71">
        <f t="shared" si="332"/>
        <v>0</v>
      </c>
      <c r="K859" s="71">
        <f t="shared" si="332"/>
        <v>0</v>
      </c>
      <c r="L859" s="71">
        <f t="shared" ref="L859:M859" si="334">L737+L672+L604+L560+L522+L500+L445+L348+L280+L211+L172+L150+L130+L409</f>
        <v>0</v>
      </c>
      <c r="M859" s="71">
        <f t="shared" si="334"/>
        <v>0</v>
      </c>
      <c r="N859" s="76">
        <f t="shared" si="318"/>
        <v>5424744</v>
      </c>
      <c r="O859" s="76">
        <f>O737+O672+O604+O560+O522+O500+O445+O348+O280+O211+O172+O150+O130+O409</f>
        <v>2767793</v>
      </c>
      <c r="P859" s="13"/>
    </row>
    <row r="860" spans="1:16" ht="15" customHeight="1" x14ac:dyDescent="0.25">
      <c r="A860" s="192"/>
      <c r="B860" s="193"/>
      <c r="C860" s="71" t="s">
        <v>60</v>
      </c>
      <c r="D860" s="71">
        <f>D212+D191+D151</f>
        <v>12221671</v>
      </c>
      <c r="E860" s="71">
        <f t="shared" ref="E860:O860" si="335">E212+E191+E151</f>
        <v>0</v>
      </c>
      <c r="F860" s="71">
        <f t="shared" si="335"/>
        <v>0</v>
      </c>
      <c r="G860" s="71">
        <f t="shared" ref="G860" si="336">G212+G191+G151</f>
        <v>0</v>
      </c>
      <c r="H860" s="71">
        <f t="shared" si="335"/>
        <v>0</v>
      </c>
      <c r="I860" s="71">
        <f t="shared" si="335"/>
        <v>0</v>
      </c>
      <c r="J860" s="71">
        <f t="shared" si="335"/>
        <v>0</v>
      </c>
      <c r="K860" s="71">
        <f t="shared" si="335"/>
        <v>0</v>
      </c>
      <c r="L860" s="71">
        <f t="shared" ref="L860:M860" si="337">L212+L191+L151</f>
        <v>0</v>
      </c>
      <c r="M860" s="71">
        <f t="shared" si="337"/>
        <v>0</v>
      </c>
      <c r="N860" s="76">
        <f t="shared" si="318"/>
        <v>12221671</v>
      </c>
      <c r="O860" s="72">
        <f t="shared" si="335"/>
        <v>7273182</v>
      </c>
      <c r="P860" s="13"/>
    </row>
    <row r="861" spans="1:16" ht="15" customHeight="1" x14ac:dyDescent="0.25">
      <c r="A861" s="192"/>
      <c r="B861" s="193"/>
      <c r="C861" s="71" t="s">
        <v>61</v>
      </c>
      <c r="D861" s="72">
        <f t="shared" ref="D861:K861" si="338">D790+D775+D749+D738+D679+D642+D634+D605+D572+D561+D534+D523+D446+D410+D376+D349+D318+D231+D173+D152+D817</f>
        <v>4432675</v>
      </c>
      <c r="E861" s="72">
        <f t="shared" si="338"/>
        <v>0</v>
      </c>
      <c r="F861" s="72">
        <f t="shared" si="338"/>
        <v>0</v>
      </c>
      <c r="G861" s="72">
        <f t="shared" ref="G861" si="339">G790+G775+G749+G738+G679+G642+G634+G605+G572+G561+G534+G523+G446+G410+G376+G349+G318+G231+G173+G152+G817</f>
        <v>0</v>
      </c>
      <c r="H861" s="72">
        <f t="shared" si="338"/>
        <v>0</v>
      </c>
      <c r="I861" s="72">
        <f t="shared" si="338"/>
        <v>0</v>
      </c>
      <c r="J861" s="72">
        <f t="shared" si="338"/>
        <v>0</v>
      </c>
      <c r="K861" s="72">
        <f t="shared" si="338"/>
        <v>0</v>
      </c>
      <c r="L861" s="72">
        <f t="shared" ref="L861:M861" si="340">L790+L775+L749+L738+L679+L642+L634+L605+L572+L561+L534+L523+L446+L410+L376+L349+L318+L231+L173+L152+L817</f>
        <v>0</v>
      </c>
      <c r="M861" s="72">
        <f t="shared" si="340"/>
        <v>0</v>
      </c>
      <c r="N861" s="75">
        <f t="shared" si="318"/>
        <v>4432675</v>
      </c>
      <c r="O861" s="75">
        <f>O790+O775+O749+O738+O679+O642+O634+O605+O572+O561+O534+O523+O446+O410+O376+O349+O318+O231+O173+O152+O817</f>
        <v>2573540</v>
      </c>
      <c r="P861" s="13"/>
    </row>
    <row r="862" spans="1:16" ht="15" customHeight="1" x14ac:dyDescent="0.25">
      <c r="A862" s="192"/>
      <c r="B862" s="193"/>
      <c r="C862" s="71" t="s">
        <v>56</v>
      </c>
      <c r="D862" s="76">
        <f t="shared" ref="D862:M862" si="341">D810+D562+D791+D776+D750+D739+D705+D680+D673+D643+D635+D606+D573+D535+D501+D477+D447+D411+D377+D367+D350+D319+D309+D281+D232+D213+D174+D153+D131+D818+D524</f>
        <v>2526461</v>
      </c>
      <c r="E862" s="76">
        <f>E810+E562+E791+E776+E750+E739+E705+E680+E673+E643+E635+E606+E573+E535+E501+E477+E447+E411+E377+E367+E350+E319+E309+E281+E232+E213+E174+E153+E131+E818+E524</f>
        <v>-5000</v>
      </c>
      <c r="F862" s="76">
        <f t="shared" si="341"/>
        <v>0</v>
      </c>
      <c r="G862" s="76">
        <f t="shared" ref="G862" si="342">G810+G562+G791+G776+G750+G739+G705+G680+G673+G643+G635+G606+G573+G535+G501+G477+G447+G411+G377+G367+G350+G319+G309+G281+G232+G213+G174+G153+G131+G818+G524</f>
        <v>0</v>
      </c>
      <c r="H862" s="76">
        <f t="shared" si="341"/>
        <v>0</v>
      </c>
      <c r="I862" s="76">
        <f t="shared" si="341"/>
        <v>0</v>
      </c>
      <c r="J862" s="76">
        <f t="shared" si="341"/>
        <v>299527</v>
      </c>
      <c r="K862" s="76">
        <f t="shared" si="341"/>
        <v>0</v>
      </c>
      <c r="L862" s="76">
        <f t="shared" si="341"/>
        <v>0</v>
      </c>
      <c r="M862" s="76">
        <f t="shared" si="341"/>
        <v>0</v>
      </c>
      <c r="N862" s="76">
        <f t="shared" si="318"/>
        <v>2820988</v>
      </c>
      <c r="O862" s="76">
        <f>O810+O562+O791+O776+O750+O739+O705+O680+O673+O643+O635+O606+O573+O535+O501+O477+O447+O411+O377+O367+O350+O319+O309+O281+O232+O213+O174+O153+O131+O818+O524</f>
        <v>1925505</v>
      </c>
      <c r="P862" s="13"/>
    </row>
    <row r="863" spans="1:16" ht="15" customHeight="1" x14ac:dyDescent="0.25">
      <c r="A863" s="192"/>
      <c r="B863" s="193"/>
      <c r="C863" s="71" t="s">
        <v>63</v>
      </c>
      <c r="D863" s="71">
        <f>D792+D681+D378+D233+D214+D536+D751+D644</f>
        <v>75000</v>
      </c>
      <c r="E863" s="71">
        <f>E792+E681+E378+E233+E214+E536+E751+E644</f>
        <v>16206</v>
      </c>
      <c r="F863" s="71">
        <f t="shared" ref="F863:O863" si="343">F792+F681+F378+F233+F214+F536+F751+F644</f>
        <v>0</v>
      </c>
      <c r="G863" s="71">
        <f t="shared" ref="G863" si="344">G792+G681+G378+G233+G214+G536+G751+G644</f>
        <v>0</v>
      </c>
      <c r="H863" s="71">
        <f t="shared" si="343"/>
        <v>0</v>
      </c>
      <c r="I863" s="71">
        <f t="shared" si="343"/>
        <v>0</v>
      </c>
      <c r="J863" s="71">
        <f t="shared" si="343"/>
        <v>0</v>
      </c>
      <c r="K863" s="71">
        <f t="shared" si="343"/>
        <v>0</v>
      </c>
      <c r="L863" s="71">
        <f t="shared" si="343"/>
        <v>0</v>
      </c>
      <c r="M863" s="71">
        <f t="shared" si="343"/>
        <v>0</v>
      </c>
      <c r="N863" s="71">
        <f t="shared" si="343"/>
        <v>91206</v>
      </c>
      <c r="O863" s="71">
        <f t="shared" si="343"/>
        <v>73532</v>
      </c>
      <c r="P863" s="13"/>
    </row>
    <row r="864" spans="1:16" ht="15" customHeight="1" x14ac:dyDescent="0.25">
      <c r="A864" s="192"/>
      <c r="B864" s="193"/>
      <c r="C864" s="71" t="s">
        <v>43</v>
      </c>
      <c r="D864" s="71">
        <f t="shared" ref="D864:K864" si="345">D722+D811+D777+D740+D706+D674+D658+D636+D607+D563+D525+D502+D478+D448+D431+D412+D368+D351+D310+D282+D266+D215+D192+D175+D154+D132+D114+D589+D463+D396+D331</f>
        <v>1463000</v>
      </c>
      <c r="E864" s="71">
        <f t="shared" si="345"/>
        <v>0</v>
      </c>
      <c r="F864" s="71">
        <f t="shared" si="345"/>
        <v>0</v>
      </c>
      <c r="G864" s="71">
        <f t="shared" ref="G864" si="346">G722+G811+G777+G740+G706+G674+G658+G636+G607+G563+G525+G502+G478+G448+G431+G412+G368+G351+G310+G282+G266+G215+G192+G175+G154+G132+G114+G589+G463+G396+G331</f>
        <v>0</v>
      </c>
      <c r="H864" s="71">
        <f t="shared" si="345"/>
        <v>0</v>
      </c>
      <c r="I864" s="71">
        <f t="shared" si="345"/>
        <v>0</v>
      </c>
      <c r="J864" s="71">
        <f t="shared" si="345"/>
        <v>0</v>
      </c>
      <c r="K864" s="71">
        <f t="shared" si="345"/>
        <v>0</v>
      </c>
      <c r="L864" s="71">
        <f t="shared" ref="L864:M864" si="347">L722+L811+L777+L740+L706+L674+L658+L636+L607+L563+L525+L502+L478+L448+L431+L412+L368+L351+L310+L282+L266+L215+L192+L175+L154+L132+L114+L589+L463+L396+L331</f>
        <v>0</v>
      </c>
      <c r="M864" s="71">
        <f t="shared" si="347"/>
        <v>0</v>
      </c>
      <c r="N864" s="76">
        <f t="shared" si="318"/>
        <v>1463000</v>
      </c>
      <c r="O864" s="76">
        <f>O722+O811+O777+O740+O706+O674+O658+O636+O607+O563+O525+O502+O478+O448+O431+O412+O368+O351+O310+O282+O266+O215+O192+O175+O154+O132+O114+O589+O463+O396+O331</f>
        <v>642950</v>
      </c>
      <c r="P864" s="13"/>
    </row>
    <row r="865" spans="1:17" ht="15" customHeight="1" x14ac:dyDescent="0.25">
      <c r="A865" s="192"/>
      <c r="B865" s="193"/>
      <c r="C865" s="71" t="s">
        <v>57</v>
      </c>
      <c r="D865" s="71">
        <f t="shared" ref="D865:O865" si="348">D812+D793+D778+D752+D741+D707+D682+D675+D645+D637+D608+D564+D537+D526+D503+D479+D449+D413+D379+D369+D352+D320+D311+D283+D234+D216+D193+D176+D155+D133+D574</f>
        <v>6521591</v>
      </c>
      <c r="E865" s="71">
        <f t="shared" si="348"/>
        <v>-310795</v>
      </c>
      <c r="F865" s="71">
        <f t="shared" si="348"/>
        <v>357480</v>
      </c>
      <c r="G865" s="71">
        <f t="shared" ref="G865" si="349">G812+G793+G778+G752+G741+G707+G682+G675+G645+G637+G608+G564+G537+G526+G503+G479+G449+G413+G379+G369+G352+G320+G311+G283+G234+G216+G193+G176+G155+G133+G574</f>
        <v>-357480</v>
      </c>
      <c r="H865" s="71">
        <f t="shared" si="348"/>
        <v>4972294</v>
      </c>
      <c r="I865" s="71">
        <f t="shared" si="348"/>
        <v>-3400484</v>
      </c>
      <c r="J865" s="71">
        <f t="shared" si="348"/>
        <v>10000</v>
      </c>
      <c r="K865" s="71">
        <f t="shared" si="348"/>
        <v>0</v>
      </c>
      <c r="L865" s="71">
        <f t="shared" ref="L865:M865" si="350">L812+L793+L778+L752+L741+L707+L682+L675+L645+L637+L608+L564+L537+L526+L503+L479+L449+L413+L379+L369+L352+L320+L311+L283+L234+L216+L193+L176+L155+L133+L574</f>
        <v>0</v>
      </c>
      <c r="M865" s="71">
        <f t="shared" si="350"/>
        <v>0</v>
      </c>
      <c r="N865" s="76">
        <f>D865+E865+F865+H865+I865+K865+J865+L865+M865+G865</f>
        <v>7792606</v>
      </c>
      <c r="O865" s="76">
        <f t="shared" si="348"/>
        <v>2320482</v>
      </c>
      <c r="P865" s="13"/>
    </row>
    <row r="866" spans="1:17" ht="15" customHeight="1" x14ac:dyDescent="0.25">
      <c r="A866" s="192"/>
      <c r="B866" s="193"/>
      <c r="C866" s="71" t="s">
        <v>58</v>
      </c>
      <c r="D866" s="71">
        <f>D813+D779+D742+D708+D638+D609+D565+D527+D504+D480+D450+D414+D370+D353+D284+D217+D177+D156+D134</f>
        <v>431875</v>
      </c>
      <c r="E866" s="71">
        <f t="shared" ref="E866:O866" si="351">E813+E779+E742+E708+E638+E609+E565+E527+E504+E480+E450+E414+E370+E353+E284+E217+E177+E156+E134</f>
        <v>94678</v>
      </c>
      <c r="F866" s="71">
        <f t="shared" si="351"/>
        <v>0</v>
      </c>
      <c r="G866" s="71">
        <f t="shared" ref="G866" si="352">G813+G779+G742+G708+G638+G609+G565+G527+G504+G480+G450+G414+G370+G353+G284+G217+G177+G156+G134</f>
        <v>0</v>
      </c>
      <c r="H866" s="71">
        <f t="shared" si="351"/>
        <v>15000</v>
      </c>
      <c r="I866" s="71">
        <f t="shared" si="351"/>
        <v>0</v>
      </c>
      <c r="J866" s="71">
        <f t="shared" si="351"/>
        <v>25000</v>
      </c>
      <c r="K866" s="71">
        <f t="shared" si="351"/>
        <v>0</v>
      </c>
      <c r="L866" s="71">
        <f t="shared" ref="L866:M866" si="353">L813+L779+L742+L708+L638+L609+L565+L527+L504+L480+L450+L414+L370+L353+L284+L217+L177+L156+L134</f>
        <v>0</v>
      </c>
      <c r="M866" s="71">
        <f t="shared" si="353"/>
        <v>0</v>
      </c>
      <c r="N866" s="76">
        <f t="shared" si="318"/>
        <v>566553</v>
      </c>
      <c r="O866" s="75">
        <f t="shared" si="351"/>
        <v>237190</v>
      </c>
      <c r="P866" s="13"/>
    </row>
    <row r="867" spans="1:17" ht="15" customHeight="1" x14ac:dyDescent="0.25">
      <c r="A867" s="192"/>
      <c r="B867" s="193"/>
      <c r="C867" s="71" t="s">
        <v>186</v>
      </c>
      <c r="D867" s="71">
        <f>SUM(D178)</f>
        <v>0</v>
      </c>
      <c r="E867" s="71">
        <f t="shared" ref="E867:O867" si="354">SUM(E178)</f>
        <v>180772</v>
      </c>
      <c r="F867" s="71">
        <f t="shared" si="354"/>
        <v>0</v>
      </c>
      <c r="G867" s="71">
        <f t="shared" ref="G867" si="355">SUM(G178)</f>
        <v>0</v>
      </c>
      <c r="H867" s="71">
        <f t="shared" si="354"/>
        <v>0</v>
      </c>
      <c r="I867" s="71">
        <f t="shared" si="354"/>
        <v>0</v>
      </c>
      <c r="J867" s="71">
        <f t="shared" si="354"/>
        <v>0</v>
      </c>
      <c r="K867" s="71">
        <f t="shared" si="354"/>
        <v>0</v>
      </c>
      <c r="L867" s="71">
        <f t="shared" si="354"/>
        <v>0</v>
      </c>
      <c r="M867" s="71">
        <f t="shared" si="354"/>
        <v>0</v>
      </c>
      <c r="N867" s="71">
        <f t="shared" si="354"/>
        <v>180772</v>
      </c>
      <c r="O867" s="71">
        <f t="shared" si="354"/>
        <v>90386</v>
      </c>
      <c r="P867" s="13"/>
    </row>
    <row r="868" spans="1:17" ht="15" customHeight="1" x14ac:dyDescent="0.25">
      <c r="A868" s="192"/>
      <c r="B868" s="193"/>
      <c r="C868" s="71" t="s">
        <v>44</v>
      </c>
      <c r="D868" s="75">
        <f t="shared" ref="D868:K868" si="356">D819+D697+D659+D814+D794+D780+D761+D753+D743+D723+D709+D683+D676+D646+D639+D620+D610+D590+D575+D566+D538+D528+D505+D481+D464+D451+D432+D415+D397+D380+D371+D354+D332+D321+D312+D297+D285+D267+D235+D218+D194+D179+D157+D135+D115</f>
        <v>8429575</v>
      </c>
      <c r="E868" s="75">
        <f t="shared" si="356"/>
        <v>48808</v>
      </c>
      <c r="F868" s="75">
        <f t="shared" si="356"/>
        <v>1019199</v>
      </c>
      <c r="G868" s="75">
        <f t="shared" ref="G868" si="357">G819+G697+G659+G814+G794+G780+G761+G753+G743+G723+G709+G683+G676+G646+G639+G620+G610+G590+G575+G566+G538+G528+G505+G481+G464+G451+G432+G415+G397+G380+G371+G354+G332+G321+G312+G297+G285+G267+G235+G218+G194+G179+G157+G135+G115</f>
        <v>-377199</v>
      </c>
      <c r="H868" s="75">
        <f t="shared" si="356"/>
        <v>3043020</v>
      </c>
      <c r="I868" s="75">
        <f t="shared" si="356"/>
        <v>-1567672</v>
      </c>
      <c r="J868" s="75">
        <f t="shared" si="356"/>
        <v>339097</v>
      </c>
      <c r="K868" s="75">
        <f t="shared" si="356"/>
        <v>0</v>
      </c>
      <c r="L868" s="75">
        <f t="shared" ref="L868:M868" si="358">L819+L697+L659+L814+L794+L780+L761+L753+L743+L723+L709+L683+L676+L646+L639+L620+L610+L590+L575+L566+L538+L528+L505+L481+L464+L451+L432+L415+L397+L380+L371+L354+L332+L321+L312+L297+L285+L267+L235+L218+L194+L179+L157+L135+L115</f>
        <v>0</v>
      </c>
      <c r="M868" s="75">
        <f t="shared" si="358"/>
        <v>0</v>
      </c>
      <c r="N868" s="75">
        <f>D868+E868+F868+H868+I868+K868+J868+L868+M868+G868</f>
        <v>10934828</v>
      </c>
      <c r="O868" s="75">
        <f>O819+O697+O659+O814+O794+O780+O761+O753+O743+O723+O709+O683+O676+O646+O639+O620+O610+O590+O575+O566+O538+O528+O505+O481+O464+O451+O432+O415+O397+O380+O371+O354+O332+O321+O312+O297+O285+O267+O235+O218+O194+O179+O157+O135+O115</f>
        <v>4240376</v>
      </c>
      <c r="P868" s="13"/>
    </row>
    <row r="869" spans="1:17" ht="15" customHeight="1" x14ac:dyDescent="0.25">
      <c r="A869" s="192"/>
      <c r="B869" s="193"/>
      <c r="C869" s="71" t="s">
        <v>145</v>
      </c>
      <c r="D869" s="71">
        <f t="shared" ref="D869:O869" si="359">D195</f>
        <v>0</v>
      </c>
      <c r="E869" s="71">
        <f t="shared" si="359"/>
        <v>0</v>
      </c>
      <c r="F869" s="71">
        <f t="shared" si="359"/>
        <v>0</v>
      </c>
      <c r="G869" s="71">
        <f t="shared" ref="G869" si="360">G195</f>
        <v>0</v>
      </c>
      <c r="H869" s="71">
        <f t="shared" si="359"/>
        <v>0</v>
      </c>
      <c r="I869" s="71">
        <f t="shared" si="359"/>
        <v>0</v>
      </c>
      <c r="J869" s="71">
        <f t="shared" si="359"/>
        <v>0</v>
      </c>
      <c r="K869" s="71">
        <f t="shared" si="359"/>
        <v>0</v>
      </c>
      <c r="L869" s="71">
        <f t="shared" ref="L869:M869" si="361">L195</f>
        <v>0</v>
      </c>
      <c r="M869" s="71">
        <f t="shared" si="361"/>
        <v>0</v>
      </c>
      <c r="N869" s="76">
        <f t="shared" si="318"/>
        <v>0</v>
      </c>
      <c r="O869" s="76">
        <f t="shared" si="359"/>
        <v>0</v>
      </c>
      <c r="P869" s="13"/>
    </row>
    <row r="870" spans="1:17" ht="15" customHeight="1" x14ac:dyDescent="0.25">
      <c r="A870" s="192"/>
      <c r="B870" s="193"/>
      <c r="C870" s="71" t="s">
        <v>59</v>
      </c>
      <c r="D870" s="71">
        <f>D815+D781+D744+D710+D677+D640+D611+D567+D529+D506+D482+D452+D416+D355+D313+D286+D236+D219+D180+D158+D136</f>
        <v>867113</v>
      </c>
      <c r="E870" s="71">
        <f t="shared" ref="E870:O870" si="362">E815+E781+E744+E710+E677+E640+E611+E567+E529+E506+E482+E452+E416+E355+E313+E286+E236+E219+E180+E158+E136</f>
        <v>0</v>
      </c>
      <c r="F870" s="71">
        <f t="shared" si="362"/>
        <v>0</v>
      </c>
      <c r="G870" s="71">
        <f t="shared" ref="G870" si="363">G815+G781+G744+G710+G677+G640+G611+G567+G529+G506+G482+G452+G416+G355+G313+G286+G236+G219+G180+G158+G136</f>
        <v>0</v>
      </c>
      <c r="H870" s="71">
        <f t="shared" si="362"/>
        <v>0</v>
      </c>
      <c r="I870" s="71">
        <f t="shared" si="362"/>
        <v>0</v>
      </c>
      <c r="J870" s="71">
        <f t="shared" si="362"/>
        <v>0</v>
      </c>
      <c r="K870" s="71">
        <f t="shared" si="362"/>
        <v>0</v>
      </c>
      <c r="L870" s="71">
        <f t="shared" ref="L870:M870" si="364">L815+L781+L744+L710+L677+L640+L611+L567+L529+L506+L482+L452+L416+L355+L313+L286+L236+L219+L180+L158+L136</f>
        <v>0</v>
      </c>
      <c r="M870" s="71">
        <f t="shared" si="364"/>
        <v>0</v>
      </c>
      <c r="N870" s="76">
        <f t="shared" si="318"/>
        <v>867113</v>
      </c>
      <c r="O870" s="72">
        <f t="shared" si="362"/>
        <v>6094</v>
      </c>
      <c r="P870" s="13"/>
    </row>
    <row r="871" spans="1:17" ht="15" customHeight="1" x14ac:dyDescent="0.25">
      <c r="A871" s="192"/>
      <c r="B871" s="193"/>
      <c r="C871" s="73" t="s">
        <v>45</v>
      </c>
      <c r="D871" s="73">
        <f>D818+D817+D819+D698+D816+D795+D782+D762+D754+D745+D724+D711+D684+D678+D660+D647+D641+D621+D612+D591+D568+D539+D530+D576+D507+D483+D465+D453+D433+D417+D398+D381+D372+D356+D333+D322+D314+D298+D287+D268+D237+D220+D196+D181+D159+D137+D116</f>
        <v>46179895</v>
      </c>
      <c r="E871" s="73">
        <f t="shared" ref="E871:O871" si="365">E818+E817+E819+E698+E816+E795+E782+E762+E754+E745+E724+E711+E684+E678+E660+E647+E641+E621+E612+E591+E568+E539+E530+E576+E507+E483+E465+E453+E433+E417+E398+E381+E372+E356+E333+E322+E314+E298+E287+E268+E237+E220+E196+E181+E159+E137+E116</f>
        <v>0</v>
      </c>
      <c r="F871" s="73">
        <f t="shared" si="365"/>
        <v>4794000</v>
      </c>
      <c r="G871" s="73">
        <f t="shared" ref="G871" si="366">G818+G817+G819+G698+G816+G795+G782+G762+G754+G745+G724+G711+G684+G678+G660+G647+G641+G621+G612+G591+G568+G539+G530+G576+G507+G483+G465+G453+G433+G417+G398+G381+G372+G356+G333+G322+G314+G298+G287+G268+G237+G220+G196+G181+G159+G137+G116</f>
        <v>-1774232</v>
      </c>
      <c r="H871" s="73">
        <f t="shared" si="365"/>
        <v>14192000</v>
      </c>
      <c r="I871" s="73">
        <f t="shared" si="365"/>
        <v>-7372015</v>
      </c>
      <c r="J871" s="73">
        <f t="shared" si="365"/>
        <v>1595000</v>
      </c>
      <c r="K871" s="73">
        <f t="shared" si="365"/>
        <v>0</v>
      </c>
      <c r="L871" s="73">
        <f t="shared" si="365"/>
        <v>0</v>
      </c>
      <c r="M871" s="73">
        <f t="shared" si="365"/>
        <v>0</v>
      </c>
      <c r="N871" s="73">
        <f>N818+N817+N819+N698+N816+N795+N782+N762+N754+N745+N724+N711+N684+N678+N660+N647+N641+N621+N612+N591+N568+N539+N530+N576+N507+N483+N465+N453+N433+N417+N398+N381+N372+N356+N333+N322+N314+N298+N287+N268+N237+N220+N196+N181+N159+N137+N116</f>
        <v>57614648</v>
      </c>
      <c r="O871" s="73">
        <f t="shared" si="365"/>
        <v>24483141</v>
      </c>
      <c r="P871" s="13"/>
    </row>
    <row r="872" spans="1:17" ht="15" customHeight="1" x14ac:dyDescent="0.25">
      <c r="A872" s="192"/>
      <c r="B872" s="193"/>
      <c r="C872" s="71" t="s">
        <v>66</v>
      </c>
      <c r="D872" s="71">
        <f>D799+D715+D616+D545+D511+D489+D457+D389+D291+D259</f>
        <v>0</v>
      </c>
      <c r="E872" s="71">
        <f>E799+E715+E616+E545+E511+E489+E457+E389+E291+E259</f>
        <v>0</v>
      </c>
      <c r="F872" s="71">
        <f t="shared" ref="F872:O872" si="367">F799+F715+F616+F545+F511+F489+F457+F389+F291+F259</f>
        <v>0</v>
      </c>
      <c r="G872" s="71">
        <f t="shared" ref="G872" si="368">G799+G715+G616+G545+G511+G489+G457+G389+G291+G259</f>
        <v>0</v>
      </c>
      <c r="H872" s="71">
        <f t="shared" si="367"/>
        <v>0</v>
      </c>
      <c r="I872" s="71">
        <f t="shared" si="367"/>
        <v>0</v>
      </c>
      <c r="J872" s="71">
        <f t="shared" si="367"/>
        <v>0</v>
      </c>
      <c r="K872" s="71">
        <f t="shared" si="367"/>
        <v>0</v>
      </c>
      <c r="L872" s="71">
        <f t="shared" ref="L872:M872" si="369">L799+L715+L616+L545+L511+L489+L457+L389+L291+L259</f>
        <v>0</v>
      </c>
      <c r="M872" s="71">
        <f t="shared" si="369"/>
        <v>0</v>
      </c>
      <c r="N872" s="71">
        <f t="shared" si="318"/>
        <v>0</v>
      </c>
      <c r="O872" s="72">
        <f t="shared" si="367"/>
        <v>0</v>
      </c>
      <c r="P872" s="13"/>
    </row>
    <row r="873" spans="1:17" ht="15" customHeight="1" x14ac:dyDescent="0.25">
      <c r="A873" s="192"/>
      <c r="B873" s="193"/>
      <c r="C873" s="71" t="s">
        <v>143</v>
      </c>
      <c r="D873" s="71">
        <f t="shared" ref="D873:O873" si="370">SUM(D221)</f>
        <v>0</v>
      </c>
      <c r="E873" s="71">
        <f t="shared" si="370"/>
        <v>0</v>
      </c>
      <c r="F873" s="71">
        <f t="shared" si="370"/>
        <v>0</v>
      </c>
      <c r="G873" s="71">
        <f t="shared" ref="G873" si="371">SUM(G221)</f>
        <v>0</v>
      </c>
      <c r="H873" s="71">
        <f t="shared" si="370"/>
        <v>0</v>
      </c>
      <c r="I873" s="71">
        <f t="shared" si="370"/>
        <v>0</v>
      </c>
      <c r="J873" s="71">
        <f t="shared" ref="J873" si="372">SUM(J221)</f>
        <v>0</v>
      </c>
      <c r="K873" s="71">
        <f t="shared" si="370"/>
        <v>0</v>
      </c>
      <c r="L873" s="71">
        <f t="shared" ref="L873:M873" si="373">SUM(L221)</f>
        <v>0</v>
      </c>
      <c r="M873" s="71">
        <f t="shared" si="373"/>
        <v>0</v>
      </c>
      <c r="N873" s="71">
        <f t="shared" si="318"/>
        <v>0</v>
      </c>
      <c r="O873" s="71">
        <f t="shared" si="370"/>
        <v>0</v>
      </c>
      <c r="P873" s="13"/>
    </row>
    <row r="874" spans="1:17" ht="15" customHeight="1" x14ac:dyDescent="0.25">
      <c r="A874" s="192"/>
      <c r="B874" s="193"/>
      <c r="C874" s="71" t="s">
        <v>111</v>
      </c>
      <c r="D874" s="71">
        <f t="shared" ref="D874:O874" si="374">D746+D569+D531+D418+D373+D315+D222</f>
        <v>100000</v>
      </c>
      <c r="E874" s="71">
        <f t="shared" si="374"/>
        <v>0</v>
      </c>
      <c r="F874" s="71">
        <f t="shared" si="374"/>
        <v>0</v>
      </c>
      <c r="G874" s="71">
        <f t="shared" ref="G874" si="375">G746+G569+G531+G418+G373+G315+G222</f>
        <v>0</v>
      </c>
      <c r="H874" s="71">
        <f t="shared" si="374"/>
        <v>0</v>
      </c>
      <c r="I874" s="71">
        <f t="shared" si="374"/>
        <v>0</v>
      </c>
      <c r="J874" s="71">
        <f t="shared" si="374"/>
        <v>0</v>
      </c>
      <c r="K874" s="71">
        <f t="shared" si="374"/>
        <v>0</v>
      </c>
      <c r="L874" s="71">
        <f t="shared" ref="L874:M874" si="376">L746+L569+L531+L418+L373+L315+L222</f>
        <v>0</v>
      </c>
      <c r="M874" s="71">
        <f t="shared" si="376"/>
        <v>0</v>
      </c>
      <c r="N874" s="71">
        <f t="shared" si="318"/>
        <v>100000</v>
      </c>
      <c r="O874" s="71">
        <f t="shared" si="374"/>
        <v>0</v>
      </c>
      <c r="P874" s="13"/>
    </row>
    <row r="875" spans="1:17" ht="15" customHeight="1" x14ac:dyDescent="0.25">
      <c r="A875" s="192"/>
      <c r="B875" s="193"/>
      <c r="C875" s="71" t="s">
        <v>112</v>
      </c>
      <c r="D875" s="71">
        <f t="shared" ref="D875:O875" si="377">D747+D570+D532+D419+D374+D316+D223</f>
        <v>27000</v>
      </c>
      <c r="E875" s="71">
        <f t="shared" si="377"/>
        <v>0</v>
      </c>
      <c r="F875" s="71">
        <f t="shared" si="377"/>
        <v>0</v>
      </c>
      <c r="G875" s="71">
        <f t="shared" ref="G875" si="378">G747+G570+G532+G419+G374+G316+G223</f>
        <v>0</v>
      </c>
      <c r="H875" s="71">
        <f t="shared" si="377"/>
        <v>0</v>
      </c>
      <c r="I875" s="71">
        <f t="shared" si="377"/>
        <v>0</v>
      </c>
      <c r="J875" s="71">
        <f t="shared" si="377"/>
        <v>0</v>
      </c>
      <c r="K875" s="71">
        <f t="shared" si="377"/>
        <v>0</v>
      </c>
      <c r="L875" s="71">
        <f t="shared" ref="L875:M875" si="379">L747+L570+L532+L419+L374+L316+L223</f>
        <v>0</v>
      </c>
      <c r="M875" s="71">
        <f t="shared" si="379"/>
        <v>0</v>
      </c>
      <c r="N875" s="71">
        <f t="shared" si="318"/>
        <v>27000</v>
      </c>
      <c r="O875" s="71">
        <f t="shared" si="377"/>
        <v>0</v>
      </c>
      <c r="P875" s="13"/>
    </row>
    <row r="876" spans="1:17" ht="15" customHeight="1" x14ac:dyDescent="0.25">
      <c r="A876" s="192"/>
      <c r="B876" s="193"/>
      <c r="C876" s="73" t="s">
        <v>113</v>
      </c>
      <c r="D876" s="73">
        <f t="shared" ref="D876" si="380">D747+D746+D570+D569+D532+D531+D419+D418+D374+D373+D316+D315+D223+D222+D221</f>
        <v>127000</v>
      </c>
      <c r="E876" s="73">
        <f>E747+E746+E570+E569+E532+E531+E419+E418+E374+E373+E316+E315+E223+E222+E221</f>
        <v>0</v>
      </c>
      <c r="F876" s="73">
        <f t="shared" ref="F876:O876" si="381">F747+F746+F570+F569+F532+F531+F419+F418+F374+F373+F316+F315+F223+F222+F221</f>
        <v>0</v>
      </c>
      <c r="G876" s="73">
        <f t="shared" ref="G876" si="382">G747+G746+G570+G569+G532+G531+G419+G418+G374+G373+G316+G315+G223+G222+G221</f>
        <v>0</v>
      </c>
      <c r="H876" s="73">
        <f t="shared" si="381"/>
        <v>0</v>
      </c>
      <c r="I876" s="73">
        <f t="shared" si="381"/>
        <v>0</v>
      </c>
      <c r="J876" s="73">
        <f t="shared" si="381"/>
        <v>0</v>
      </c>
      <c r="K876" s="73">
        <f t="shared" si="381"/>
        <v>0</v>
      </c>
      <c r="L876" s="73">
        <f t="shared" ref="L876:M876" si="383">L747+L746+L570+L569+L532+L531+L419+L418+L374+L373+L316+L315+L223+L222+L221</f>
        <v>0</v>
      </c>
      <c r="M876" s="73">
        <f t="shared" si="383"/>
        <v>0</v>
      </c>
      <c r="N876" s="73">
        <f t="shared" si="318"/>
        <v>127000</v>
      </c>
      <c r="O876" s="74">
        <f t="shared" si="381"/>
        <v>0</v>
      </c>
      <c r="P876" s="13"/>
    </row>
    <row r="877" spans="1:17" ht="15" customHeight="1" x14ac:dyDescent="0.25">
      <c r="A877" s="192"/>
      <c r="B877" s="193"/>
      <c r="C877" s="77" t="s">
        <v>140</v>
      </c>
      <c r="D877" s="77">
        <f t="shared" ref="D877:K877" si="384">D822+D798+D757+D714+D687+D650+D615+D581+D544+D510+D488+D456+D423+D388+D325+D290+D258</f>
        <v>294381858</v>
      </c>
      <c r="E877" s="77">
        <f t="shared" si="384"/>
        <v>0</v>
      </c>
      <c r="F877" s="77">
        <f t="shared" si="384"/>
        <v>4794000</v>
      </c>
      <c r="G877" s="77">
        <f t="shared" ref="G877" si="385">G822+G798+G757+G714+G687+G650+G615+G581+G544+G510+G488+G456+G423+G388+G325+G290+G258</f>
        <v>-1774232</v>
      </c>
      <c r="H877" s="77">
        <f t="shared" si="384"/>
        <v>14192000</v>
      </c>
      <c r="I877" s="77">
        <f t="shared" si="384"/>
        <v>-7372015</v>
      </c>
      <c r="J877" s="77">
        <f t="shared" si="384"/>
        <v>1595000</v>
      </c>
      <c r="K877" s="77">
        <f t="shared" si="384"/>
        <v>0</v>
      </c>
      <c r="L877" s="77">
        <f t="shared" ref="L877:M877" si="386">L822+L798+L757+L714+L687+L650+L615+L581+L544+L510+L488+L456+L423+L388+L325+L290+L258</f>
        <v>0</v>
      </c>
      <c r="M877" s="77">
        <f t="shared" si="386"/>
        <v>0</v>
      </c>
      <c r="N877" s="77">
        <f>D877+E877+F877+H877+I877+K877+J877+L877+M877+G877</f>
        <v>305816611</v>
      </c>
      <c r="O877" s="78">
        <f>O822+O798+O757+O714+O687+O650+O615+O581+O544+O510+O488+O456+O423+O388+O325+O290+O258</f>
        <v>176243437</v>
      </c>
      <c r="P877" s="13"/>
    </row>
    <row r="878" spans="1:17" x14ac:dyDescent="0.25">
      <c r="B878" s="1"/>
      <c r="C878" s="13"/>
      <c r="P878" s="13"/>
    </row>
    <row r="879" spans="1:17" x14ac:dyDescent="0.25">
      <c r="B879" s="1"/>
      <c r="C879" s="13"/>
      <c r="P879" s="13"/>
    </row>
    <row r="880" spans="1:17" x14ac:dyDescent="0.25">
      <c r="A880" s="139" t="s">
        <v>151</v>
      </c>
      <c r="B880" s="139"/>
      <c r="C880" s="139"/>
      <c r="D880" s="139"/>
      <c r="E880" s="139"/>
      <c r="F880" s="139"/>
      <c r="G880" s="139"/>
      <c r="H880"/>
      <c r="I880"/>
      <c r="J880"/>
      <c r="K880"/>
      <c r="L880"/>
      <c r="M880"/>
      <c r="N880" s="52"/>
      <c r="O880"/>
      <c r="P880"/>
      <c r="Q880"/>
    </row>
    <row r="881" spans="1:17" x14ac:dyDescent="0.25">
      <c r="A881" s="140"/>
      <c r="B881" s="140"/>
      <c r="C881" s="140"/>
      <c r="D881" s="141"/>
      <c r="E881" s="141"/>
      <c r="F881" s="142"/>
      <c r="G881" s="142"/>
      <c r="H881"/>
      <c r="I881"/>
      <c r="J881"/>
      <c r="K881"/>
      <c r="L881"/>
      <c r="M881"/>
      <c r="N881" s="52"/>
      <c r="O881"/>
      <c r="P881"/>
      <c r="Q881"/>
    </row>
    <row r="882" spans="1:17" x14ac:dyDescent="0.25">
      <c r="A882" s="139" t="s">
        <v>152</v>
      </c>
      <c r="B882" s="139"/>
      <c r="C882" s="139"/>
      <c r="D882" s="139"/>
      <c r="E882" s="143"/>
      <c r="F882" s="142">
        <v>0</v>
      </c>
      <c r="G882" s="142"/>
      <c r="H882"/>
      <c r="I882"/>
      <c r="J882"/>
      <c r="K882"/>
      <c r="L882"/>
      <c r="M882"/>
      <c r="N882" s="52"/>
      <c r="O882"/>
      <c r="P882"/>
      <c r="Q882"/>
    </row>
    <row r="883" spans="1:17" x14ac:dyDescent="0.25">
      <c r="A883" s="139" t="s">
        <v>172</v>
      </c>
      <c r="B883" s="139"/>
      <c r="C883" s="139"/>
      <c r="D883" s="139"/>
      <c r="E883" s="143"/>
      <c r="F883" s="142">
        <f>H9+F9</f>
        <v>18986000</v>
      </c>
      <c r="G883" s="142"/>
      <c r="H883"/>
      <c r="I883"/>
      <c r="J883"/>
      <c r="K883"/>
      <c r="L883"/>
      <c r="M883"/>
      <c r="N883" s="52"/>
      <c r="O883"/>
      <c r="P883"/>
      <c r="Q883"/>
    </row>
    <row r="884" spans="1:17" x14ac:dyDescent="0.25">
      <c r="A884" s="139" t="s">
        <v>153</v>
      </c>
      <c r="B884" s="139"/>
      <c r="C884" s="139"/>
      <c r="D884" s="139"/>
      <c r="E884" s="143"/>
      <c r="F884" s="142">
        <f>SUM(H27,H52,H79,H58,H35,F35,F70,F95,H95,H103,I6,G6,G35,I35,I58,G70,G95,I95,I103)</f>
        <v>-9146247</v>
      </c>
      <c r="G884" s="142"/>
      <c r="H884"/>
      <c r="I884"/>
      <c r="J884"/>
      <c r="K884"/>
      <c r="L884"/>
      <c r="M884"/>
      <c r="N884" s="52"/>
      <c r="O884"/>
      <c r="P884"/>
      <c r="Q884"/>
    </row>
    <row r="885" spans="1:17" x14ac:dyDescent="0.25">
      <c r="A885" s="242" t="s">
        <v>154</v>
      </c>
      <c r="B885" s="242"/>
      <c r="C885" s="242"/>
      <c r="D885" s="242"/>
      <c r="E885" s="143"/>
      <c r="F885" s="142">
        <v>0</v>
      </c>
      <c r="G885" s="142"/>
      <c r="H885"/>
      <c r="I885"/>
      <c r="J885"/>
      <c r="K885"/>
      <c r="L885"/>
      <c r="M885"/>
      <c r="N885" s="52"/>
      <c r="O885"/>
      <c r="P885"/>
      <c r="Q885"/>
    </row>
    <row r="886" spans="1:17" x14ac:dyDescent="0.25">
      <c r="A886" s="242" t="s">
        <v>155</v>
      </c>
      <c r="B886" s="242"/>
      <c r="C886" s="242"/>
      <c r="D886" s="242"/>
      <c r="E886" s="143"/>
      <c r="F886" s="142">
        <v>0</v>
      </c>
      <c r="G886" s="142"/>
      <c r="H886"/>
      <c r="I886"/>
      <c r="J886"/>
      <c r="K886"/>
      <c r="L886"/>
      <c r="M886"/>
      <c r="N886" s="52"/>
      <c r="O886"/>
      <c r="P886"/>
      <c r="Q886"/>
    </row>
    <row r="887" spans="1:17" x14ac:dyDescent="0.25">
      <c r="A887" s="139" t="s">
        <v>156</v>
      </c>
      <c r="B887" s="139"/>
      <c r="C887" s="139"/>
      <c r="D887" s="139"/>
      <c r="E887" s="143"/>
      <c r="F887" s="142">
        <v>0</v>
      </c>
      <c r="G887" s="142"/>
      <c r="H887"/>
      <c r="I887"/>
      <c r="J887"/>
      <c r="K887"/>
      <c r="L887"/>
      <c r="M887"/>
      <c r="N887" s="52"/>
      <c r="O887"/>
      <c r="P887"/>
      <c r="Q887"/>
    </row>
    <row r="888" spans="1:17" x14ac:dyDescent="0.25">
      <c r="A888" s="143" t="s">
        <v>157</v>
      </c>
      <c r="B888" s="143"/>
      <c r="C888" s="143"/>
      <c r="D888" s="143"/>
      <c r="E888" s="143"/>
      <c r="F888" s="142">
        <v>0</v>
      </c>
      <c r="G888" s="142"/>
      <c r="H888"/>
      <c r="I888"/>
      <c r="J888"/>
      <c r="K888"/>
      <c r="L888"/>
      <c r="M888"/>
      <c r="N888" s="52"/>
      <c r="O888"/>
      <c r="P888"/>
      <c r="Q888"/>
    </row>
    <row r="889" spans="1:17" x14ac:dyDescent="0.25">
      <c r="A889" s="242" t="s">
        <v>158</v>
      </c>
      <c r="B889" s="242"/>
      <c r="C889" s="242"/>
      <c r="D889" s="242"/>
      <c r="E889" s="143"/>
      <c r="F889" s="142">
        <f>SUM(J29,J33,J34,J38,J45,J54,J57,J61,J68,J69,J72,J75,J81,J91,J98)</f>
        <v>1595000</v>
      </c>
      <c r="G889" s="142"/>
      <c r="H889"/>
      <c r="I889"/>
      <c r="J889"/>
      <c r="K889"/>
      <c r="L889"/>
      <c r="M889"/>
      <c r="N889" s="52"/>
      <c r="O889"/>
      <c r="P889"/>
      <c r="Q889"/>
    </row>
    <row r="890" spans="1:17" x14ac:dyDescent="0.25">
      <c r="A890" s="144" t="s">
        <v>159</v>
      </c>
      <c r="B890" s="144"/>
      <c r="C890" s="144"/>
      <c r="D890" s="144"/>
      <c r="E890" s="144"/>
      <c r="F890" s="145">
        <v>0</v>
      </c>
      <c r="G890" s="176"/>
      <c r="H890"/>
      <c r="I890"/>
      <c r="J890"/>
      <c r="K890"/>
      <c r="L890"/>
      <c r="M890"/>
      <c r="N890" s="52"/>
      <c r="O890"/>
      <c r="P890"/>
      <c r="Q890"/>
    </row>
    <row r="891" spans="1:17" x14ac:dyDescent="0.25">
      <c r="A891" s="242" t="s">
        <v>160</v>
      </c>
      <c r="B891" s="242"/>
      <c r="C891" s="242"/>
      <c r="D891" s="242"/>
      <c r="E891" s="143"/>
      <c r="F891" s="142">
        <f>SUM(F882:F890)</f>
        <v>11434753</v>
      </c>
      <c r="G891" s="142"/>
      <c r="H891"/>
      <c r="I891"/>
      <c r="J891"/>
      <c r="K891"/>
      <c r="L891"/>
      <c r="M891"/>
      <c r="N891" s="52"/>
      <c r="O891"/>
      <c r="P891"/>
      <c r="Q891"/>
    </row>
    <row r="892" spans="1:17" x14ac:dyDescent="0.25">
      <c r="A892" s="243"/>
      <c r="B892" s="243"/>
      <c r="C892" s="243"/>
      <c r="D892" s="243"/>
      <c r="E892" s="243"/>
      <c r="F892" s="243"/>
      <c r="G892" s="173"/>
      <c r="H892"/>
      <c r="I892"/>
      <c r="J892"/>
      <c r="K892"/>
      <c r="L892"/>
      <c r="M892"/>
      <c r="N892" s="52"/>
      <c r="O892"/>
      <c r="P892"/>
      <c r="Q892"/>
    </row>
    <row r="893" spans="1:17" x14ac:dyDescent="0.25">
      <c r="A893" s="243"/>
      <c r="B893" s="243"/>
      <c r="C893" s="243"/>
      <c r="D893" s="243"/>
      <c r="E893" s="243"/>
      <c r="F893" s="243"/>
      <c r="G893" s="173"/>
      <c r="H893"/>
      <c r="I893"/>
      <c r="J893"/>
      <c r="K893"/>
      <c r="L893"/>
      <c r="M893"/>
      <c r="N893" s="52"/>
      <c r="O893"/>
      <c r="P893"/>
      <c r="Q893"/>
    </row>
    <row r="894" spans="1:17" x14ac:dyDescent="0.25">
      <c r="A894" s="243"/>
      <c r="B894" s="243"/>
      <c r="C894" s="243"/>
      <c r="D894" s="243"/>
      <c r="E894" s="243"/>
      <c r="F894" s="243"/>
      <c r="G894" s="173"/>
      <c r="H894"/>
      <c r="I894"/>
      <c r="J894"/>
      <c r="K894"/>
      <c r="L894"/>
      <c r="M894"/>
      <c r="N894" s="52"/>
      <c r="O894"/>
      <c r="P894"/>
      <c r="Q894"/>
    </row>
    <row r="895" spans="1:17" x14ac:dyDescent="0.25">
      <c r="A895" s="242" t="s">
        <v>161</v>
      </c>
      <c r="B895" s="242"/>
      <c r="C895" s="242"/>
      <c r="D895" s="242"/>
      <c r="E895" s="242"/>
      <c r="F895" s="242"/>
      <c r="G895" s="172"/>
      <c r="H895"/>
      <c r="I895"/>
      <c r="J895"/>
      <c r="K895"/>
      <c r="L895"/>
      <c r="M895"/>
      <c r="N895" s="52"/>
      <c r="O895"/>
      <c r="P895"/>
      <c r="Q895"/>
    </row>
    <row r="896" spans="1:17" x14ac:dyDescent="0.25">
      <c r="A896" s="243"/>
      <c r="B896" s="243"/>
      <c r="C896" s="243"/>
      <c r="D896" s="243"/>
      <c r="E896" s="243"/>
      <c r="F896" s="243"/>
      <c r="G896" s="173"/>
      <c r="H896"/>
      <c r="I896"/>
      <c r="J896"/>
      <c r="K896"/>
      <c r="L896"/>
      <c r="M896"/>
      <c r="N896" s="52"/>
      <c r="O896"/>
      <c r="P896"/>
      <c r="Q896"/>
    </row>
    <row r="897" spans="1:17" x14ac:dyDescent="0.25">
      <c r="A897" s="242" t="s">
        <v>162</v>
      </c>
      <c r="B897" s="242"/>
      <c r="C897" s="242"/>
      <c r="D897" s="242"/>
      <c r="E897" s="143"/>
      <c r="F897" s="142">
        <v>0</v>
      </c>
      <c r="G897" s="142"/>
      <c r="H897"/>
      <c r="I897"/>
      <c r="J897"/>
      <c r="K897"/>
      <c r="L897"/>
      <c r="M897"/>
      <c r="N897" s="52"/>
      <c r="O897"/>
      <c r="P897"/>
      <c r="Q897"/>
    </row>
    <row r="898" spans="1:17" x14ac:dyDescent="0.25">
      <c r="A898" s="143" t="s">
        <v>163</v>
      </c>
      <c r="B898" s="143"/>
      <c r="C898" s="143"/>
      <c r="D898" s="143"/>
      <c r="E898" s="143"/>
      <c r="F898" s="142">
        <v>0</v>
      </c>
      <c r="G898" s="142"/>
      <c r="H898"/>
      <c r="I898"/>
      <c r="J898"/>
      <c r="K898"/>
      <c r="L898"/>
      <c r="M898"/>
      <c r="N898" s="52"/>
      <c r="O898"/>
      <c r="P898"/>
      <c r="Q898"/>
    </row>
    <row r="899" spans="1:17" x14ac:dyDescent="0.25">
      <c r="A899" s="242" t="s">
        <v>164</v>
      </c>
      <c r="B899" s="242"/>
      <c r="C899" s="242"/>
      <c r="D899" s="242"/>
      <c r="E899" s="143"/>
      <c r="F899" s="142">
        <f>SUM(F238,F240,F242,F244,F246,F288,F323,F382,F384,F421,F454,F484,F508,F540,F577,F613,F648,F685,F755,F796,F820)</f>
        <v>0</v>
      </c>
      <c r="G899" s="142"/>
      <c r="H899"/>
      <c r="I899"/>
      <c r="J899"/>
      <c r="K899"/>
      <c r="L899"/>
      <c r="M899"/>
      <c r="N899" s="52"/>
      <c r="O899"/>
      <c r="P899"/>
      <c r="Q899"/>
    </row>
    <row r="900" spans="1:17" x14ac:dyDescent="0.25">
      <c r="A900" s="242" t="s">
        <v>165</v>
      </c>
      <c r="B900" s="242"/>
      <c r="C900" s="242"/>
      <c r="D900" s="242"/>
      <c r="E900" s="143"/>
      <c r="F900" s="142">
        <f>SUM(F239,F241,F243,F245,F247,F289,F324,F383,F385,F422,F455,F485,F509,F541,F578,F614,F649,F686,F756,F797,F821)</f>
        <v>0</v>
      </c>
      <c r="G900" s="142"/>
      <c r="H900"/>
      <c r="I900"/>
      <c r="J900"/>
      <c r="K900"/>
      <c r="L900"/>
      <c r="M900"/>
      <c r="N900" s="52"/>
      <c r="O900"/>
      <c r="P900"/>
      <c r="Q900"/>
    </row>
    <row r="901" spans="1:17" x14ac:dyDescent="0.25">
      <c r="A901" s="242" t="s">
        <v>166</v>
      </c>
      <c r="B901" s="242"/>
      <c r="C901" s="242"/>
      <c r="D901" s="242"/>
      <c r="E901" s="143"/>
      <c r="F901" s="165">
        <f>SUM(H181,H417,H678,H483,H287,H137,H159,F196,H196,H220,F287,F314,H314,H356,H372,H453,H507,H530,F568,G196,I356,G372,F372,I530,G612,F782,G782,H782,I782,I816,H568,F612,H612,F641,H641,F678,F745,H745,H816,I220,I196,I181,I159,I137,J287,J314,J322,J372,J417,J483,J507,J539,J568,J576,J612,J641,J647,J678,J684,J745,J782,J795)</f>
        <v>11434753</v>
      </c>
      <c r="G901" s="165"/>
      <c r="H901"/>
      <c r="I901"/>
      <c r="J901"/>
      <c r="K901"/>
      <c r="L901"/>
      <c r="M901"/>
      <c r="N901" s="52"/>
      <c r="O901"/>
      <c r="P901"/>
      <c r="Q901"/>
    </row>
    <row r="902" spans="1:17" x14ac:dyDescent="0.25">
      <c r="A902" s="143" t="s">
        <v>167</v>
      </c>
      <c r="B902" s="143"/>
      <c r="C902" s="143"/>
      <c r="D902" s="143"/>
      <c r="E902" s="143"/>
      <c r="F902" s="142">
        <v>0</v>
      </c>
      <c r="G902" s="142"/>
      <c r="H902"/>
      <c r="I902"/>
      <c r="J902"/>
      <c r="K902"/>
      <c r="L902"/>
      <c r="M902"/>
      <c r="N902" s="52"/>
      <c r="O902"/>
      <c r="P902"/>
      <c r="Q902"/>
    </row>
    <row r="903" spans="1:17" x14ac:dyDescent="0.25">
      <c r="A903" s="143" t="s">
        <v>168</v>
      </c>
      <c r="B903" s="143"/>
      <c r="C903" s="143"/>
      <c r="D903" s="143"/>
      <c r="E903" s="143"/>
      <c r="F903" s="142">
        <v>0</v>
      </c>
      <c r="G903" s="142"/>
      <c r="H903"/>
      <c r="I903"/>
      <c r="J903"/>
      <c r="K903"/>
      <c r="L903"/>
      <c r="M903"/>
      <c r="N903" s="52"/>
      <c r="O903"/>
      <c r="P903"/>
      <c r="Q903"/>
    </row>
    <row r="904" spans="1:17" x14ac:dyDescent="0.25">
      <c r="A904" s="146" t="s">
        <v>169</v>
      </c>
      <c r="B904" s="146"/>
      <c r="C904" s="146"/>
      <c r="D904" s="147"/>
      <c r="E904" s="147"/>
      <c r="F904" s="148">
        <v>0</v>
      </c>
      <c r="G904" s="177"/>
      <c r="H904"/>
      <c r="I904"/>
      <c r="J904"/>
      <c r="K904"/>
      <c r="L904"/>
      <c r="M904"/>
      <c r="N904" s="52"/>
      <c r="O904"/>
      <c r="P904"/>
      <c r="Q904"/>
    </row>
    <row r="905" spans="1:17" x14ac:dyDescent="0.25">
      <c r="A905" s="244" t="s">
        <v>160</v>
      </c>
      <c r="B905" s="244"/>
      <c r="C905" s="244"/>
      <c r="D905" s="244"/>
      <c r="E905" s="143"/>
      <c r="F905" s="142">
        <f>SUM(F897:F904)</f>
        <v>11434753</v>
      </c>
      <c r="G905" s="142"/>
      <c r="H905"/>
      <c r="I905"/>
      <c r="J905"/>
      <c r="K905"/>
      <c r="L905"/>
      <c r="M905"/>
      <c r="N905" s="52"/>
      <c r="O905"/>
      <c r="P905"/>
      <c r="Q905"/>
    </row>
    <row r="906" spans="1:17" x14ac:dyDescent="0.25">
      <c r="A906" s="143"/>
      <c r="B906" s="139"/>
      <c r="C906" s="149"/>
      <c r="D906" s="141"/>
      <c r="E906" s="141"/>
      <c r="F906" s="142"/>
      <c r="G906" s="142"/>
      <c r="H906"/>
      <c r="I906"/>
      <c r="J906"/>
      <c r="K906"/>
      <c r="L906"/>
      <c r="M906"/>
      <c r="N906" s="52"/>
      <c r="O906"/>
      <c r="P906"/>
      <c r="Q906"/>
    </row>
    <row r="907" spans="1:17" x14ac:dyDescent="0.25">
      <c r="A907" s="242" t="s">
        <v>170</v>
      </c>
      <c r="B907" s="242"/>
      <c r="C907" s="242"/>
      <c r="D907" s="242"/>
      <c r="E907" s="242"/>
      <c r="F907" s="242"/>
      <c r="G907" s="172"/>
      <c r="H907"/>
      <c r="I907"/>
      <c r="J907"/>
      <c r="K907"/>
      <c r="L907"/>
      <c r="M907"/>
      <c r="N907" s="52"/>
      <c r="O907"/>
      <c r="P907"/>
      <c r="Q907"/>
    </row>
    <row r="908" spans="1:17" x14ac:dyDescent="0.25">
      <c r="A908" s="140"/>
      <c r="B908" s="140"/>
      <c r="C908" s="140"/>
      <c r="D908" s="141"/>
      <c r="E908" s="141"/>
      <c r="F908" s="142"/>
      <c r="G908" s="142"/>
      <c r="H908"/>
      <c r="I908"/>
      <c r="J908"/>
      <c r="K908"/>
      <c r="L908"/>
      <c r="M908"/>
      <c r="N908" s="52"/>
      <c r="O908"/>
      <c r="P908"/>
      <c r="Q908"/>
    </row>
    <row r="909" spans="1:17" x14ac:dyDescent="0.25">
      <c r="A909" s="139" t="s">
        <v>171</v>
      </c>
      <c r="B909" s="139"/>
      <c r="C909" s="139"/>
      <c r="D909" s="139"/>
      <c r="E909" s="143"/>
      <c r="F909" s="142">
        <v>0</v>
      </c>
      <c r="G909" s="142"/>
      <c r="H909"/>
      <c r="I909"/>
      <c r="J909"/>
      <c r="K909"/>
      <c r="L909"/>
      <c r="M909"/>
      <c r="N909" s="52"/>
      <c r="O909"/>
      <c r="P909"/>
      <c r="Q909"/>
    </row>
    <row r="910" spans="1:17" x14ac:dyDescent="0.25">
      <c r="A910" s="242" t="s">
        <v>172</v>
      </c>
      <c r="B910" s="242"/>
      <c r="C910" s="242"/>
      <c r="D910" s="242"/>
      <c r="E910" s="143"/>
      <c r="F910" s="142">
        <v>0</v>
      </c>
      <c r="G910" s="142"/>
      <c r="H910"/>
      <c r="I910"/>
      <c r="J910"/>
      <c r="K910"/>
      <c r="L910"/>
      <c r="M910"/>
      <c r="N910" s="52"/>
      <c r="O910"/>
      <c r="P910"/>
      <c r="Q910"/>
    </row>
    <row r="911" spans="1:17" x14ac:dyDescent="0.25">
      <c r="A911" s="139" t="s">
        <v>153</v>
      </c>
      <c r="B911" s="143"/>
      <c r="C911" s="143"/>
      <c r="D911" s="143"/>
      <c r="E911" s="143"/>
      <c r="F911" s="142">
        <v>0</v>
      </c>
      <c r="G911" s="142"/>
      <c r="H911"/>
      <c r="I911"/>
      <c r="J911"/>
      <c r="K911"/>
      <c r="L911"/>
      <c r="M911"/>
      <c r="N911" s="52"/>
      <c r="O911"/>
      <c r="P911"/>
      <c r="Q911"/>
    </row>
    <row r="912" spans="1:17" x14ac:dyDescent="0.25">
      <c r="A912" s="242" t="s">
        <v>173</v>
      </c>
      <c r="B912" s="242"/>
      <c r="C912" s="242"/>
      <c r="D912" s="242"/>
      <c r="E912" s="143"/>
      <c r="F912" s="142">
        <v>0</v>
      </c>
      <c r="G912" s="142"/>
      <c r="H912"/>
      <c r="I912"/>
      <c r="J912"/>
      <c r="K912"/>
      <c r="L912"/>
      <c r="M912"/>
      <c r="N912" s="52"/>
      <c r="O912"/>
      <c r="P912"/>
      <c r="Q912"/>
    </row>
    <row r="913" spans="1:17" x14ac:dyDescent="0.25">
      <c r="A913" s="242" t="s">
        <v>174</v>
      </c>
      <c r="B913" s="242"/>
      <c r="C913" s="242"/>
      <c r="D913" s="242"/>
      <c r="E913" s="143"/>
      <c r="F913" s="142">
        <v>0</v>
      </c>
      <c r="G913" s="142"/>
      <c r="H913"/>
      <c r="I913"/>
      <c r="J913"/>
      <c r="K913"/>
      <c r="L913"/>
      <c r="M913"/>
      <c r="N913" s="52"/>
      <c r="O913"/>
      <c r="P913"/>
      <c r="Q913"/>
    </row>
    <row r="914" spans="1:17" x14ac:dyDescent="0.25">
      <c r="A914" s="139" t="s">
        <v>175</v>
      </c>
      <c r="B914" s="139"/>
      <c r="C914" s="139"/>
      <c r="D914" s="139"/>
      <c r="E914" s="143"/>
      <c r="F914" s="142">
        <v>0</v>
      </c>
      <c r="G914" s="142"/>
      <c r="H914"/>
      <c r="I914"/>
      <c r="J914"/>
      <c r="K914"/>
      <c r="L914"/>
      <c r="M914"/>
      <c r="N914" s="52"/>
      <c r="O914"/>
      <c r="P914"/>
      <c r="Q914"/>
    </row>
    <row r="915" spans="1:17" x14ac:dyDescent="0.25">
      <c r="A915" s="143" t="s">
        <v>157</v>
      </c>
      <c r="B915" s="143"/>
      <c r="C915" s="143"/>
      <c r="D915" s="143"/>
      <c r="E915" s="143"/>
      <c r="F915" s="142">
        <v>0</v>
      </c>
      <c r="G915" s="142"/>
      <c r="H915"/>
      <c r="I915"/>
      <c r="J915"/>
      <c r="K915"/>
      <c r="L915"/>
      <c r="M915"/>
      <c r="N915" s="52"/>
      <c r="O915"/>
      <c r="P915"/>
      <c r="Q915"/>
    </row>
    <row r="916" spans="1:17" x14ac:dyDescent="0.25">
      <c r="A916" s="245" t="s">
        <v>158</v>
      </c>
      <c r="B916" s="245"/>
      <c r="C916" s="245"/>
      <c r="D916" s="245"/>
      <c r="E916" s="144"/>
      <c r="F916" s="145">
        <v>0</v>
      </c>
      <c r="G916" s="176"/>
      <c r="H916"/>
      <c r="I916"/>
      <c r="J916"/>
      <c r="K916"/>
      <c r="L916"/>
      <c r="M916"/>
      <c r="N916" s="52"/>
      <c r="O916"/>
      <c r="P916"/>
      <c r="Q916"/>
    </row>
    <row r="917" spans="1:17" x14ac:dyDescent="0.25">
      <c r="A917" s="244" t="s">
        <v>160</v>
      </c>
      <c r="B917" s="244"/>
      <c r="C917" s="244"/>
      <c r="D917" s="244"/>
      <c r="E917" s="143"/>
      <c r="F917" s="142">
        <f>SUM(F909:F916)</f>
        <v>0</v>
      </c>
      <c r="G917" s="142"/>
      <c r="H917"/>
      <c r="I917"/>
      <c r="J917"/>
      <c r="K917"/>
      <c r="L917"/>
      <c r="M917"/>
      <c r="N917" s="52"/>
      <c r="O917"/>
      <c r="P917"/>
      <c r="Q917"/>
    </row>
    <row r="918" spans="1:17" x14ac:dyDescent="0.25">
      <c r="A918" s="243"/>
      <c r="B918" s="243"/>
      <c r="C918" s="243"/>
      <c r="D918" s="243"/>
      <c r="E918" s="243"/>
      <c r="F918" s="243"/>
      <c r="G918" s="173"/>
      <c r="H918"/>
      <c r="I918"/>
      <c r="J918"/>
      <c r="K918"/>
      <c r="L918"/>
      <c r="M918"/>
      <c r="N918" s="52"/>
      <c r="O918"/>
      <c r="P918"/>
      <c r="Q918"/>
    </row>
    <row r="919" spans="1:17" x14ac:dyDescent="0.25">
      <c r="A919" s="243"/>
      <c r="B919" s="243"/>
      <c r="C919" s="243"/>
      <c r="D919" s="243"/>
      <c r="E919" s="243"/>
      <c r="F919" s="243"/>
      <c r="G919" s="173"/>
      <c r="H919"/>
      <c r="I919"/>
      <c r="J919"/>
      <c r="K919"/>
      <c r="L919"/>
      <c r="M919"/>
      <c r="N919" s="52"/>
      <c r="O919"/>
      <c r="P919"/>
      <c r="Q919"/>
    </row>
    <row r="920" spans="1:17" x14ac:dyDescent="0.25">
      <c r="A920" s="243"/>
      <c r="B920" s="243"/>
      <c r="C920" s="243"/>
      <c r="D920" s="243"/>
      <c r="E920" s="243"/>
      <c r="F920" s="243"/>
      <c r="G920" s="173"/>
      <c r="H920"/>
      <c r="I920"/>
      <c r="J920"/>
      <c r="K920"/>
      <c r="L920"/>
      <c r="M920"/>
      <c r="N920" s="52"/>
      <c r="O920"/>
      <c r="P920"/>
      <c r="Q920"/>
    </row>
    <row r="921" spans="1:17" x14ac:dyDescent="0.25">
      <c r="A921" s="242" t="s">
        <v>176</v>
      </c>
      <c r="B921" s="242"/>
      <c r="C921" s="242"/>
      <c r="D921" s="242"/>
      <c r="E921" s="242"/>
      <c r="F921" s="242"/>
      <c r="G921" s="172"/>
      <c r="H921"/>
      <c r="I921"/>
      <c r="J921"/>
      <c r="K921"/>
      <c r="L921"/>
      <c r="M921"/>
      <c r="N921" s="52"/>
      <c r="O921"/>
      <c r="P921"/>
      <c r="Q921"/>
    </row>
    <row r="922" spans="1:17" x14ac:dyDescent="0.25">
      <c r="A922" s="243"/>
      <c r="B922" s="243"/>
      <c r="C922" s="243"/>
      <c r="D922" s="243"/>
      <c r="E922" s="243"/>
      <c r="F922" s="243"/>
      <c r="G922" s="173"/>
      <c r="H922"/>
      <c r="I922"/>
      <c r="J922"/>
      <c r="K922"/>
      <c r="L922"/>
      <c r="M922"/>
      <c r="N922" s="52"/>
      <c r="O922"/>
      <c r="P922"/>
      <c r="Q922"/>
    </row>
    <row r="923" spans="1:17" x14ac:dyDescent="0.25">
      <c r="A923" s="242" t="s">
        <v>162</v>
      </c>
      <c r="B923" s="242"/>
      <c r="C923" s="242"/>
      <c r="D923" s="242"/>
      <c r="E923" s="143"/>
      <c r="F923" s="142">
        <v>0</v>
      </c>
      <c r="G923" s="142"/>
      <c r="H923"/>
      <c r="I923"/>
      <c r="J923"/>
      <c r="K923"/>
      <c r="L923"/>
      <c r="M923"/>
      <c r="N923" s="52"/>
      <c r="O923"/>
      <c r="P923"/>
      <c r="Q923"/>
    </row>
    <row r="924" spans="1:17" x14ac:dyDescent="0.25">
      <c r="A924" s="143" t="s">
        <v>163</v>
      </c>
      <c r="B924" s="143"/>
      <c r="C924" s="143"/>
      <c r="D924" s="143"/>
      <c r="E924" s="143"/>
      <c r="F924" s="142">
        <v>0</v>
      </c>
      <c r="G924" s="142"/>
      <c r="H924"/>
      <c r="I924"/>
      <c r="J924"/>
      <c r="K924"/>
      <c r="L924"/>
      <c r="M924"/>
      <c r="N924" s="52"/>
      <c r="O924"/>
      <c r="P924"/>
      <c r="Q924"/>
    </row>
    <row r="925" spans="1:17" x14ac:dyDescent="0.25">
      <c r="A925" s="242" t="s">
        <v>164</v>
      </c>
      <c r="B925" s="242"/>
      <c r="C925" s="242"/>
      <c r="D925" s="242"/>
      <c r="E925" s="143"/>
      <c r="F925" s="142">
        <v>0</v>
      </c>
      <c r="G925" s="142"/>
      <c r="H925"/>
      <c r="I925"/>
      <c r="J925"/>
      <c r="K925"/>
      <c r="L925"/>
      <c r="M925"/>
      <c r="N925" s="52"/>
      <c r="O925"/>
      <c r="P925"/>
      <c r="Q925"/>
    </row>
    <row r="926" spans="1:17" x14ac:dyDescent="0.25">
      <c r="A926" s="242" t="s">
        <v>165</v>
      </c>
      <c r="B926" s="242"/>
      <c r="C926" s="242"/>
      <c r="D926" s="242"/>
      <c r="E926" s="143"/>
      <c r="F926" s="142">
        <v>0</v>
      </c>
      <c r="G926" s="142"/>
      <c r="H926"/>
      <c r="I926"/>
      <c r="J926"/>
      <c r="K926"/>
      <c r="L926"/>
      <c r="M926"/>
      <c r="N926" s="52"/>
      <c r="O926"/>
      <c r="P926"/>
      <c r="Q926"/>
    </row>
    <row r="927" spans="1:17" x14ac:dyDescent="0.25">
      <c r="A927" s="242" t="s">
        <v>166</v>
      </c>
      <c r="B927" s="242"/>
      <c r="C927" s="242"/>
      <c r="D927" s="242"/>
      <c r="E927" s="143"/>
      <c r="F927" s="142">
        <v>0</v>
      </c>
      <c r="G927" s="142"/>
      <c r="H927"/>
      <c r="I927"/>
      <c r="J927"/>
      <c r="K927"/>
      <c r="L927"/>
      <c r="M927"/>
      <c r="N927" s="52"/>
      <c r="O927"/>
      <c r="P927"/>
      <c r="Q927"/>
    </row>
    <row r="928" spans="1:17" x14ac:dyDescent="0.25">
      <c r="A928" s="143" t="s">
        <v>177</v>
      </c>
      <c r="B928" s="143"/>
      <c r="C928" s="143"/>
      <c r="D928" s="143"/>
      <c r="E928" s="143"/>
      <c r="F928" s="142">
        <v>0</v>
      </c>
      <c r="G928" s="142"/>
      <c r="H928"/>
      <c r="I928"/>
      <c r="J928"/>
      <c r="K928"/>
      <c r="L928"/>
      <c r="M928"/>
      <c r="N928" s="52"/>
      <c r="O928"/>
      <c r="P928"/>
      <c r="Q928"/>
    </row>
    <row r="929" spans="1:17" x14ac:dyDescent="0.25">
      <c r="A929" s="143" t="s">
        <v>178</v>
      </c>
      <c r="B929" s="143"/>
      <c r="C929" s="143"/>
      <c r="D929" s="143"/>
      <c r="E929" s="143"/>
      <c r="F929" s="142">
        <v>0</v>
      </c>
      <c r="G929" s="142"/>
      <c r="H929"/>
      <c r="I929"/>
      <c r="J929"/>
      <c r="K929"/>
      <c r="L929"/>
      <c r="M929"/>
      <c r="N929" s="52"/>
      <c r="O929"/>
      <c r="P929"/>
      <c r="Q929"/>
    </row>
    <row r="930" spans="1:17" x14ac:dyDescent="0.25">
      <c r="A930" s="146" t="s">
        <v>169</v>
      </c>
      <c r="B930" s="146"/>
      <c r="C930" s="146"/>
      <c r="D930" s="147"/>
      <c r="E930" s="147"/>
      <c r="F930" s="148">
        <v>0</v>
      </c>
      <c r="G930" s="177"/>
      <c r="H930"/>
      <c r="I930"/>
      <c r="J930"/>
      <c r="K930"/>
      <c r="L930"/>
      <c r="M930"/>
      <c r="N930" s="52"/>
      <c r="O930"/>
      <c r="P930"/>
      <c r="Q930"/>
    </row>
    <row r="931" spans="1:17" x14ac:dyDescent="0.25">
      <c r="A931" s="244" t="s">
        <v>160</v>
      </c>
      <c r="B931" s="244"/>
      <c r="C931" s="244"/>
      <c r="D931" s="244"/>
      <c r="E931" s="143"/>
      <c r="F931" s="142">
        <f>SUM(F923:F930)</f>
        <v>0</v>
      </c>
      <c r="G931" s="142"/>
      <c r="H931"/>
      <c r="I931"/>
      <c r="J931"/>
      <c r="K931"/>
      <c r="L931"/>
      <c r="M931"/>
      <c r="N931" s="52"/>
      <c r="O931"/>
      <c r="P931"/>
      <c r="Q931"/>
    </row>
    <row r="932" spans="1:17" x14ac:dyDescent="0.25">
      <c r="A932" s="150"/>
      <c r="B932" s="151"/>
      <c r="C932" s="152"/>
      <c r="D932" s="153"/>
      <c r="E932" s="153"/>
      <c r="F932" s="154"/>
      <c r="G932" s="154"/>
      <c r="H932"/>
      <c r="I932"/>
      <c r="J932"/>
      <c r="K932"/>
      <c r="L932"/>
      <c r="M932"/>
      <c r="N932" s="52"/>
      <c r="O932"/>
      <c r="P932"/>
      <c r="Q932"/>
    </row>
    <row r="933" spans="1:17" x14ac:dyDescent="0.25">
      <c r="A933" s="150"/>
      <c r="B933" s="151"/>
      <c r="C933" s="152"/>
      <c r="D933" s="153"/>
      <c r="E933" s="153"/>
      <c r="F933" s="154"/>
      <c r="G933" s="154"/>
      <c r="H933"/>
      <c r="I933"/>
      <c r="J933"/>
      <c r="K933"/>
      <c r="L933"/>
      <c r="M933"/>
      <c r="N933" s="52"/>
      <c r="O933"/>
      <c r="P933"/>
      <c r="Q933"/>
    </row>
    <row r="934" spans="1:17" x14ac:dyDescent="0.25">
      <c r="A934" s="246" t="s">
        <v>179</v>
      </c>
      <c r="B934" s="246"/>
      <c r="C934" s="246"/>
      <c r="D934" s="246"/>
      <c r="E934" s="246"/>
      <c r="F934" s="246"/>
      <c r="G934" s="174"/>
      <c r="H934"/>
      <c r="I934"/>
      <c r="J934"/>
      <c r="K934"/>
      <c r="L934"/>
      <c r="M934"/>
      <c r="N934" s="52"/>
      <c r="O934"/>
      <c r="P934"/>
      <c r="Q934"/>
    </row>
    <row r="935" spans="1:17" x14ac:dyDescent="0.25">
      <c r="A935" s="248"/>
      <c r="B935" s="248"/>
      <c r="C935" s="248"/>
      <c r="D935" s="248"/>
      <c r="E935" s="248"/>
      <c r="F935" s="248"/>
      <c r="G935" s="175"/>
      <c r="H935"/>
      <c r="I935"/>
      <c r="J935"/>
      <c r="K935"/>
      <c r="L935"/>
      <c r="M935"/>
      <c r="N935" s="52"/>
      <c r="O935"/>
      <c r="P935"/>
      <c r="Q935"/>
    </row>
    <row r="936" spans="1:17" x14ac:dyDescent="0.25">
      <c r="A936" s="155"/>
      <c r="B936" s="155"/>
      <c r="C936" s="155"/>
      <c r="D936" s="156"/>
      <c r="E936" s="156"/>
      <c r="F936" s="157"/>
      <c r="G936" s="157"/>
      <c r="H936"/>
      <c r="I936"/>
      <c r="J936"/>
      <c r="K936"/>
      <c r="L936"/>
      <c r="M936"/>
      <c r="N936" s="52"/>
      <c r="O936"/>
      <c r="P936"/>
      <c r="Q936"/>
    </row>
    <row r="937" spans="1:17" x14ac:dyDescent="0.25">
      <c r="A937" s="158" t="s">
        <v>180</v>
      </c>
      <c r="B937" s="159"/>
      <c r="C937" s="159"/>
      <c r="D937" s="159"/>
      <c r="E937" s="159"/>
      <c r="F937" s="157">
        <f>SUM(F882,F909)</f>
        <v>0</v>
      </c>
      <c r="G937" s="157"/>
      <c r="H937"/>
      <c r="I937"/>
      <c r="J937"/>
      <c r="K937"/>
      <c r="L937"/>
      <c r="M937"/>
      <c r="N937" s="52"/>
      <c r="O937"/>
      <c r="P937"/>
      <c r="Q937"/>
    </row>
    <row r="938" spans="1:17" x14ac:dyDescent="0.25">
      <c r="A938" s="158" t="s">
        <v>172</v>
      </c>
      <c r="B938" s="159"/>
      <c r="C938" s="159"/>
      <c r="D938" s="159"/>
      <c r="E938" s="158"/>
      <c r="F938" s="157">
        <f>SUM(F883,F910)</f>
        <v>18986000</v>
      </c>
      <c r="G938" s="157"/>
      <c r="H938"/>
      <c r="I938"/>
      <c r="J938"/>
      <c r="K938"/>
      <c r="L938"/>
      <c r="M938"/>
      <c r="N938" s="52"/>
      <c r="O938"/>
      <c r="P938"/>
      <c r="Q938"/>
    </row>
    <row r="939" spans="1:17" x14ac:dyDescent="0.25">
      <c r="A939" s="246" t="s">
        <v>181</v>
      </c>
      <c r="B939" s="246"/>
      <c r="C939" s="246"/>
      <c r="D939" s="246"/>
      <c r="E939" s="158"/>
      <c r="F939" s="157">
        <f>SUM(F884,F911)</f>
        <v>-9146247</v>
      </c>
      <c r="G939" s="157"/>
      <c r="H939"/>
      <c r="I939"/>
      <c r="J939"/>
      <c r="K939"/>
      <c r="L939"/>
      <c r="M939"/>
      <c r="N939" s="52"/>
      <c r="O939"/>
      <c r="P939"/>
      <c r="Q939"/>
    </row>
    <row r="940" spans="1:17" x14ac:dyDescent="0.25">
      <c r="A940" s="246" t="s">
        <v>182</v>
      </c>
      <c r="B940" s="246"/>
      <c r="C940" s="246"/>
      <c r="D940" s="246"/>
      <c r="E940" s="158"/>
      <c r="F940" s="157">
        <f>F885+F912</f>
        <v>0</v>
      </c>
      <c r="G940" s="157"/>
      <c r="H940"/>
      <c r="I940"/>
      <c r="J940"/>
      <c r="K940"/>
      <c r="L940"/>
      <c r="M940"/>
      <c r="N940" s="52"/>
      <c r="O940"/>
      <c r="P940"/>
      <c r="Q940"/>
    </row>
    <row r="941" spans="1:17" x14ac:dyDescent="0.25">
      <c r="A941" s="246" t="s">
        <v>183</v>
      </c>
      <c r="B941" s="246"/>
      <c r="C941" s="246"/>
      <c r="D941" s="246"/>
      <c r="E941" s="158"/>
      <c r="F941" s="157">
        <f>F886+F913</f>
        <v>0</v>
      </c>
      <c r="G941" s="157"/>
      <c r="H941"/>
      <c r="I941"/>
      <c r="J941"/>
      <c r="K941"/>
      <c r="L941"/>
      <c r="M941"/>
      <c r="N941" s="52"/>
      <c r="O941"/>
      <c r="P941"/>
      <c r="Q941"/>
    </row>
    <row r="942" spans="1:17" x14ac:dyDescent="0.25">
      <c r="A942" s="159" t="s">
        <v>175</v>
      </c>
      <c r="B942" s="159"/>
      <c r="C942" s="159"/>
      <c r="D942" s="159"/>
      <c r="E942" s="158"/>
      <c r="F942" s="157">
        <f>SUM(F914,F887)</f>
        <v>0</v>
      </c>
      <c r="G942" s="157"/>
      <c r="H942"/>
      <c r="I942"/>
      <c r="J942"/>
      <c r="K942"/>
      <c r="L942"/>
      <c r="M942"/>
      <c r="N942" s="52"/>
      <c r="O942"/>
      <c r="P942"/>
      <c r="Q942"/>
    </row>
    <row r="943" spans="1:17" x14ac:dyDescent="0.25">
      <c r="A943" s="158" t="s">
        <v>157</v>
      </c>
      <c r="B943" s="158"/>
      <c r="C943" s="158"/>
      <c r="D943" s="158"/>
      <c r="E943" s="158"/>
      <c r="F943" s="157">
        <f>F915+F888</f>
        <v>0</v>
      </c>
      <c r="G943" s="157"/>
      <c r="H943"/>
      <c r="I943"/>
      <c r="J943"/>
      <c r="K943"/>
      <c r="L943"/>
      <c r="M943"/>
      <c r="N943" s="52"/>
      <c r="O943"/>
      <c r="P943"/>
      <c r="Q943"/>
    </row>
    <row r="944" spans="1:17" x14ac:dyDescent="0.25">
      <c r="A944" s="246" t="s">
        <v>158</v>
      </c>
      <c r="B944" s="246"/>
      <c r="C944" s="246"/>
      <c r="D944" s="246"/>
      <c r="E944" s="158"/>
      <c r="F944" s="157">
        <f>F916+F889</f>
        <v>1595000</v>
      </c>
      <c r="G944" s="157"/>
      <c r="H944"/>
      <c r="I944"/>
      <c r="J944"/>
      <c r="K944"/>
      <c r="L944"/>
      <c r="M944"/>
      <c r="N944" s="52"/>
      <c r="O944"/>
      <c r="P944"/>
      <c r="Q944"/>
    </row>
    <row r="945" spans="1:17" x14ac:dyDescent="0.25">
      <c r="A945" s="160" t="s">
        <v>159</v>
      </c>
      <c r="B945" s="160"/>
      <c r="C945" s="160"/>
      <c r="D945" s="160"/>
      <c r="E945" s="160"/>
      <c r="F945" s="161">
        <f>F890</f>
        <v>0</v>
      </c>
      <c r="G945" s="178"/>
      <c r="H945"/>
      <c r="I945"/>
      <c r="J945"/>
      <c r="K945"/>
      <c r="L945"/>
      <c r="M945"/>
      <c r="N945" s="52"/>
      <c r="O945"/>
      <c r="P945"/>
      <c r="Q945"/>
    </row>
    <row r="946" spans="1:17" x14ac:dyDescent="0.25">
      <c r="A946" s="246" t="s">
        <v>160</v>
      </c>
      <c r="B946" s="246"/>
      <c r="C946" s="246"/>
      <c r="D946" s="246"/>
      <c r="E946" s="158"/>
      <c r="F946" s="157">
        <f>SUM(F937:F945)</f>
        <v>11434753</v>
      </c>
      <c r="G946" s="157"/>
      <c r="H946"/>
      <c r="I946"/>
      <c r="J946"/>
      <c r="K946"/>
      <c r="L946"/>
      <c r="M946"/>
      <c r="N946" s="52"/>
      <c r="O946"/>
      <c r="P946"/>
      <c r="Q946"/>
    </row>
    <row r="947" spans="1:17" x14ac:dyDescent="0.25">
      <c r="A947" s="158"/>
      <c r="B947" s="158"/>
      <c r="C947" s="158"/>
      <c r="D947" s="158"/>
      <c r="E947" s="158"/>
      <c r="F947" s="157"/>
      <c r="G947" s="157"/>
      <c r="H947"/>
      <c r="I947"/>
      <c r="J947"/>
      <c r="K947"/>
      <c r="L947"/>
      <c r="M947"/>
      <c r="N947" s="52"/>
      <c r="O947"/>
      <c r="P947"/>
      <c r="Q947"/>
    </row>
    <row r="948" spans="1:17" x14ac:dyDescent="0.25">
      <c r="A948" s="158"/>
      <c r="B948" s="158"/>
      <c r="C948" s="158"/>
      <c r="D948" s="158"/>
      <c r="E948" s="158"/>
      <c r="F948" s="157"/>
      <c r="G948" s="157"/>
      <c r="H948"/>
      <c r="I948"/>
      <c r="J948"/>
      <c r="K948"/>
      <c r="L948"/>
      <c r="M948"/>
      <c r="N948" s="52"/>
      <c r="O948"/>
      <c r="P948"/>
      <c r="Q948"/>
    </row>
    <row r="949" spans="1:17" x14ac:dyDescent="0.25">
      <c r="A949" s="248"/>
      <c r="B949" s="248"/>
      <c r="C949" s="248"/>
      <c r="D949" s="248"/>
      <c r="E949" s="248"/>
      <c r="F949" s="248"/>
      <c r="G949" s="175"/>
      <c r="H949"/>
      <c r="I949"/>
      <c r="J949"/>
      <c r="K949"/>
      <c r="L949"/>
      <c r="M949"/>
      <c r="N949" s="52"/>
      <c r="O949"/>
      <c r="P949"/>
      <c r="Q949"/>
    </row>
    <row r="950" spans="1:17" x14ac:dyDescent="0.25">
      <c r="A950" s="246" t="s">
        <v>184</v>
      </c>
      <c r="B950" s="246"/>
      <c r="C950" s="246"/>
      <c r="D950" s="246"/>
      <c r="E950" s="246"/>
      <c r="F950" s="246"/>
      <c r="G950" s="174"/>
      <c r="H950"/>
      <c r="I950"/>
      <c r="J950"/>
      <c r="K950"/>
      <c r="L950"/>
      <c r="M950"/>
      <c r="N950" s="52"/>
      <c r="O950"/>
      <c r="P950"/>
      <c r="Q950"/>
    </row>
    <row r="951" spans="1:17" x14ac:dyDescent="0.25">
      <c r="A951" s="248"/>
      <c r="B951" s="248"/>
      <c r="C951" s="248"/>
      <c r="D951" s="248"/>
      <c r="E951" s="248"/>
      <c r="F951" s="248"/>
      <c r="G951" s="175"/>
      <c r="H951"/>
      <c r="I951"/>
      <c r="J951"/>
      <c r="K951"/>
      <c r="L951"/>
      <c r="M951"/>
      <c r="N951" s="52"/>
      <c r="O951"/>
      <c r="P951"/>
      <c r="Q951"/>
    </row>
    <row r="952" spans="1:17" x14ac:dyDescent="0.25">
      <c r="A952" s="246" t="s">
        <v>162</v>
      </c>
      <c r="B952" s="246"/>
      <c r="C952" s="246"/>
      <c r="D952" s="246"/>
      <c r="E952" s="158"/>
      <c r="F952" s="157">
        <v>0</v>
      </c>
      <c r="G952" s="157"/>
      <c r="H952"/>
      <c r="I952"/>
      <c r="J952"/>
      <c r="K952"/>
      <c r="L952"/>
      <c r="M952"/>
      <c r="N952" s="52"/>
      <c r="O952"/>
      <c r="P952"/>
      <c r="Q952"/>
    </row>
    <row r="953" spans="1:17" x14ac:dyDescent="0.25">
      <c r="A953" s="158" t="s">
        <v>163</v>
      </c>
      <c r="B953" s="158"/>
      <c r="C953" s="158"/>
      <c r="D953" s="158"/>
      <c r="E953" s="158"/>
      <c r="F953" s="157">
        <f>F924+F898</f>
        <v>0</v>
      </c>
      <c r="G953" s="157"/>
      <c r="H953"/>
      <c r="I953"/>
      <c r="J953"/>
      <c r="K953"/>
      <c r="L953"/>
      <c r="M953"/>
      <c r="N953" s="52"/>
      <c r="O953"/>
      <c r="P953"/>
      <c r="Q953"/>
    </row>
    <row r="954" spans="1:17" x14ac:dyDescent="0.25">
      <c r="A954" s="246" t="s">
        <v>164</v>
      </c>
      <c r="B954" s="246"/>
      <c r="C954" s="246"/>
      <c r="D954" s="246"/>
      <c r="E954" s="158"/>
      <c r="F954" s="157">
        <f>F925+F899</f>
        <v>0</v>
      </c>
      <c r="G954" s="157"/>
      <c r="H954"/>
      <c r="I954"/>
      <c r="J954"/>
      <c r="K954"/>
      <c r="L954"/>
      <c r="M954"/>
      <c r="N954" s="52"/>
      <c r="O954"/>
      <c r="P954"/>
      <c r="Q954"/>
    </row>
    <row r="955" spans="1:17" x14ac:dyDescent="0.25">
      <c r="A955" s="246" t="s">
        <v>165</v>
      </c>
      <c r="B955" s="246"/>
      <c r="C955" s="246"/>
      <c r="D955" s="246"/>
      <c r="E955" s="158"/>
      <c r="F955" s="157">
        <f>F926+F900</f>
        <v>0</v>
      </c>
      <c r="G955" s="157"/>
      <c r="H955"/>
      <c r="I955"/>
      <c r="J955"/>
      <c r="K955"/>
      <c r="L955"/>
      <c r="M955"/>
      <c r="N955" s="52"/>
      <c r="O955"/>
      <c r="P955"/>
      <c r="Q955"/>
    </row>
    <row r="956" spans="1:17" x14ac:dyDescent="0.25">
      <c r="A956" s="246" t="s">
        <v>166</v>
      </c>
      <c r="B956" s="246"/>
      <c r="C956" s="246"/>
      <c r="D956" s="246"/>
      <c r="E956" s="158"/>
      <c r="F956" s="157">
        <f>F927+F901</f>
        <v>11434753</v>
      </c>
      <c r="G956" s="157"/>
      <c r="H956"/>
      <c r="I956"/>
      <c r="J956"/>
      <c r="K956"/>
      <c r="L956"/>
      <c r="M956"/>
      <c r="N956" s="52"/>
      <c r="O956"/>
      <c r="P956"/>
      <c r="Q956"/>
    </row>
    <row r="957" spans="1:17" x14ac:dyDescent="0.25">
      <c r="A957" s="158" t="s">
        <v>177</v>
      </c>
      <c r="B957" s="158"/>
      <c r="C957" s="158"/>
      <c r="D957" s="158"/>
      <c r="E957" s="158"/>
      <c r="F957" s="157">
        <f>SUM(F928,F902)</f>
        <v>0</v>
      </c>
      <c r="G957" s="157"/>
      <c r="H957"/>
      <c r="I957"/>
      <c r="J957"/>
      <c r="K957"/>
      <c r="L957"/>
      <c r="M957"/>
      <c r="N957" s="52"/>
      <c r="O957"/>
      <c r="P957"/>
      <c r="Q957"/>
    </row>
    <row r="958" spans="1:17" x14ac:dyDescent="0.25">
      <c r="A958" s="158" t="s">
        <v>178</v>
      </c>
      <c r="B958" s="158"/>
      <c r="C958" s="158"/>
      <c r="D958" s="158"/>
      <c r="E958" s="158"/>
      <c r="F958" s="157">
        <f>SUM(F929)</f>
        <v>0</v>
      </c>
      <c r="G958" s="157"/>
      <c r="H958"/>
      <c r="I958"/>
      <c r="J958"/>
      <c r="K958"/>
      <c r="L958"/>
      <c r="M958"/>
      <c r="N958" s="52"/>
      <c r="O958"/>
      <c r="P958"/>
      <c r="Q958"/>
    </row>
    <row r="959" spans="1:17" x14ac:dyDescent="0.25">
      <c r="A959" s="162" t="s">
        <v>169</v>
      </c>
      <c r="B959" s="162"/>
      <c r="C959" s="162"/>
      <c r="D959" s="163"/>
      <c r="E959" s="163"/>
      <c r="F959" s="164">
        <f>F930+F904</f>
        <v>0</v>
      </c>
      <c r="G959" s="179"/>
      <c r="H959"/>
      <c r="I959"/>
      <c r="J959"/>
      <c r="K959"/>
      <c r="L959"/>
      <c r="M959"/>
      <c r="N959" s="52"/>
      <c r="O959"/>
      <c r="P959"/>
      <c r="Q959"/>
    </row>
    <row r="960" spans="1:17" x14ac:dyDescent="0.25">
      <c r="A960" s="247" t="s">
        <v>160</v>
      </c>
      <c r="B960" s="247"/>
      <c r="C960" s="247"/>
      <c r="D960" s="247"/>
      <c r="E960" s="158"/>
      <c r="F960" s="157">
        <f>SUM(F952:F959)</f>
        <v>11434753</v>
      </c>
      <c r="G960" s="157"/>
      <c r="H960"/>
      <c r="I960"/>
      <c r="J960"/>
      <c r="K960"/>
      <c r="L960"/>
      <c r="M960"/>
      <c r="N960" s="52"/>
      <c r="O960"/>
      <c r="P960"/>
      <c r="Q960"/>
    </row>
  </sheetData>
  <autoFilter ref="A5:Q823" xr:uid="{621DF6B5-BBA5-4894-B98A-B26980C76C3D}"/>
  <mergeCells count="248">
    <mergeCell ref="A952:D952"/>
    <mergeCell ref="A954:D954"/>
    <mergeCell ref="A955:D955"/>
    <mergeCell ref="A956:D956"/>
    <mergeCell ref="A960:D960"/>
    <mergeCell ref="A935:F935"/>
    <mergeCell ref="A939:D939"/>
    <mergeCell ref="A940:D940"/>
    <mergeCell ref="A941:D941"/>
    <mergeCell ref="A944:D944"/>
    <mergeCell ref="A946:D946"/>
    <mergeCell ref="A949:F949"/>
    <mergeCell ref="A950:F950"/>
    <mergeCell ref="A951:F951"/>
    <mergeCell ref="A918:F920"/>
    <mergeCell ref="A921:F921"/>
    <mergeCell ref="A922:F922"/>
    <mergeCell ref="A923:D923"/>
    <mergeCell ref="A925:D925"/>
    <mergeCell ref="A926:D926"/>
    <mergeCell ref="A927:D927"/>
    <mergeCell ref="A931:D931"/>
    <mergeCell ref="A934:F934"/>
    <mergeCell ref="A900:D900"/>
    <mergeCell ref="A901:D901"/>
    <mergeCell ref="A905:D905"/>
    <mergeCell ref="A907:F907"/>
    <mergeCell ref="A910:D910"/>
    <mergeCell ref="A912:D912"/>
    <mergeCell ref="A913:D913"/>
    <mergeCell ref="A916:D916"/>
    <mergeCell ref="A917:D917"/>
    <mergeCell ref="A885:D885"/>
    <mergeCell ref="A886:D886"/>
    <mergeCell ref="A889:D889"/>
    <mergeCell ref="A891:D891"/>
    <mergeCell ref="A892:F894"/>
    <mergeCell ref="A895:F895"/>
    <mergeCell ref="A896:F896"/>
    <mergeCell ref="A897:D897"/>
    <mergeCell ref="A899:D899"/>
    <mergeCell ref="A6:A26"/>
    <mergeCell ref="B6:B9"/>
    <mergeCell ref="B11:B12"/>
    <mergeCell ref="B13:B15"/>
    <mergeCell ref="B16:B18"/>
    <mergeCell ref="B19:B23"/>
    <mergeCell ref="B24:B26"/>
    <mergeCell ref="A1:P1"/>
    <mergeCell ref="A3:A5"/>
    <mergeCell ref="B3:B5"/>
    <mergeCell ref="C3:C5"/>
    <mergeCell ref="D3:D5"/>
    <mergeCell ref="N3:N5"/>
    <mergeCell ref="O3:O5"/>
    <mergeCell ref="P3:P5"/>
    <mergeCell ref="E3:M3"/>
    <mergeCell ref="E4:E5"/>
    <mergeCell ref="F4:G4"/>
    <mergeCell ref="H4:I4"/>
    <mergeCell ref="J4:J5"/>
    <mergeCell ref="L4:L5"/>
    <mergeCell ref="K4:K5"/>
    <mergeCell ref="A42:A48"/>
    <mergeCell ref="B42:B44"/>
    <mergeCell ref="B46:B48"/>
    <mergeCell ref="A49:A51"/>
    <mergeCell ref="B49:B50"/>
    <mergeCell ref="A52:A54"/>
    <mergeCell ref="B52:B53"/>
    <mergeCell ref="A27:A29"/>
    <mergeCell ref="B27:B28"/>
    <mergeCell ref="A30:A34"/>
    <mergeCell ref="B30:B32"/>
    <mergeCell ref="A35:A41"/>
    <mergeCell ref="B35:B37"/>
    <mergeCell ref="B40:B41"/>
    <mergeCell ref="A70:A72"/>
    <mergeCell ref="B70:B71"/>
    <mergeCell ref="A73:A78"/>
    <mergeCell ref="B73:B74"/>
    <mergeCell ref="A79:A84"/>
    <mergeCell ref="B79:B80"/>
    <mergeCell ref="B82:B84"/>
    <mergeCell ref="A55:A57"/>
    <mergeCell ref="B55:B56"/>
    <mergeCell ref="A58:A64"/>
    <mergeCell ref="B58:B60"/>
    <mergeCell ref="B62:B64"/>
    <mergeCell ref="A65:A69"/>
    <mergeCell ref="B65:B67"/>
    <mergeCell ref="B76:B78"/>
    <mergeCell ref="A85:A87"/>
    <mergeCell ref="B85:B86"/>
    <mergeCell ref="A88:A94"/>
    <mergeCell ref="B88:B90"/>
    <mergeCell ref="B92:B94"/>
    <mergeCell ref="A95:A102"/>
    <mergeCell ref="B95:B96"/>
    <mergeCell ref="B97:B99"/>
    <mergeCell ref="B100:B102"/>
    <mergeCell ref="B225:B237"/>
    <mergeCell ref="A238:A239"/>
    <mergeCell ref="B238:B239"/>
    <mergeCell ref="A240:A241"/>
    <mergeCell ref="B240:B241"/>
    <mergeCell ref="A242:A243"/>
    <mergeCell ref="B242:B243"/>
    <mergeCell ref="A103:A106"/>
    <mergeCell ref="B103:B104"/>
    <mergeCell ref="A107:C107"/>
    <mergeCell ref="A108:A237"/>
    <mergeCell ref="B108:B116"/>
    <mergeCell ref="B117:B137"/>
    <mergeCell ref="B138:B159"/>
    <mergeCell ref="B160:B181"/>
    <mergeCell ref="B182:B196"/>
    <mergeCell ref="B197:B224"/>
    <mergeCell ref="A250:A251"/>
    <mergeCell ref="B250:B251"/>
    <mergeCell ref="A252:A253"/>
    <mergeCell ref="B252:B253"/>
    <mergeCell ref="A254:A255"/>
    <mergeCell ref="B254:B255"/>
    <mergeCell ref="A244:A245"/>
    <mergeCell ref="B244:B245"/>
    <mergeCell ref="A246:A247"/>
    <mergeCell ref="B246:B247"/>
    <mergeCell ref="A248:A249"/>
    <mergeCell ref="B248:B249"/>
    <mergeCell ref="A288:A289"/>
    <mergeCell ref="B288:B289"/>
    <mergeCell ref="A290:C290"/>
    <mergeCell ref="A291:A322"/>
    <mergeCell ref="B292:B298"/>
    <mergeCell ref="B299:B317"/>
    <mergeCell ref="B318:B322"/>
    <mergeCell ref="A256:A257"/>
    <mergeCell ref="B256:B257"/>
    <mergeCell ref="A258:C258"/>
    <mergeCell ref="A259:A287"/>
    <mergeCell ref="B260:B268"/>
    <mergeCell ref="B269:B287"/>
    <mergeCell ref="A382:A383"/>
    <mergeCell ref="B382:B383"/>
    <mergeCell ref="A384:A385"/>
    <mergeCell ref="B384:B385"/>
    <mergeCell ref="A386:A387"/>
    <mergeCell ref="B386:B387"/>
    <mergeCell ref="A323:A324"/>
    <mergeCell ref="B323:B324"/>
    <mergeCell ref="A325:C325"/>
    <mergeCell ref="A326:A381"/>
    <mergeCell ref="B326:B333"/>
    <mergeCell ref="B334:B356"/>
    <mergeCell ref="B357:B375"/>
    <mergeCell ref="B376:B381"/>
    <mergeCell ref="A423:C423"/>
    <mergeCell ref="A424:A453"/>
    <mergeCell ref="B424:B433"/>
    <mergeCell ref="B434:B453"/>
    <mergeCell ref="A454:A455"/>
    <mergeCell ref="B454:B455"/>
    <mergeCell ref="A388:C388"/>
    <mergeCell ref="A389:A420"/>
    <mergeCell ref="B390:B398"/>
    <mergeCell ref="B399:B420"/>
    <mergeCell ref="A421:A422"/>
    <mergeCell ref="B421:B422"/>
    <mergeCell ref="A486:A487"/>
    <mergeCell ref="B486:B487"/>
    <mergeCell ref="A488:C488"/>
    <mergeCell ref="A489:A507"/>
    <mergeCell ref="B490:B507"/>
    <mergeCell ref="A508:A509"/>
    <mergeCell ref="B508:B509"/>
    <mergeCell ref="A456:C456"/>
    <mergeCell ref="A457:A483"/>
    <mergeCell ref="B458:B465"/>
    <mergeCell ref="B466:B483"/>
    <mergeCell ref="A484:A485"/>
    <mergeCell ref="B484:B485"/>
    <mergeCell ref="A542:A543"/>
    <mergeCell ref="B542:B543"/>
    <mergeCell ref="A544:C544"/>
    <mergeCell ref="A545:A576"/>
    <mergeCell ref="B546:B549"/>
    <mergeCell ref="B550:B571"/>
    <mergeCell ref="B572:B576"/>
    <mergeCell ref="A510:C510"/>
    <mergeCell ref="A511:A539"/>
    <mergeCell ref="B512:B533"/>
    <mergeCell ref="B534:B539"/>
    <mergeCell ref="A540:A541"/>
    <mergeCell ref="B540:B541"/>
    <mergeCell ref="A613:A614"/>
    <mergeCell ref="B613:B614"/>
    <mergeCell ref="A615:C615"/>
    <mergeCell ref="A616:A647"/>
    <mergeCell ref="B617:B621"/>
    <mergeCell ref="B622:B641"/>
    <mergeCell ref="B642:B647"/>
    <mergeCell ref="A577:A578"/>
    <mergeCell ref="B577:B578"/>
    <mergeCell ref="A579:A580"/>
    <mergeCell ref="B579:B580"/>
    <mergeCell ref="A581:C581"/>
    <mergeCell ref="A582:A612"/>
    <mergeCell ref="B582:B591"/>
    <mergeCell ref="B592:B612"/>
    <mergeCell ref="A685:A686"/>
    <mergeCell ref="B685:B686"/>
    <mergeCell ref="A687:C687"/>
    <mergeCell ref="A688:A711"/>
    <mergeCell ref="B688:B698"/>
    <mergeCell ref="B699:B711"/>
    <mergeCell ref="A648:A649"/>
    <mergeCell ref="B648:B649"/>
    <mergeCell ref="A650:C650"/>
    <mergeCell ref="A651:A684"/>
    <mergeCell ref="B651:B660"/>
    <mergeCell ref="B661:B678"/>
    <mergeCell ref="B679:B684"/>
    <mergeCell ref="A755:A756"/>
    <mergeCell ref="B755:B756"/>
    <mergeCell ref="A757:C757"/>
    <mergeCell ref="A758:A795"/>
    <mergeCell ref="B758:B762"/>
    <mergeCell ref="B763:B782"/>
    <mergeCell ref="B783:B795"/>
    <mergeCell ref="A712:A713"/>
    <mergeCell ref="B712:B713"/>
    <mergeCell ref="A714:C714"/>
    <mergeCell ref="A715:A754"/>
    <mergeCell ref="B716:B724"/>
    <mergeCell ref="B725:B748"/>
    <mergeCell ref="B749:B754"/>
    <mergeCell ref="A820:A821"/>
    <mergeCell ref="B820:B821"/>
    <mergeCell ref="A822:C822"/>
    <mergeCell ref="A823:C823"/>
    <mergeCell ref="A829:B877"/>
    <mergeCell ref="A796:A797"/>
    <mergeCell ref="B796:B797"/>
    <mergeCell ref="A798:C798"/>
    <mergeCell ref="A799:A819"/>
    <mergeCell ref="B800:B816"/>
    <mergeCell ref="B817:B819"/>
  </mergeCells>
  <pageMargins left="0.70866141732283472" right="0.70866141732283472" top="0.74803149606299213" bottom="0.74803149606299213" header="0.31496062992125984" footer="0.31496062992125984"/>
  <pageSetup paperSize="9" scale="40" orientation="portrait" r:id="rId1"/>
  <rowBreaks count="9" manualBreakCount="9">
    <brk id="107" max="16383" man="1"/>
    <brk id="224" max="16383" man="1"/>
    <brk id="325" max="16383" man="1"/>
    <brk id="423" max="16383" man="1"/>
    <brk id="510" max="16383" man="1"/>
    <brk id="615" max="16383" man="1"/>
    <brk id="714" max="16383" man="1"/>
    <brk id="823" max="16383" man="1"/>
    <brk id="87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2020.05.31.</vt:lpstr>
      <vt:lpstr>'2020.05.31.'!Nyomtatási_cím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2020-09-14T12:46:01Z</dcterms:modified>
</cp:coreProperties>
</file>