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ILDIKÓ-BARBI\ELŐIRÁNYZATOK_\KKTÖT ELŐIR MÓD 2008-2019\2020\Előirányzat módosítás (1A)\szeptember 25-i előterjesztéshez\"/>
    </mc:Choice>
  </mc:AlternateContent>
  <xr:revisionPtr revIDLastSave="0" documentId="13_ncr:1_{C8CD572A-3B57-4288-9719-41D79A4847CC}" xr6:coauthVersionLast="45" xr6:coauthVersionMax="45" xr10:uidLastSave="{00000000-0000-0000-0000-000000000000}"/>
  <bookViews>
    <workbookView xWindow="-120" yWindow="-120" windowWidth="21840" windowHeight="13140" tabRatio="725" xr2:uid="{00000000-000D-0000-FFFF-FFFF00000000}"/>
  </bookViews>
  <sheets>
    <sheet name="2020." sheetId="27" r:id="rId1"/>
  </sheets>
  <definedNames>
    <definedName name="_xlnm._FilterDatabase" localSheetId="0" hidden="1">'2020.'!$A$5:$Q$5</definedName>
    <definedName name="_xlnm.Print_Area" localSheetId="0">'2020.'!$A$1:$Q$246</definedName>
  </definedNames>
  <calcPr calcId="181029"/>
</workbook>
</file>

<file path=xl/calcChain.xml><?xml version="1.0" encoding="utf-8"?>
<calcChain xmlns="http://schemas.openxmlformats.org/spreadsheetml/2006/main">
  <c r="F185" i="27" l="1"/>
  <c r="F187" i="27"/>
  <c r="F186" i="27"/>
  <c r="F170" i="27"/>
  <c r="F169" i="27"/>
  <c r="F197" i="27"/>
  <c r="F196" i="27"/>
  <c r="F212" i="27" l="1"/>
  <c r="F211" i="27"/>
  <c r="H113" i="27" l="1"/>
  <c r="H114" i="27"/>
  <c r="H115" i="27"/>
  <c r="H116" i="27"/>
  <c r="H126" i="27" s="1"/>
  <c r="H117" i="27"/>
  <c r="H118" i="27"/>
  <c r="H119" i="27"/>
  <c r="H120" i="27"/>
  <c r="H121" i="27"/>
  <c r="H122" i="27"/>
  <c r="H123" i="27"/>
  <c r="H124" i="27"/>
  <c r="H125" i="27"/>
  <c r="H127" i="27"/>
  <c r="H128" i="27"/>
  <c r="H129" i="27"/>
  <c r="H130" i="27"/>
  <c r="H131" i="27"/>
  <c r="H132" i="27"/>
  <c r="H133" i="27"/>
  <c r="H134" i="27"/>
  <c r="H135" i="27"/>
  <c r="H136" i="27"/>
  <c r="H137" i="27"/>
  <c r="H138" i="27"/>
  <c r="H139" i="27"/>
  <c r="H140" i="27"/>
  <c r="H141" i="27"/>
  <c r="H142" i="27"/>
  <c r="H143" i="27"/>
  <c r="H144" i="27"/>
  <c r="H145" i="27"/>
  <c r="H146" i="27"/>
  <c r="H147" i="27"/>
  <c r="H148" i="27"/>
  <c r="H149" i="27"/>
  <c r="H150" i="27"/>
  <c r="H151" i="27"/>
  <c r="H152" i="27"/>
  <c r="H153" i="27"/>
  <c r="H154" i="27"/>
  <c r="H155" i="27"/>
  <c r="H156" i="27"/>
  <c r="H157" i="27"/>
  <c r="H158" i="27"/>
  <c r="H159" i="27"/>
  <c r="H160" i="27"/>
  <c r="O107" i="27"/>
  <c r="O67" i="27"/>
  <c r="O66" i="27"/>
  <c r="O61" i="27"/>
  <c r="O57" i="27"/>
  <c r="O54" i="27"/>
  <c r="O51" i="27"/>
  <c r="O28" i="27"/>
  <c r="O6" i="27"/>
  <c r="H90" i="27"/>
  <c r="H100" i="27"/>
  <c r="H66" i="27"/>
  <c r="H107" i="27" s="1"/>
  <c r="H80" i="27"/>
  <c r="H84" i="27"/>
  <c r="H87" i="27"/>
  <c r="H60" i="27"/>
  <c r="H57" i="27"/>
  <c r="H28" i="27"/>
  <c r="H6" i="27"/>
  <c r="F224" i="27" l="1"/>
  <c r="L113" i="27" l="1"/>
  <c r="L114" i="27"/>
  <c r="L115" i="27"/>
  <c r="L116" i="27"/>
  <c r="L117" i="27"/>
  <c r="L118" i="27"/>
  <c r="L119" i="27"/>
  <c r="L120" i="27"/>
  <c r="L121" i="27"/>
  <c r="L122" i="27"/>
  <c r="L123" i="27"/>
  <c r="L124" i="27"/>
  <c r="L125" i="27"/>
  <c r="L126" i="27"/>
  <c r="L127" i="27"/>
  <c r="L128" i="27"/>
  <c r="L129" i="27"/>
  <c r="L130" i="27"/>
  <c r="L131" i="27"/>
  <c r="L132" i="27"/>
  <c r="L133" i="27"/>
  <c r="L134" i="27"/>
  <c r="L136" i="27"/>
  <c r="L137" i="27"/>
  <c r="L138" i="27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1" i="27"/>
  <c r="L153" i="27"/>
  <c r="L154" i="27"/>
  <c r="L155" i="27"/>
  <c r="L157" i="27"/>
  <c r="L158" i="27"/>
  <c r="L160" i="27"/>
  <c r="O42" i="27"/>
  <c r="O33" i="27"/>
  <c r="L100" i="27"/>
  <c r="L90" i="27"/>
  <c r="L87" i="27"/>
  <c r="L159" i="27" s="1"/>
  <c r="L84" i="27"/>
  <c r="L80" i="27"/>
  <c r="L66" i="27"/>
  <c r="L60" i="27"/>
  <c r="L156" i="27" s="1"/>
  <c r="M60" i="27"/>
  <c r="L57" i="27"/>
  <c r="L152" i="27" s="1"/>
  <c r="L42" i="27"/>
  <c r="L41" i="27"/>
  <c r="L33" i="27"/>
  <c r="L31" i="27"/>
  <c r="L135" i="27" s="1"/>
  <c r="L28" i="27"/>
  <c r="M16" i="27"/>
  <c r="M22" i="27"/>
  <c r="L27" i="27"/>
  <c r="M27" i="27"/>
  <c r="L22" i="27"/>
  <c r="L16" i="27"/>
  <c r="L107" i="27" l="1"/>
  <c r="E51" i="27"/>
  <c r="E45" i="27"/>
  <c r="E76" i="27"/>
  <c r="E46" i="27"/>
  <c r="E71" i="27"/>
  <c r="M157" i="27" l="1"/>
  <c r="M158" i="27"/>
  <c r="M153" i="27"/>
  <c r="M154" i="27"/>
  <c r="M155" i="27"/>
  <c r="M137" i="27"/>
  <c r="M138" i="27"/>
  <c r="M139" i="27"/>
  <c r="M140" i="27"/>
  <c r="M141" i="27"/>
  <c r="M142" i="27"/>
  <c r="M143" i="27"/>
  <c r="M144" i="27"/>
  <c r="M145" i="27"/>
  <c r="M146" i="27"/>
  <c r="M147" i="27"/>
  <c r="M148" i="27"/>
  <c r="M149" i="27"/>
  <c r="M150" i="27"/>
  <c r="M151" i="27"/>
  <c r="M127" i="27"/>
  <c r="M128" i="27"/>
  <c r="M129" i="27"/>
  <c r="M130" i="27"/>
  <c r="M131" i="27"/>
  <c r="M132" i="27"/>
  <c r="M133" i="27"/>
  <c r="M134" i="27"/>
  <c r="M114" i="27"/>
  <c r="M115" i="27"/>
  <c r="M116" i="27"/>
  <c r="M117" i="27"/>
  <c r="M118" i="27"/>
  <c r="M119" i="27"/>
  <c r="M120" i="27"/>
  <c r="M121" i="27"/>
  <c r="M122" i="27"/>
  <c r="M123" i="27"/>
  <c r="M124" i="27"/>
  <c r="M136" i="27"/>
  <c r="M125" i="27"/>
  <c r="M100" i="27"/>
  <c r="M90" i="27"/>
  <c r="M87" i="27"/>
  <c r="M159" i="27" s="1"/>
  <c r="M84" i="27"/>
  <c r="M156" i="27" s="1"/>
  <c r="M80" i="27"/>
  <c r="M66" i="27"/>
  <c r="M31" i="27"/>
  <c r="M41" i="27"/>
  <c r="M57" i="27"/>
  <c r="M152" i="27" s="1"/>
  <c r="M113" i="27"/>
  <c r="M135" i="27" l="1"/>
  <c r="M126" i="27"/>
  <c r="M28" i="27"/>
  <c r="M107" i="27"/>
  <c r="M160" i="27"/>
  <c r="F214" i="27"/>
  <c r="E78" i="27"/>
  <c r="E70" i="27"/>
  <c r="F245" i="27" l="1"/>
  <c r="F244" i="27"/>
  <c r="F243" i="27"/>
  <c r="F239" i="27"/>
  <c r="F231" i="27"/>
  <c r="F229" i="27"/>
  <c r="F228" i="27"/>
  <c r="F227" i="27"/>
  <c r="F225" i="27"/>
  <c r="F230" i="27"/>
  <c r="F241" i="27"/>
  <c r="F168" i="27"/>
  <c r="F223" i="27" s="1"/>
  <c r="F203" i="27" l="1"/>
  <c r="K8" i="27"/>
  <c r="O8" i="27" s="1"/>
  <c r="J8" i="27"/>
  <c r="E56" i="27"/>
  <c r="O40" i="27"/>
  <c r="O39" i="27"/>
  <c r="O38" i="27"/>
  <c r="O37" i="27"/>
  <c r="O36" i="27"/>
  <c r="O35" i="27"/>
  <c r="O34" i="27"/>
  <c r="D84" i="27"/>
  <c r="E84" i="27"/>
  <c r="F84" i="27"/>
  <c r="G84" i="27"/>
  <c r="I84" i="27"/>
  <c r="J84" i="27"/>
  <c r="K84" i="27"/>
  <c r="N84" i="27"/>
  <c r="P149" i="27" l="1"/>
  <c r="E153" i="27"/>
  <c r="F153" i="27"/>
  <c r="G153" i="27"/>
  <c r="I153" i="27"/>
  <c r="J153" i="27"/>
  <c r="K153" i="27"/>
  <c r="N153" i="27"/>
  <c r="P153" i="27"/>
  <c r="D153" i="27"/>
  <c r="F232" i="27" l="1"/>
  <c r="F177" i="27"/>
  <c r="O65" i="27"/>
  <c r="P123" i="27" l="1"/>
  <c r="D66" i="27" l="1"/>
  <c r="D80" i="27"/>
  <c r="D60" i="27"/>
  <c r="D156" i="27" s="1"/>
  <c r="D57" i="27"/>
  <c r="E41" i="27"/>
  <c r="D41" i="27"/>
  <c r="D31" i="27"/>
  <c r="D22" i="27"/>
  <c r="D16" i="27"/>
  <c r="D113" i="27"/>
  <c r="D114" i="27"/>
  <c r="D115" i="27"/>
  <c r="D116" i="27"/>
  <c r="D117" i="27"/>
  <c r="D118" i="27"/>
  <c r="D119" i="27"/>
  <c r="D120" i="27"/>
  <c r="D121" i="27"/>
  <c r="D122" i="27"/>
  <c r="D123" i="27"/>
  <c r="D124" i="27"/>
  <c r="D127" i="27"/>
  <c r="D128" i="27"/>
  <c r="D129" i="27"/>
  <c r="D130" i="27"/>
  <c r="D131" i="27"/>
  <c r="D132" i="27"/>
  <c r="D133" i="27"/>
  <c r="D134" i="27"/>
  <c r="D136" i="27"/>
  <c r="D137" i="27"/>
  <c r="D138" i="27"/>
  <c r="D139" i="27"/>
  <c r="D140" i="27"/>
  <c r="D141" i="27"/>
  <c r="D142" i="27"/>
  <c r="D143" i="27"/>
  <c r="D144" i="27"/>
  <c r="D145" i="27"/>
  <c r="D146" i="27"/>
  <c r="D147" i="27"/>
  <c r="D148" i="27"/>
  <c r="D149" i="27"/>
  <c r="D150" i="27"/>
  <c r="D151" i="27"/>
  <c r="D154" i="27"/>
  <c r="D155" i="27"/>
  <c r="D157" i="27"/>
  <c r="D158" i="27"/>
  <c r="D159" i="27"/>
  <c r="D152" i="27" l="1"/>
  <c r="D107" i="27"/>
  <c r="D135" i="27"/>
  <c r="D125" i="27"/>
  <c r="D28" i="27"/>
  <c r="D126" i="27"/>
  <c r="D160" i="27"/>
  <c r="G113" i="27" l="1"/>
  <c r="I113" i="27"/>
  <c r="J113" i="27"/>
  <c r="G114" i="27"/>
  <c r="I114" i="27"/>
  <c r="J114" i="27"/>
  <c r="G115" i="27"/>
  <c r="I115" i="27"/>
  <c r="J115" i="27"/>
  <c r="G116" i="27"/>
  <c r="I116" i="27"/>
  <c r="J116" i="27"/>
  <c r="G117" i="27"/>
  <c r="I117" i="27"/>
  <c r="J117" i="27"/>
  <c r="G118" i="27"/>
  <c r="I118" i="27"/>
  <c r="J118" i="27"/>
  <c r="G119" i="27"/>
  <c r="I119" i="27"/>
  <c r="J119" i="27"/>
  <c r="G120" i="27"/>
  <c r="I120" i="27"/>
  <c r="J120" i="27"/>
  <c r="G121" i="27"/>
  <c r="I121" i="27"/>
  <c r="J121" i="27"/>
  <c r="G122" i="27"/>
  <c r="I122" i="27"/>
  <c r="J122" i="27"/>
  <c r="G123" i="27"/>
  <c r="I123" i="27"/>
  <c r="J123" i="27"/>
  <c r="G124" i="27"/>
  <c r="I124" i="27"/>
  <c r="J124" i="27"/>
  <c r="G127" i="27"/>
  <c r="I127" i="27"/>
  <c r="J127" i="27"/>
  <c r="G128" i="27"/>
  <c r="I128" i="27"/>
  <c r="J128" i="27"/>
  <c r="G129" i="27"/>
  <c r="I129" i="27"/>
  <c r="J129" i="27"/>
  <c r="G130" i="27"/>
  <c r="I130" i="27"/>
  <c r="J130" i="27"/>
  <c r="G131" i="27"/>
  <c r="I131" i="27"/>
  <c r="J131" i="27"/>
  <c r="G132" i="27"/>
  <c r="I132" i="27"/>
  <c r="J132" i="27"/>
  <c r="G133" i="27"/>
  <c r="I133" i="27"/>
  <c r="J133" i="27"/>
  <c r="G134" i="27"/>
  <c r="I134" i="27"/>
  <c r="J134" i="27"/>
  <c r="G136" i="27"/>
  <c r="I136" i="27"/>
  <c r="J136" i="27"/>
  <c r="G137" i="27"/>
  <c r="I137" i="27"/>
  <c r="J137" i="27"/>
  <c r="G138" i="27"/>
  <c r="I138" i="27"/>
  <c r="J138" i="27"/>
  <c r="G139" i="27"/>
  <c r="I139" i="27"/>
  <c r="J139" i="27"/>
  <c r="G140" i="27"/>
  <c r="I140" i="27"/>
  <c r="J140" i="27"/>
  <c r="G141" i="27"/>
  <c r="I141" i="27"/>
  <c r="J141" i="27"/>
  <c r="G142" i="27"/>
  <c r="I142" i="27"/>
  <c r="J142" i="27"/>
  <c r="G143" i="27"/>
  <c r="I143" i="27"/>
  <c r="J143" i="27"/>
  <c r="G144" i="27"/>
  <c r="I144" i="27"/>
  <c r="J144" i="27"/>
  <c r="G145" i="27"/>
  <c r="I145" i="27"/>
  <c r="J145" i="27"/>
  <c r="G146" i="27"/>
  <c r="I146" i="27"/>
  <c r="J146" i="27"/>
  <c r="G147" i="27"/>
  <c r="I147" i="27"/>
  <c r="J147" i="27"/>
  <c r="G148" i="27"/>
  <c r="I148" i="27"/>
  <c r="J148" i="27"/>
  <c r="G149" i="27"/>
  <c r="I149" i="27"/>
  <c r="J149" i="27"/>
  <c r="G150" i="27"/>
  <c r="I150" i="27"/>
  <c r="J150" i="27"/>
  <c r="G151" i="27"/>
  <c r="I151" i="27"/>
  <c r="J151" i="27"/>
  <c r="G154" i="27"/>
  <c r="I154" i="27"/>
  <c r="J154" i="27"/>
  <c r="G155" i="27"/>
  <c r="I155" i="27"/>
  <c r="J155" i="27"/>
  <c r="G157" i="27"/>
  <c r="I157" i="27"/>
  <c r="J157" i="27"/>
  <c r="G158" i="27"/>
  <c r="I158" i="27"/>
  <c r="J158" i="27"/>
  <c r="P22" i="27"/>
  <c r="O32" i="27"/>
  <c r="O29" i="27"/>
  <c r="O48" i="27"/>
  <c r="G100" i="27"/>
  <c r="I100" i="27"/>
  <c r="G90" i="27"/>
  <c r="I90" i="27"/>
  <c r="G80" i="27"/>
  <c r="I80" i="27"/>
  <c r="G87" i="27"/>
  <c r="G159" i="27" s="1"/>
  <c r="I87" i="27"/>
  <c r="I159" i="27" s="1"/>
  <c r="G66" i="27"/>
  <c r="I66" i="27"/>
  <c r="G57" i="27"/>
  <c r="I57" i="27"/>
  <c r="I152" i="27" s="1"/>
  <c r="G60" i="27"/>
  <c r="I60" i="27"/>
  <c r="I156" i="27" s="1"/>
  <c r="G41" i="27"/>
  <c r="I41" i="27"/>
  <c r="G31" i="27"/>
  <c r="I31" i="27"/>
  <c r="J31" i="27"/>
  <c r="G27" i="27"/>
  <c r="I27" i="27"/>
  <c r="J27" i="27"/>
  <c r="G22" i="27"/>
  <c r="I22" i="27"/>
  <c r="J22" i="27"/>
  <c r="G16" i="27"/>
  <c r="I16" i="27"/>
  <c r="J16" i="27"/>
  <c r="J100" i="27"/>
  <c r="J90" i="27"/>
  <c r="J87" i="27"/>
  <c r="J159" i="27" s="1"/>
  <c r="J80" i="27"/>
  <c r="J66" i="27"/>
  <c r="J57" i="27"/>
  <c r="J60" i="27"/>
  <c r="J156" i="27" s="1"/>
  <c r="J41" i="27"/>
  <c r="G156" i="27" l="1"/>
  <c r="G152" i="27"/>
  <c r="J152" i="27"/>
  <c r="J28" i="27"/>
  <c r="I28" i="27"/>
  <c r="I160" i="27"/>
  <c r="I135" i="27"/>
  <c r="G28" i="27"/>
  <c r="J107" i="27"/>
  <c r="G107" i="27"/>
  <c r="G135" i="27"/>
  <c r="G126" i="27"/>
  <c r="J135" i="27"/>
  <c r="I125" i="27"/>
  <c r="I107" i="27"/>
  <c r="J125" i="27"/>
  <c r="G125" i="27"/>
  <c r="G160" i="27"/>
  <c r="J160" i="27"/>
  <c r="J126" i="27"/>
  <c r="I126" i="27"/>
  <c r="P158" i="27"/>
  <c r="N158" i="27"/>
  <c r="K158" i="27"/>
  <c r="F158" i="27"/>
  <c r="E158" i="27"/>
  <c r="P157" i="27"/>
  <c r="N157" i="27"/>
  <c r="K157" i="27"/>
  <c r="F157" i="27"/>
  <c r="E157" i="27"/>
  <c r="P155" i="27"/>
  <c r="N155" i="27"/>
  <c r="K155" i="27"/>
  <c r="F155" i="27"/>
  <c r="E155" i="27"/>
  <c r="P154" i="27"/>
  <c r="N154" i="27"/>
  <c r="K154" i="27"/>
  <c r="F154" i="27"/>
  <c r="E154" i="27"/>
  <c r="P151" i="27"/>
  <c r="N151" i="27"/>
  <c r="K151" i="27"/>
  <c r="F151" i="27"/>
  <c r="E151" i="27"/>
  <c r="P150" i="27"/>
  <c r="N150" i="27"/>
  <c r="K150" i="27"/>
  <c r="F150" i="27"/>
  <c r="E150" i="27"/>
  <c r="N149" i="27"/>
  <c r="K149" i="27"/>
  <c r="F149" i="27"/>
  <c r="E149" i="27"/>
  <c r="P148" i="27"/>
  <c r="N148" i="27"/>
  <c r="K148" i="27"/>
  <c r="F148" i="27"/>
  <c r="E148" i="27"/>
  <c r="P147" i="27"/>
  <c r="N147" i="27"/>
  <c r="K147" i="27"/>
  <c r="F147" i="27"/>
  <c r="E147" i="27"/>
  <c r="P146" i="27"/>
  <c r="N146" i="27"/>
  <c r="K146" i="27"/>
  <c r="F146" i="27"/>
  <c r="E146" i="27"/>
  <c r="P145" i="27"/>
  <c r="N145" i="27"/>
  <c r="K145" i="27"/>
  <c r="F145" i="27"/>
  <c r="E145" i="27"/>
  <c r="P144" i="27"/>
  <c r="N144" i="27"/>
  <c r="K144" i="27"/>
  <c r="F144" i="27"/>
  <c r="E144" i="27"/>
  <c r="P143" i="27"/>
  <c r="N143" i="27"/>
  <c r="K143" i="27"/>
  <c r="F143" i="27"/>
  <c r="E143" i="27"/>
  <c r="P142" i="27"/>
  <c r="N142" i="27"/>
  <c r="K142" i="27"/>
  <c r="F142" i="27"/>
  <c r="P141" i="27"/>
  <c r="N141" i="27"/>
  <c r="K141" i="27"/>
  <c r="F141" i="27"/>
  <c r="E141" i="27"/>
  <c r="P140" i="27"/>
  <c r="N140" i="27"/>
  <c r="K140" i="27"/>
  <c r="F140" i="27"/>
  <c r="E140" i="27"/>
  <c r="P139" i="27"/>
  <c r="N139" i="27"/>
  <c r="K139" i="27"/>
  <c r="F139" i="27"/>
  <c r="E139" i="27"/>
  <c r="P138" i="27"/>
  <c r="N138" i="27"/>
  <c r="K138" i="27"/>
  <c r="F138" i="27"/>
  <c r="E138" i="27"/>
  <c r="P137" i="27"/>
  <c r="N137" i="27"/>
  <c r="K137" i="27"/>
  <c r="F137" i="27"/>
  <c r="E137" i="27"/>
  <c r="P136" i="27"/>
  <c r="N136" i="27"/>
  <c r="K136" i="27"/>
  <c r="F136" i="27"/>
  <c r="E136" i="27"/>
  <c r="P134" i="27"/>
  <c r="N134" i="27"/>
  <c r="K134" i="27"/>
  <c r="F134" i="27"/>
  <c r="E134" i="27"/>
  <c r="P133" i="27"/>
  <c r="N133" i="27"/>
  <c r="K133" i="27"/>
  <c r="F133" i="27"/>
  <c r="E133" i="27"/>
  <c r="P132" i="27"/>
  <c r="N132" i="27"/>
  <c r="K132" i="27"/>
  <c r="F132" i="27"/>
  <c r="E132" i="27"/>
  <c r="P131" i="27"/>
  <c r="N131" i="27"/>
  <c r="K131" i="27"/>
  <c r="F131" i="27"/>
  <c r="E131" i="27"/>
  <c r="P130" i="27"/>
  <c r="N130" i="27"/>
  <c r="K130" i="27"/>
  <c r="F130" i="27"/>
  <c r="E130" i="27"/>
  <c r="P129" i="27"/>
  <c r="N129" i="27"/>
  <c r="K129" i="27"/>
  <c r="F129" i="27"/>
  <c r="E129" i="27"/>
  <c r="P128" i="27"/>
  <c r="N128" i="27"/>
  <c r="K128" i="27"/>
  <c r="F128" i="27"/>
  <c r="E128" i="27"/>
  <c r="P127" i="27"/>
  <c r="N127" i="27"/>
  <c r="K127" i="27"/>
  <c r="F127" i="27"/>
  <c r="E127" i="27"/>
  <c r="P124" i="27"/>
  <c r="N124" i="27"/>
  <c r="K124" i="27"/>
  <c r="F124" i="27"/>
  <c r="E124" i="27"/>
  <c r="N123" i="27"/>
  <c r="K123" i="27"/>
  <c r="F123" i="27"/>
  <c r="E123" i="27"/>
  <c r="P122" i="27"/>
  <c r="N122" i="27"/>
  <c r="K122" i="27"/>
  <c r="F122" i="27"/>
  <c r="E122" i="27"/>
  <c r="P121" i="27"/>
  <c r="N121" i="27"/>
  <c r="K121" i="27"/>
  <c r="F121" i="27"/>
  <c r="E121" i="27"/>
  <c r="P120" i="27"/>
  <c r="N120" i="27"/>
  <c r="K120" i="27"/>
  <c r="F120" i="27"/>
  <c r="E120" i="27"/>
  <c r="P119" i="27"/>
  <c r="N119" i="27"/>
  <c r="K119" i="27"/>
  <c r="F119" i="27"/>
  <c r="E119" i="27"/>
  <c r="P118" i="27"/>
  <c r="N118" i="27"/>
  <c r="K118" i="27"/>
  <c r="F118" i="27"/>
  <c r="E118" i="27"/>
  <c r="P117" i="27"/>
  <c r="N117" i="27"/>
  <c r="K117" i="27"/>
  <c r="F117" i="27"/>
  <c r="E117" i="27"/>
  <c r="P116" i="27"/>
  <c r="N116" i="27"/>
  <c r="K116" i="27"/>
  <c r="F116" i="27"/>
  <c r="E116" i="27"/>
  <c r="P115" i="27"/>
  <c r="N115" i="27"/>
  <c r="K115" i="27"/>
  <c r="F115" i="27"/>
  <c r="E115" i="27"/>
  <c r="P114" i="27"/>
  <c r="N114" i="27"/>
  <c r="K114" i="27"/>
  <c r="F114" i="27"/>
  <c r="E114" i="27"/>
  <c r="P113" i="27"/>
  <c r="N113" i="27"/>
  <c r="K113" i="27"/>
  <c r="F113" i="27"/>
  <c r="E113" i="27"/>
  <c r="O106" i="27"/>
  <c r="Q106" i="27" s="1"/>
  <c r="O105" i="27"/>
  <c r="Q105" i="27" s="1"/>
  <c r="O104" i="27"/>
  <c r="Q104" i="27" s="1"/>
  <c r="O103" i="27"/>
  <c r="Q103" i="27" s="1"/>
  <c r="O102" i="27"/>
  <c r="Q102" i="27" s="1"/>
  <c r="O101" i="27"/>
  <c r="Q101" i="27" s="1"/>
  <c r="P100" i="27"/>
  <c r="N100" i="27"/>
  <c r="K100" i="27"/>
  <c r="F100" i="27"/>
  <c r="E100" i="27"/>
  <c r="O99" i="27"/>
  <c r="Q99" i="27" s="1"/>
  <c r="O98" i="27"/>
  <c r="Q98" i="27" s="1"/>
  <c r="O97" i="27"/>
  <c r="Q97" i="27" s="1"/>
  <c r="O96" i="27"/>
  <c r="Q96" i="27" s="1"/>
  <c r="O95" i="27"/>
  <c r="Q95" i="27" s="1"/>
  <c r="O94" i="27"/>
  <c r="Q94" i="27" s="1"/>
  <c r="O93" i="27"/>
  <c r="Q93" i="27" s="1"/>
  <c r="O92" i="27"/>
  <c r="O91" i="27"/>
  <c r="Q91" i="27" s="1"/>
  <c r="P90" i="27"/>
  <c r="N90" i="27"/>
  <c r="K90" i="27"/>
  <c r="F90" i="27"/>
  <c r="E90" i="27"/>
  <c r="O89" i="27"/>
  <c r="Q89" i="27" s="1"/>
  <c r="O88" i="27"/>
  <c r="P87" i="27"/>
  <c r="P159" i="27" s="1"/>
  <c r="N87" i="27"/>
  <c r="N159" i="27" s="1"/>
  <c r="K87" i="27"/>
  <c r="K159" i="27" s="1"/>
  <c r="F87" i="27"/>
  <c r="F159" i="27" s="1"/>
  <c r="E87" i="27"/>
  <c r="E159" i="27" s="1"/>
  <c r="O86" i="27"/>
  <c r="O158" i="27" s="1"/>
  <c r="O85" i="27"/>
  <c r="O157" i="27" s="1"/>
  <c r="P84" i="27"/>
  <c r="O83" i="27"/>
  <c r="O82" i="27"/>
  <c r="Q82" i="27" s="1"/>
  <c r="O81" i="27"/>
  <c r="O153" i="27" s="1"/>
  <c r="P80" i="27"/>
  <c r="N80" i="27"/>
  <c r="K80" i="27"/>
  <c r="F80" i="27"/>
  <c r="E80" i="27"/>
  <c r="O79" i="27"/>
  <c r="Q79" i="27" s="1"/>
  <c r="O78" i="27"/>
  <c r="Q78" i="27" s="1"/>
  <c r="O77" i="27"/>
  <c r="O76" i="27"/>
  <c r="O75" i="27"/>
  <c r="Q75" i="27" s="1"/>
  <c r="O74" i="27"/>
  <c r="O72" i="27"/>
  <c r="O71" i="27"/>
  <c r="O70" i="27"/>
  <c r="O69" i="27"/>
  <c r="O68" i="27"/>
  <c r="Q68" i="27" s="1"/>
  <c r="Q67" i="27"/>
  <c r="P66" i="27"/>
  <c r="N66" i="27"/>
  <c r="K66" i="27"/>
  <c r="F66" i="27"/>
  <c r="E66" i="27"/>
  <c r="Q65" i="27"/>
  <c r="O64" i="27"/>
  <c r="Q64" i="27" s="1"/>
  <c r="O63" i="27"/>
  <c r="Q63" i="27" s="1"/>
  <c r="O62" i="27"/>
  <c r="Q62" i="27" s="1"/>
  <c r="P60" i="27"/>
  <c r="N60" i="27"/>
  <c r="N156" i="27" s="1"/>
  <c r="K60" i="27"/>
  <c r="K156" i="27" s="1"/>
  <c r="F60" i="27"/>
  <c r="F156" i="27" s="1"/>
  <c r="E60" i="27"/>
  <c r="E156" i="27" s="1"/>
  <c r="O59" i="27"/>
  <c r="Q59" i="27" s="1"/>
  <c r="O58" i="27"/>
  <c r="O154" i="27" s="1"/>
  <c r="P57" i="27"/>
  <c r="N57" i="27"/>
  <c r="K57" i="27"/>
  <c r="F57" i="27"/>
  <c r="E57" i="27"/>
  <c r="O56" i="27"/>
  <c r="Q56" i="27" s="1"/>
  <c r="O55" i="27"/>
  <c r="O150" i="27" s="1"/>
  <c r="Q54" i="27"/>
  <c r="O53" i="27"/>
  <c r="O148" i="27" s="1"/>
  <c r="O52" i="27"/>
  <c r="Q52" i="27" s="1"/>
  <c r="Q51" i="27"/>
  <c r="O50" i="27"/>
  <c r="O145" i="27" s="1"/>
  <c r="O49" i="27"/>
  <c r="O144" i="27" s="1"/>
  <c r="Q48" i="27"/>
  <c r="O47" i="27"/>
  <c r="Q47" i="27" s="1"/>
  <c r="O46" i="27"/>
  <c r="Q46" i="27" s="1"/>
  <c r="O45" i="27"/>
  <c r="Q45" i="27" s="1"/>
  <c r="O44" i="27"/>
  <c r="Q44" i="27" s="1"/>
  <c r="O43" i="27"/>
  <c r="Q42" i="27"/>
  <c r="P41" i="27"/>
  <c r="N41" i="27"/>
  <c r="K41" i="27"/>
  <c r="F41" i="27"/>
  <c r="O134" i="27"/>
  <c r="O131" i="27"/>
  <c r="O128" i="27"/>
  <c r="P31" i="27"/>
  <c r="N31" i="27"/>
  <c r="K31" i="27"/>
  <c r="F31" i="27"/>
  <c r="E31" i="27"/>
  <c r="O30" i="27"/>
  <c r="Q30" i="27" s="1"/>
  <c r="P27" i="27"/>
  <c r="N27" i="27"/>
  <c r="K27" i="27"/>
  <c r="F27" i="27"/>
  <c r="E27" i="27"/>
  <c r="O26" i="27"/>
  <c r="Q26" i="27" s="1"/>
  <c r="O25" i="27"/>
  <c r="Q25" i="27" s="1"/>
  <c r="O24" i="27"/>
  <c r="Q24" i="27" s="1"/>
  <c r="O23" i="27"/>
  <c r="N22" i="27"/>
  <c r="K22" i="27"/>
  <c r="F22" i="27"/>
  <c r="E22" i="27"/>
  <c r="O21" i="27"/>
  <c r="Q21" i="27" s="1"/>
  <c r="O20" i="27"/>
  <c r="Q20" i="27" s="1"/>
  <c r="O19" i="27"/>
  <c r="Q19" i="27" s="1"/>
  <c r="O18" i="27"/>
  <c r="Q18" i="27" s="1"/>
  <c r="O17" i="27"/>
  <c r="P16" i="27"/>
  <c r="N16" i="27"/>
  <c r="K16" i="27"/>
  <c r="F16" i="27"/>
  <c r="E16" i="27"/>
  <c r="O15" i="27"/>
  <c r="Q15" i="27" s="1"/>
  <c r="O14" i="27"/>
  <c r="Q14" i="27" s="1"/>
  <c r="O13" i="27"/>
  <c r="Q13" i="27" s="1"/>
  <c r="O12" i="27"/>
  <c r="Q12" i="27" s="1"/>
  <c r="O11" i="27"/>
  <c r="Q11" i="27" s="1"/>
  <c r="O10" i="27"/>
  <c r="O9" i="27"/>
  <c r="Q9" i="27" s="1"/>
  <c r="Q8" i="27"/>
  <c r="O7" i="27"/>
  <c r="Q7" i="27" s="1"/>
  <c r="Q6" i="27"/>
  <c r="F240" i="27" l="1"/>
  <c r="F213" i="27"/>
  <c r="F217" i="27" s="1"/>
  <c r="P156" i="27"/>
  <c r="P107" i="27"/>
  <c r="P160" i="27"/>
  <c r="O130" i="27"/>
  <c r="P28" i="27"/>
  <c r="O31" i="27"/>
  <c r="O100" i="27"/>
  <c r="K28" i="27"/>
  <c r="F135" i="27"/>
  <c r="K125" i="27"/>
  <c r="E125" i="27"/>
  <c r="N107" i="27"/>
  <c r="F152" i="27"/>
  <c r="N126" i="27"/>
  <c r="Q92" i="27"/>
  <c r="Q100" i="27" s="1"/>
  <c r="F107" i="27"/>
  <c r="E126" i="27"/>
  <c r="F126" i="27"/>
  <c r="K160" i="27"/>
  <c r="N135" i="27"/>
  <c r="N152" i="27"/>
  <c r="K126" i="27"/>
  <c r="P152" i="27"/>
  <c r="P135" i="27"/>
  <c r="F160" i="27"/>
  <c r="N160" i="27"/>
  <c r="Q29" i="27"/>
  <c r="Q31" i="27" s="1"/>
  <c r="O136" i="27"/>
  <c r="O132" i="27"/>
  <c r="Q43" i="27"/>
  <c r="Q49" i="27"/>
  <c r="Q50" i="27"/>
  <c r="Q53" i="27"/>
  <c r="Q55" i="27"/>
  <c r="O147" i="27"/>
  <c r="O127" i="27"/>
  <c r="O41" i="27"/>
  <c r="O129" i="27"/>
  <c r="O133" i="27"/>
  <c r="O137" i="27"/>
  <c r="O151" i="27"/>
  <c r="Q61" i="27"/>
  <c r="Q66" i="27" s="1"/>
  <c r="O143" i="27"/>
  <c r="O146" i="27"/>
  <c r="O84" i="27"/>
  <c r="O155" i="27"/>
  <c r="Q85" i="27"/>
  <c r="Q86" i="27"/>
  <c r="O87" i="27"/>
  <c r="O159" i="27" s="1"/>
  <c r="O90" i="27"/>
  <c r="O149" i="27"/>
  <c r="Q32" i="27"/>
  <c r="Q33" i="27"/>
  <c r="Q34" i="27"/>
  <c r="Q35" i="27"/>
  <c r="Q36" i="27"/>
  <c r="Q37" i="27"/>
  <c r="Q38" i="27"/>
  <c r="Q39" i="27"/>
  <c r="Q40" i="27"/>
  <c r="Q58" i="27"/>
  <c r="Q60" i="27" s="1"/>
  <c r="O60" i="27"/>
  <c r="Q74" i="27"/>
  <c r="Q76" i="27"/>
  <c r="Q77" i="27"/>
  <c r="Q81" i="27"/>
  <c r="Q83" i="27"/>
  <c r="Q88" i="27"/>
  <c r="Q90" i="27" s="1"/>
  <c r="P126" i="27"/>
  <c r="E28" i="27"/>
  <c r="P125" i="27"/>
  <c r="O27" i="27"/>
  <c r="Q23" i="27"/>
  <c r="Q27" i="27" s="1"/>
  <c r="Q70" i="27"/>
  <c r="O139" i="27"/>
  <c r="Q72" i="27"/>
  <c r="O141" i="27"/>
  <c r="O16" i="27"/>
  <c r="Q10" i="27"/>
  <c r="Q16" i="27" s="1"/>
  <c r="F125" i="27"/>
  <c r="F28" i="27"/>
  <c r="N125" i="27"/>
  <c r="N28" i="27"/>
  <c r="O22" i="27"/>
  <c r="Q17" i="27"/>
  <c r="Q22" i="27" s="1"/>
  <c r="E107" i="27"/>
  <c r="E135" i="27"/>
  <c r="K107" i="27"/>
  <c r="K135" i="27"/>
  <c r="E152" i="27"/>
  <c r="K152" i="27"/>
  <c r="Q69" i="27"/>
  <c r="O138" i="27"/>
  <c r="Q71" i="27"/>
  <c r="O140" i="27"/>
  <c r="O73" i="27"/>
  <c r="E142" i="27"/>
  <c r="E160" i="27" s="1"/>
  <c r="O113" i="27"/>
  <c r="O114" i="27"/>
  <c r="O115" i="27"/>
  <c r="O116" i="27"/>
  <c r="O117" i="27"/>
  <c r="O118" i="27"/>
  <c r="O119" i="27"/>
  <c r="O120" i="27"/>
  <c r="O121" i="27"/>
  <c r="O122" i="27"/>
  <c r="O123" i="27"/>
  <c r="O124" i="27"/>
  <c r="F242" i="27" l="1"/>
  <c r="F246" i="27" s="1"/>
  <c r="F191" i="27"/>
  <c r="O156" i="27"/>
  <c r="O135" i="27"/>
  <c r="Q84" i="27"/>
  <c r="Q87" i="27"/>
  <c r="Q57" i="27"/>
  <c r="Q41" i="27"/>
  <c r="Q28" i="27"/>
  <c r="O126" i="27"/>
  <c r="O142" i="27"/>
  <c r="O160" i="27" s="1"/>
  <c r="Q73" i="27"/>
  <c r="Q80" i="27" s="1"/>
  <c r="O80" i="27"/>
  <c r="O125" i="27"/>
  <c r="Q107" i="27" l="1"/>
  <c r="O152" i="27"/>
</calcChain>
</file>

<file path=xl/sharedStrings.xml><?xml version="1.0" encoding="utf-8"?>
<sst xmlns="http://schemas.openxmlformats.org/spreadsheetml/2006/main" count="272" uniqueCount="117">
  <si>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</si>
  <si>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</si>
  <si>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</si>
  <si>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</si>
  <si>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</si>
  <si>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</si>
  <si>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</si>
  <si>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</si>
  <si>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</si>
  <si>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</si>
  <si>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</si>
  <si>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</si>
  <si>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</si>
  <si>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</si>
  <si>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</si>
  <si>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</si>
  <si>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</si>
  <si>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</si>
  <si>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</si>
  <si>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</si>
  <si>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</si>
  <si>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</si>
  <si>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</si>
  <si>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</si>
  <si>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</si>
  <si>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</si>
  <si>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</si>
  <si>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</si>
  <si>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</si>
  <si>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</si>
  <si>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</si>
  <si>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</si>
  <si>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</si>
  <si>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</si>
  <si>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</si>
  <si>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</si>
  <si>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</si>
  <si>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</si>
  <si>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</si>
  <si>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</si>
  <si>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</si>
  <si>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</si>
  <si>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</si>
  <si>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</si>
  <si>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</si>
  <si>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</si>
  <si>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</si>
  <si>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</si>
  <si>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</si>
  <si>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</si>
  <si>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</si>
  <si>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</si>
  <si>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</si>
  <si>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</si>
  <si>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</si>
  <si>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</si>
  <si>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</si>
  <si>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</si>
  <si>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</si>
  <si>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</si>
  <si>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</si>
  <si>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</si>
  <si>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</si>
  <si>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</si>
  <si>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>B53</t>
  </si>
  <si>
    <t xml:space="preserve">Különbözet (módosított ei. - tény) </t>
  </si>
  <si>
    <t>K.K.T.Ö.T. Szilvási Bölcsőde 2020. év</t>
  </si>
  <si>
    <t>Előirányzat változás</t>
  </si>
  <si>
    <t>K61</t>
  </si>
  <si>
    <t>Tény 08.31.</t>
  </si>
  <si>
    <t>Módosított bevételek</t>
  </si>
  <si>
    <t>B816 Központi irányító szervi támogatás (szoc.ág.)</t>
  </si>
  <si>
    <t>B816 Központi irányító szervi támogatás (normatíva)</t>
  </si>
  <si>
    <t>B16  Műk.c.tám.ért.bev.helyi önkormányzattól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</si>
  <si>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</si>
  <si>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</si>
  <si>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</si>
  <si>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</si>
  <si>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</si>
  <si>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</si>
  <si>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</si>
  <si>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</si>
  <si>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</si>
  <si>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</si>
  <si>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</si>
  <si>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</si>
  <si>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</si>
  <si>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</si>
  <si>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</si>
  <si>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</si>
  <si>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</si>
  <si>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(bérkomp/szoc.ág.)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</si>
  <si>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</si>
  <si>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</si>
  <si>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</si>
  <si>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</si>
  <si>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</si>
  <si>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</si>
  <si>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</si>
  <si>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B816 Központi irányító szervi támogatás (szoc.ág.pótlék)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</si>
  <si>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</si>
  <si>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</si>
  <si>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</si>
  <si>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</si>
  <si>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Módosított ei. 05.31.</t>
  </si>
  <si>
    <t>Módosított ei. 09.30.</t>
  </si>
  <si>
    <t>Kiegészítő normatíva (augusztus)</t>
  </si>
  <si>
    <t>Kiegészítő normatíva (étk.bértámogatás)  (augusztus)</t>
  </si>
  <si>
    <t>Kiegészítő normatíva (bértámogatás) (augusztus)</t>
  </si>
  <si>
    <t>Normatíva változás (májusi felmérés) (augusztus)</t>
  </si>
  <si>
    <t>Normatíva változás (júliusi felmérés) (augusztus)</t>
  </si>
  <si>
    <t>Önkormányzati műk.hj.csökkentése (05-07 havi normativa) (szeptember)</t>
  </si>
  <si>
    <t>Normativa változás (étkezéses normatíva) (szeptember)</t>
  </si>
  <si>
    <t>Önkormányzati műk.hj.csökkentése (kiegészítö.normatíva) (szeptember)</t>
  </si>
  <si>
    <t>Bölcsödei kiegészítő normatíva változás</t>
  </si>
  <si>
    <t>Bölcsödei alap normatíva változás</t>
  </si>
  <si>
    <t>Önk-i műk.hj.csökkentése (kiegészítö.normatíva) (szeptember)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</si>
</sst>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13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2" borderId="0"/>
    <xf numFmtId="43" fontId="8" fillId="2" borderId="0" applyFont="0" applyFill="0" applyBorder="0" applyAlignment="0" applyProtection="0"/>
  </cellStyleXfs>
  <cellXfs count="178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3" borderId="1" xfId="0" applyNumberFormat="1" applyFont="1" applyFill="1" applyBorder="1" applyProtection="1">
      <protection locked="0"/>
    </xf>
    <xf numFmtId="3" fontId="0" fillId="3" borderId="1" xfId="0" applyNumberFormat="1" applyFill="1" applyBorder="1" applyProtection="1">
      <protection locked="0"/>
    </xf>
    <xf numFmtId="3" fontId="0" fillId="3" borderId="0" xfId="0" applyNumberFormat="1" applyFill="1" applyProtection="1">
      <protection locked="0"/>
    </xf>
    <xf numFmtId="0" fontId="0" fillId="3" borderId="1" xfId="0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3" fontId="0" fillId="0" borderId="0" xfId="0" applyNumberFormat="1" applyProtection="1">
      <protection locked="0"/>
    </xf>
    <xf numFmtId="3" fontId="5" fillId="3" borderId="1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3" borderId="4" xfId="0" applyFill="1" applyBorder="1" applyProtection="1">
      <protection locked="0"/>
    </xf>
    <xf numFmtId="3" fontId="2" fillId="0" borderId="4" xfId="0" applyNumberFormat="1" applyFont="1" applyBorder="1" applyProtection="1">
      <protection locked="0"/>
    </xf>
    <xf numFmtId="3" fontId="5" fillId="3" borderId="4" xfId="0" applyNumberFormat="1" applyFont="1" applyFill="1" applyBorder="1" applyProtection="1">
      <protection locked="0"/>
    </xf>
    <xf numFmtId="3" fontId="0" fillId="3" borderId="4" xfId="0" applyNumberFormat="1" applyFill="1" applyBorder="1" applyProtection="1">
      <protection locked="0"/>
    </xf>
    <xf numFmtId="0" fontId="2" fillId="3" borderId="4" xfId="0" applyFont="1" applyFill="1" applyBorder="1" applyProtection="1">
      <protection locked="0"/>
    </xf>
    <xf numFmtId="3" fontId="2" fillId="3" borderId="4" xfId="0" applyNumberFormat="1" applyFont="1" applyFill="1" applyBorder="1" applyProtection="1">
      <protection locked="0"/>
    </xf>
    <xf numFmtId="3" fontId="0" fillId="3" borderId="6" xfId="0" applyNumberFormat="1" applyFill="1" applyBorder="1" applyProtection="1">
      <protection locked="0"/>
    </xf>
    <xf numFmtId="3" fontId="2" fillId="3" borderId="6" xfId="0" applyNumberFormat="1" applyFont="1" applyFill="1" applyBorder="1" applyProtection="1">
      <protection locked="0"/>
    </xf>
    <xf numFmtId="3" fontId="2" fillId="0" borderId="6" xfId="0" applyNumberFormat="1" applyFont="1" applyBorder="1" applyProtection="1">
      <protection locked="0"/>
    </xf>
    <xf numFmtId="3" fontId="5" fillId="3" borderId="6" xfId="0" applyNumberFormat="1" applyFont="1" applyFill="1" applyBorder="1" applyProtection="1">
      <protection locked="0"/>
    </xf>
    <xf numFmtId="0" fontId="2" fillId="3" borderId="6" xfId="0" applyFont="1" applyFill="1" applyBorder="1" applyProtection="1">
      <protection locked="0"/>
    </xf>
    <xf numFmtId="0" fontId="2" fillId="3" borderId="7" xfId="0" applyFont="1" applyFill="1" applyBorder="1" applyProtection="1">
      <protection locked="0"/>
    </xf>
    <xf numFmtId="3" fontId="0" fillId="3" borderId="7" xfId="0" applyNumberFormat="1" applyFill="1" applyBorder="1" applyProtection="1">
      <protection locked="0"/>
    </xf>
    <xf numFmtId="3" fontId="2" fillId="3" borderId="7" xfId="0" applyNumberFormat="1" applyFont="1" applyFill="1" applyBorder="1" applyProtection="1">
      <protection locked="0"/>
    </xf>
    <xf numFmtId="3" fontId="2" fillId="0" borderId="7" xfId="0" applyNumberFormat="1" applyFont="1" applyBorder="1" applyProtection="1">
      <protection locked="0"/>
    </xf>
    <xf numFmtId="3" fontId="0" fillId="3" borderId="2" xfId="0" applyNumberFormat="1" applyFill="1" applyBorder="1" applyProtection="1">
      <protection locked="0"/>
    </xf>
    <xf numFmtId="3" fontId="2" fillId="3" borderId="2" xfId="0" applyNumberFormat="1" applyFont="1" applyFill="1" applyBorder="1" applyProtection="1">
      <protection locked="0"/>
    </xf>
    <xf numFmtId="3" fontId="2" fillId="0" borderId="2" xfId="0" applyNumberFormat="1" applyFont="1" applyBorder="1" applyProtection="1">
      <protection locked="0"/>
    </xf>
    <xf numFmtId="3" fontId="5" fillId="3" borderId="2" xfId="0" applyNumberFormat="1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3" borderId="2" xfId="0" applyFont="1" applyFill="1" applyBorder="1" applyProtection="1">
      <protection locked="0"/>
    </xf>
    <xf numFmtId="3" fontId="5" fillId="0" borderId="2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3" fontId="0" fillId="2" borderId="1" xfId="0" applyNumberFormat="1" applyFill="1" applyBorder="1" applyProtection="1">
      <protection locked="0"/>
    </xf>
    <xf numFmtId="3" fontId="0" fillId="2" borderId="4" xfId="0" applyNumberFormat="1" applyFill="1" applyBorder="1" applyProtection="1">
      <protection locked="0"/>
    </xf>
    <xf numFmtId="3" fontId="0" fillId="2" borderId="6" xfId="0" applyNumberFormat="1" applyFill="1" applyBorder="1" applyProtection="1">
      <protection locked="0"/>
    </xf>
    <xf numFmtId="0" fontId="1" fillId="6" borderId="1" xfId="0" applyFont="1" applyFill="1" applyBorder="1" applyProtection="1">
      <protection locked="0"/>
    </xf>
    <xf numFmtId="3" fontId="6" fillId="6" borderId="1" xfId="0" applyNumberFormat="1" applyFont="1" applyFill="1" applyBorder="1" applyProtection="1">
      <protection locked="0"/>
    </xf>
    <xf numFmtId="0" fontId="6" fillId="6" borderId="1" xfId="0" applyFont="1" applyFill="1" applyBorder="1" applyAlignment="1" applyProtection="1">
      <alignment horizontal="left" vertical="center"/>
      <protection locked="0"/>
    </xf>
    <xf numFmtId="3" fontId="1" fillId="6" borderId="1" xfId="0" applyNumberFormat="1" applyFont="1" applyFill="1" applyBorder="1" applyProtection="1">
      <protection locked="0"/>
    </xf>
    <xf numFmtId="0" fontId="1" fillId="5" borderId="1" xfId="0" applyFont="1" applyFill="1" applyBorder="1" applyProtection="1">
      <protection locked="0"/>
    </xf>
    <xf numFmtId="3" fontId="1" fillId="5" borderId="1" xfId="0" applyNumberFormat="1" applyFont="1" applyFill="1" applyBorder="1" applyProtection="1">
      <protection locked="0"/>
    </xf>
    <xf numFmtId="3" fontId="0" fillId="2" borderId="15" xfId="0" applyNumberFormat="1" applyFill="1" applyBorder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3" fontId="4" fillId="3" borderId="2" xfId="0" applyNumberFormat="1" applyFont="1" applyFill="1" applyBorder="1" applyProtection="1">
      <protection locked="0"/>
    </xf>
    <xf numFmtId="3" fontId="4" fillId="3" borderId="1" xfId="0" applyNumberFormat="1" applyFont="1" applyFill="1" applyBorder="1" applyProtection="1">
      <protection locked="0"/>
    </xf>
    <xf numFmtId="3" fontId="4" fillId="3" borderId="4" xfId="0" applyNumberFormat="1" applyFont="1" applyFill="1" applyBorder="1" applyProtection="1">
      <protection locked="0"/>
    </xf>
    <xf numFmtId="3" fontId="4" fillId="3" borderId="6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1" fillId="7" borderId="6" xfId="0" applyFont="1" applyFill="1" applyBorder="1" applyProtection="1">
      <protection locked="0"/>
    </xf>
    <xf numFmtId="3" fontId="1" fillId="7" borderId="6" xfId="0" applyNumberFormat="1" applyFont="1" applyFill="1" applyBorder="1" applyProtection="1">
      <protection locked="0"/>
    </xf>
    <xf numFmtId="3" fontId="0" fillId="7" borderId="6" xfId="0" applyNumberForma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3" fontId="6" fillId="7" borderId="1" xfId="0" applyNumberFormat="1" applyFont="1" applyFill="1" applyBorder="1" applyProtection="1">
      <protection locked="0"/>
    </xf>
    <xf numFmtId="3" fontId="3" fillId="7" borderId="1" xfId="0" applyNumberFormat="1" applyFont="1" applyFill="1" applyBorder="1" applyProtection="1">
      <protection locked="0"/>
    </xf>
    <xf numFmtId="3" fontId="1" fillId="7" borderId="4" xfId="0" applyNumberFormat="1" applyFont="1" applyFill="1" applyBorder="1" applyProtection="1">
      <protection locked="0"/>
    </xf>
    <xf numFmtId="3" fontId="2" fillId="7" borderId="4" xfId="0" applyNumberFormat="1" applyFont="1" applyFill="1" applyBorder="1" applyProtection="1">
      <protection locked="0"/>
    </xf>
    <xf numFmtId="3" fontId="2" fillId="7" borderId="1" xfId="0" applyNumberFormat="1" applyFont="1" applyFill="1" applyBorder="1" applyProtection="1">
      <protection locked="0"/>
    </xf>
    <xf numFmtId="3" fontId="0" fillId="7" borderId="1" xfId="0" applyNumberFormat="1" applyFill="1" applyBorder="1" applyProtection="1">
      <protection locked="0"/>
    </xf>
    <xf numFmtId="14" fontId="1" fillId="0" borderId="0" xfId="0" applyNumberFormat="1" applyFont="1" applyFill="1" applyBorder="1" applyAlignment="1" applyProtection="1">
      <alignment horizontal="right" vertical="center"/>
      <protection locked="0"/>
    </xf>
    <xf numFmtId="0" fontId="0" fillId="3" borderId="2" xfId="0" applyFill="1" applyBorder="1" applyProtection="1">
      <protection locked="0"/>
    </xf>
    <xf numFmtId="3" fontId="2" fillId="3" borderId="3" xfId="0" applyNumberFormat="1" applyFont="1" applyFill="1" applyBorder="1" applyProtection="1">
      <protection locked="0"/>
    </xf>
    <xf numFmtId="3" fontId="1" fillId="8" borderId="6" xfId="0" applyNumberFormat="1" applyFont="1" applyFill="1" applyBorder="1" applyProtection="1">
      <protection locked="0"/>
    </xf>
    <xf numFmtId="3" fontId="1" fillId="8" borderId="2" xfId="0" applyNumberFormat="1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0" fontId="1" fillId="8" borderId="2" xfId="0" applyFont="1" applyFill="1" applyBorder="1" applyProtection="1">
      <protection locked="0"/>
    </xf>
    <xf numFmtId="0" fontId="1" fillId="8" borderId="1" xfId="0" applyFont="1" applyFill="1" applyBorder="1" applyProtection="1">
      <protection locked="0"/>
    </xf>
    <xf numFmtId="0" fontId="1" fillId="8" borderId="6" xfId="0" applyFont="1" applyFill="1" applyBorder="1" applyProtection="1">
      <protection locked="0"/>
    </xf>
    <xf numFmtId="3" fontId="0" fillId="0" borderId="1" xfId="0" applyNumberFormat="1" applyFill="1" applyBorder="1" applyProtection="1">
      <protection locked="0"/>
    </xf>
    <xf numFmtId="3" fontId="0" fillId="0" borderId="2" xfId="0" applyNumberFormat="1" applyFill="1" applyBorder="1" applyProtection="1">
      <protection locked="0"/>
    </xf>
    <xf numFmtId="3" fontId="4" fillId="0" borderId="1" xfId="0" applyNumberFormat="1" applyFont="1" applyFill="1" applyBorder="1" applyProtection="1">
      <protection locked="0"/>
    </xf>
    <xf numFmtId="3" fontId="10" fillId="3" borderId="1" xfId="0" applyNumberFormat="1" applyFont="1" applyFill="1" applyBorder="1" applyProtection="1">
      <protection locked="0"/>
    </xf>
    <xf numFmtId="3" fontId="10" fillId="3" borderId="4" xfId="0" applyNumberFormat="1" applyFont="1" applyFill="1" applyBorder="1" applyProtection="1">
      <protection locked="0"/>
    </xf>
    <xf numFmtId="3" fontId="0" fillId="0" borderId="4" xfId="0" applyNumberFormat="1" applyFill="1" applyBorder="1" applyProtection="1">
      <protection locked="0"/>
    </xf>
    <xf numFmtId="3" fontId="0" fillId="0" borderId="6" xfId="0" applyNumberFormat="1" applyFill="1" applyBorder="1" applyProtection="1">
      <protection locked="0"/>
    </xf>
    <xf numFmtId="3" fontId="6" fillId="7" borderId="6" xfId="0" applyNumberFormat="1" applyFont="1" applyFill="1" applyBorder="1" applyProtection="1">
      <protection locked="0"/>
    </xf>
    <xf numFmtId="3" fontId="4" fillId="3" borderId="7" xfId="0" applyNumberFormat="1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3" fontId="6" fillId="8" borderId="2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3" fontId="6" fillId="8" borderId="1" xfId="0" applyNumberFormat="1" applyFont="1" applyFill="1" applyBorder="1" applyProtection="1">
      <protection locked="0"/>
    </xf>
    <xf numFmtId="3" fontId="6" fillId="8" borderId="6" xfId="0" applyNumberFormat="1" applyFont="1" applyFill="1" applyBorder="1" applyProtection="1"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165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/>
    <xf numFmtId="0" fontId="12" fillId="0" borderId="5" xfId="0" applyFont="1" applyBorder="1" applyAlignment="1">
      <alignment horizontal="right"/>
    </xf>
    <xf numFmtId="165" fontId="12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165" fontId="1" fillId="0" borderId="5" xfId="0" applyNumberFormat="1" applyFont="1" applyBorder="1" applyAlignment="1">
      <alignment horizontal="right" vertical="center"/>
    </xf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3" fontId="9" fillId="10" borderId="19" xfId="1" applyNumberFormat="1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horizontal="center" vertical="center" wrapText="1"/>
      <protection locked="0"/>
    </xf>
    <xf numFmtId="3" fontId="1" fillId="10" borderId="10" xfId="0" applyNumberFormat="1" applyFont="1" applyFill="1" applyBorder="1" applyAlignment="1" applyProtection="1">
      <alignment vertical="center"/>
      <protection locked="0"/>
    </xf>
    <xf numFmtId="3" fontId="1" fillId="10" borderId="16" xfId="0" applyNumberFormat="1" applyFont="1" applyFill="1" applyBorder="1" applyAlignment="1" applyProtection="1">
      <alignment vertical="center"/>
      <protection locked="0"/>
    </xf>
    <xf numFmtId="3" fontId="1" fillId="10" borderId="16" xfId="0" applyNumberFormat="1" applyFont="1" applyFill="1" applyBorder="1" applyAlignment="1" applyProtection="1">
      <alignment horizontal="right" vertical="center"/>
      <protection locked="0"/>
    </xf>
    <xf numFmtId="0" fontId="6" fillId="10" borderId="1" xfId="0" applyFont="1" applyFill="1" applyBorder="1" applyAlignment="1" applyProtection="1">
      <alignment horizontal="center" vertical="center" wrapText="1"/>
      <protection locked="0"/>
    </xf>
    <xf numFmtId="3" fontId="11" fillId="1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10" borderId="20" xfId="1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left" vertical="center" wrapText="1"/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1" fillId="10" borderId="17" xfId="0" applyFont="1" applyFill="1" applyBorder="1" applyAlignment="1" applyProtection="1">
      <alignment horizontal="right" vertical="center"/>
      <protection locked="0"/>
    </xf>
    <xf numFmtId="0" fontId="1" fillId="10" borderId="9" xfId="0" applyFont="1" applyFill="1" applyBorder="1" applyAlignment="1" applyProtection="1">
      <alignment horizontal="right" vertical="center"/>
      <protection locked="0"/>
    </xf>
    <xf numFmtId="0" fontId="1" fillId="10" borderId="18" xfId="0" applyFont="1" applyFill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0" fillId="4" borderId="3" xfId="0" applyFill="1" applyBorder="1" applyAlignment="1" applyProtection="1">
      <alignment horizontal="left" vertical="center"/>
      <protection locked="0"/>
    </xf>
    <xf numFmtId="0" fontId="1" fillId="10" borderId="11" xfId="0" applyFont="1" applyFill="1" applyBorder="1" applyAlignment="1" applyProtection="1">
      <alignment horizontal="right" vertical="center"/>
      <protection locked="0"/>
    </xf>
    <xf numFmtId="0" fontId="1" fillId="10" borderId="12" xfId="0" applyFont="1" applyFill="1" applyBorder="1" applyAlignment="1" applyProtection="1">
      <alignment horizontal="right" vertical="center"/>
      <protection locked="0"/>
    </xf>
    <xf numFmtId="0" fontId="1" fillId="10" borderId="13" xfId="0" applyFont="1" applyFill="1" applyBorder="1" applyAlignment="1" applyProtection="1">
      <alignment horizontal="righ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left" vertical="center"/>
      <protection locked="0"/>
    </xf>
    <xf numFmtId="0" fontId="1" fillId="9" borderId="14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10" borderId="2" xfId="1" applyFont="1" applyFill="1" applyBorder="1" applyAlignment="1" applyProtection="1">
      <alignment horizontal="center" vertical="center"/>
      <protection locked="0"/>
    </xf>
    <xf numFmtId="0" fontId="1" fillId="10" borderId="3" xfId="1" applyFont="1" applyFill="1" applyBorder="1" applyAlignment="1" applyProtection="1">
      <alignment horizontal="center" vertical="center"/>
      <protection locked="0"/>
    </xf>
    <xf numFmtId="0" fontId="1" fillId="10" borderId="4" xfId="1" applyFont="1" applyFill="1" applyBorder="1" applyAlignment="1" applyProtection="1">
      <alignment horizontal="center" vertical="center"/>
      <protection locked="0"/>
    </xf>
    <xf numFmtId="0" fontId="1" fillId="10" borderId="2" xfId="1" applyFont="1" applyFill="1" applyBorder="1" applyAlignment="1" applyProtection="1">
      <alignment horizontal="left" vertical="center"/>
      <protection locked="0"/>
    </xf>
    <xf numFmtId="0" fontId="1" fillId="10" borderId="3" xfId="1" applyFont="1" applyFill="1" applyBorder="1" applyAlignment="1" applyProtection="1">
      <alignment horizontal="left" vertical="center"/>
      <protection locked="0"/>
    </xf>
    <xf numFmtId="0" fontId="1" fillId="10" borderId="4" xfId="1" applyFont="1" applyFill="1" applyBorder="1" applyAlignment="1" applyProtection="1">
      <alignment horizontal="left" vertical="center"/>
      <protection locked="0"/>
    </xf>
    <xf numFmtId="0" fontId="1" fillId="10" borderId="2" xfId="1" applyFont="1" applyFill="1" applyBorder="1" applyAlignment="1" applyProtection="1">
      <alignment horizontal="center" vertical="center" wrapText="1"/>
      <protection locked="0"/>
    </xf>
    <xf numFmtId="0" fontId="1" fillId="10" borderId="3" xfId="1" applyFont="1" applyFill="1" applyBorder="1" applyAlignment="1" applyProtection="1">
      <alignment horizontal="center" vertical="center" wrapText="1"/>
      <protection locked="0"/>
    </xf>
    <xf numFmtId="0" fontId="1" fillId="10" borderId="4" xfId="1" applyFont="1" applyFill="1" applyBorder="1" applyAlignment="1" applyProtection="1">
      <alignment horizontal="center" vertical="center" wrapText="1"/>
      <protection locked="0"/>
    </xf>
    <xf numFmtId="3" fontId="1" fillId="10" borderId="19" xfId="1" applyNumberFormat="1" applyFont="1" applyFill="1" applyBorder="1" applyAlignment="1" applyProtection="1">
      <alignment horizontal="center" vertical="center"/>
      <protection locked="0"/>
    </xf>
    <xf numFmtId="3" fontId="1" fillId="10" borderId="20" xfId="1" applyNumberFormat="1" applyFont="1" applyFill="1" applyBorder="1" applyAlignment="1" applyProtection="1">
      <alignment horizontal="center" vertical="center"/>
      <protection locked="0"/>
    </xf>
    <xf numFmtId="3" fontId="1" fillId="10" borderId="21" xfId="1" applyNumberFormat="1" applyFont="1" applyFill="1" applyBorder="1" applyAlignment="1" applyProtection="1">
      <alignment horizontal="center" vertical="center"/>
      <protection locked="0"/>
    </xf>
    <xf numFmtId="164" fontId="6" fillId="1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10" borderId="1" xfId="1" applyFont="1" applyFill="1" applyBorder="1" applyAlignment="1" applyProtection="1">
      <alignment horizontal="center" vertical="center" wrapText="1"/>
      <protection locked="0"/>
    </xf>
    <xf numFmtId="3" fontId="9" fillId="10" borderId="23" xfId="1" applyNumberFormat="1" applyFont="1" applyFill="1" applyBorder="1" applyAlignment="1" applyProtection="1">
      <alignment horizontal="center" vertical="center" wrapText="1"/>
      <protection locked="0"/>
    </xf>
    <xf numFmtId="3" fontId="9" fillId="10" borderId="24" xfId="1" applyNumberFormat="1" applyFont="1" applyFill="1" applyBorder="1" applyAlignment="1" applyProtection="1">
      <alignment horizontal="center" vertical="center" wrapText="1"/>
      <protection locked="0"/>
    </xf>
    <xf numFmtId="3" fontId="1" fillId="10" borderId="1" xfId="1" applyNumberFormat="1" applyFont="1" applyFill="1" applyBorder="1" applyAlignment="1" applyProtection="1">
      <alignment horizontal="center" vertical="center"/>
      <protection locked="0"/>
    </xf>
    <xf numFmtId="0" fontId="9" fillId="10" borderId="23" xfId="1" applyFont="1" applyFill="1" applyBorder="1" applyAlignment="1" applyProtection="1">
      <alignment horizontal="center" vertical="center" wrapText="1"/>
      <protection locked="0"/>
    </xf>
    <xf numFmtId="0" fontId="9" fillId="10" borderId="24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10" borderId="25" xfId="1" applyFont="1" applyFill="1" applyBorder="1" applyAlignment="1" applyProtection="1">
      <alignment horizontal="center" vertical="center" wrapText="1"/>
      <protection locked="0"/>
    </xf>
    <xf numFmtId="0" fontId="9" fillId="10" borderId="26" xfId="1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6"/>
  <sheetViews>
    <sheetView tabSelected="1" view="pageBreakPreview" zoomScale="90" zoomScaleNormal="90" zoomScaleSheetLayoutView="90" workbookViewId="0">
      <pane xSplit="3" ySplit="5" topLeftCell="D180" activePane="bottomRight" state="frozen"/>
      <selection pane="topRight" activeCell="D1" sqref="D1"/>
      <selection pane="bottomLeft" activeCell="A5" sqref="A5"/>
      <selection pane="bottomRight" activeCell="F186" sqref="F186"/>
    </sheetView>
  </sheetViews>
  <sheetFormatPr defaultRowHeight="12.75" x14ac:dyDescent="0.2"/>
  <cols>
    <col min="1" max="1" width="35.42578125" style="49" customWidth="1"/>
    <col min="2" max="2" width="7.28515625" customWidth="1"/>
    <col min="3" max="3" width="8.42578125" customWidth="1"/>
    <col min="4" max="4" width="14" customWidth="1"/>
    <col min="5" max="5" width="13.42578125" customWidth="1"/>
    <col min="6" max="6" width="13.5703125" customWidth="1"/>
    <col min="7" max="8" width="12.28515625" customWidth="1"/>
    <col min="9" max="9" width="12.5703125" customWidth="1"/>
    <col min="10" max="11" width="12.28515625" customWidth="1"/>
    <col min="12" max="12" width="13.28515625" customWidth="1"/>
    <col min="13" max="13" width="13.42578125" hidden="1" customWidth="1"/>
    <col min="14" max="14" width="11.7109375" customWidth="1"/>
    <col min="15" max="15" width="14" customWidth="1"/>
    <col min="16" max="16" width="13.28515625" customWidth="1"/>
    <col min="17" max="17" width="12.42578125" customWidth="1"/>
  </cols>
  <sheetData>
    <row r="1" spans="1:17" ht="15.75" customHeight="1" x14ac:dyDescent="0.2">
      <c r="A1" s="148" t="s">
        <v>66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ht="8.25" customHeight="1" x14ac:dyDescent="0.2">
      <c r="A2" s="49" t="s">
        <v>42</v>
      </c>
      <c r="D2" s="1"/>
      <c r="E2" s="1"/>
      <c r="F2" s="1"/>
      <c r="G2" s="1"/>
      <c r="H2" s="1"/>
      <c r="I2" s="1"/>
      <c r="J2" s="1"/>
      <c r="K2" s="4"/>
      <c r="L2" s="4"/>
      <c r="M2" s="4"/>
      <c r="N2" s="4"/>
      <c r="O2" s="1"/>
      <c r="P2" s="1"/>
    </row>
    <row r="3" spans="1:17" ht="12" customHeight="1" x14ac:dyDescent="0.2">
      <c r="A3" s="150" t="s">
        <v>33</v>
      </c>
      <c r="B3" s="153" t="s">
        <v>0</v>
      </c>
      <c r="C3" s="150" t="s">
        <v>34</v>
      </c>
      <c r="D3" s="156" t="s">
        <v>104</v>
      </c>
      <c r="E3" s="159" t="s">
        <v>67</v>
      </c>
      <c r="F3" s="160"/>
      <c r="G3" s="160"/>
      <c r="H3" s="160"/>
      <c r="I3" s="160"/>
      <c r="J3" s="160"/>
      <c r="K3" s="160"/>
      <c r="L3" s="160"/>
      <c r="M3" s="160"/>
      <c r="N3" s="161"/>
      <c r="O3" s="156" t="s">
        <v>105</v>
      </c>
      <c r="P3" s="162" t="s">
        <v>69</v>
      </c>
      <c r="Q3" s="163" t="s">
        <v>65</v>
      </c>
    </row>
    <row r="4" spans="1:17" ht="22.5" customHeight="1" x14ac:dyDescent="0.2">
      <c r="A4" s="151"/>
      <c r="B4" s="154"/>
      <c r="C4" s="151"/>
      <c r="D4" s="157"/>
      <c r="E4" s="164" t="s">
        <v>35</v>
      </c>
      <c r="F4" s="166" t="s">
        <v>114</v>
      </c>
      <c r="G4" s="166"/>
      <c r="H4" s="166"/>
      <c r="I4" s="167" t="s">
        <v>108</v>
      </c>
      <c r="J4" s="166" t="s">
        <v>115</v>
      </c>
      <c r="K4" s="166"/>
      <c r="L4" s="166"/>
      <c r="M4" s="129"/>
      <c r="N4" s="174" t="s">
        <v>112</v>
      </c>
      <c r="O4" s="157"/>
      <c r="P4" s="162"/>
      <c r="Q4" s="163"/>
    </row>
    <row r="5" spans="1:17" ht="82.5" customHeight="1" x14ac:dyDescent="0.2">
      <c r="A5" s="152"/>
      <c r="B5" s="155"/>
      <c r="C5" s="152"/>
      <c r="D5" s="158"/>
      <c r="E5" s="165"/>
      <c r="F5" s="122" t="s">
        <v>106</v>
      </c>
      <c r="G5" s="122" t="s">
        <v>107</v>
      </c>
      <c r="H5" s="122" t="s">
        <v>116</v>
      </c>
      <c r="I5" s="168"/>
      <c r="J5" s="123" t="s">
        <v>109</v>
      </c>
      <c r="K5" s="123" t="s">
        <v>110</v>
      </c>
      <c r="L5" s="123" t="s">
        <v>111</v>
      </c>
      <c r="M5" s="123" t="s">
        <v>113</v>
      </c>
      <c r="N5" s="175"/>
      <c r="O5" s="158"/>
      <c r="P5" s="162"/>
      <c r="Q5" s="163"/>
    </row>
    <row r="6" spans="1:17" x14ac:dyDescent="0.2">
      <c r="A6" s="146" t="s">
        <v>52</v>
      </c>
      <c r="B6" s="147" t="s">
        <v>2</v>
      </c>
      <c r="C6" s="15" t="s">
        <v>1</v>
      </c>
      <c r="D6" s="18">
        <v>17343530</v>
      </c>
      <c r="E6" s="20"/>
      <c r="F6" s="16"/>
      <c r="G6" s="16"/>
      <c r="H6" s="83">
        <f>-4985400-321728</f>
        <v>-5307128</v>
      </c>
      <c r="I6" s="16"/>
      <c r="J6" s="16"/>
      <c r="K6" s="83"/>
      <c r="L6" s="83">
        <v>-2070300</v>
      </c>
      <c r="M6" s="83"/>
      <c r="N6" s="56">
        <v>-2346363</v>
      </c>
      <c r="O6" s="20">
        <f>D6+E6+F6+K6+N6+J6+I6+G6+M6+L6+H6</f>
        <v>7619739</v>
      </c>
      <c r="P6" s="2">
        <v>11268871</v>
      </c>
      <c r="Q6" s="39">
        <f>O6-P6</f>
        <v>-3649132</v>
      </c>
    </row>
    <row r="7" spans="1:17" x14ac:dyDescent="0.2">
      <c r="A7" s="133"/>
      <c r="B7" s="134"/>
      <c r="C7" s="5" t="s">
        <v>3</v>
      </c>
      <c r="D7" s="3">
        <v>16777089</v>
      </c>
      <c r="E7" s="2"/>
      <c r="F7" s="11"/>
      <c r="G7" s="11"/>
      <c r="H7" s="11"/>
      <c r="I7" s="11"/>
      <c r="J7" s="11"/>
      <c r="K7" s="8"/>
      <c r="L7" s="8"/>
      <c r="M7" s="8"/>
      <c r="N7" s="8"/>
      <c r="O7" s="20">
        <f>D7+E7+F7+K7+N7</f>
        <v>16777089</v>
      </c>
      <c r="P7" s="2">
        <v>16777089</v>
      </c>
      <c r="Q7" s="39">
        <f t="shared" ref="Q7:Q15" si="0">O7-P7</f>
        <v>0</v>
      </c>
    </row>
    <row r="8" spans="1:17" x14ac:dyDescent="0.2">
      <c r="A8" s="133"/>
      <c r="B8" s="134"/>
      <c r="C8" s="5" t="s">
        <v>4</v>
      </c>
      <c r="D8" s="30">
        <v>65931868</v>
      </c>
      <c r="E8" s="31"/>
      <c r="F8" s="32">
        <v>4985400</v>
      </c>
      <c r="G8" s="32">
        <v>321728</v>
      </c>
      <c r="H8" s="32"/>
      <c r="I8" s="32">
        <v>1542350</v>
      </c>
      <c r="J8" s="32">
        <f>8390113-1789813</f>
        <v>6600300</v>
      </c>
      <c r="K8" s="54">
        <f>-3973450-556550</f>
        <v>-4530000</v>
      </c>
      <c r="L8" s="54"/>
      <c r="M8" s="54"/>
      <c r="N8" s="54">
        <v>2346363</v>
      </c>
      <c r="O8" s="20">
        <f>D8+E8+F8+K8+N8+J8+G8+I8</f>
        <v>77198009</v>
      </c>
      <c r="P8" s="31">
        <v>37070146</v>
      </c>
      <c r="Q8" s="39">
        <f t="shared" si="0"/>
        <v>40127863</v>
      </c>
    </row>
    <row r="9" spans="1:17" ht="13.5" thickBot="1" x14ac:dyDescent="0.25">
      <c r="A9" s="131"/>
      <c r="B9" s="135"/>
      <c r="C9" s="26" t="s">
        <v>53</v>
      </c>
      <c r="D9" s="21">
        <v>100000</v>
      </c>
      <c r="E9" s="22"/>
      <c r="F9" s="23"/>
      <c r="G9" s="23"/>
      <c r="H9" s="23"/>
      <c r="I9" s="23"/>
      <c r="J9" s="23"/>
      <c r="K9" s="24"/>
      <c r="L9" s="24"/>
      <c r="M9" s="24"/>
      <c r="N9" s="24"/>
      <c r="O9" s="22">
        <f t="shared" ref="O9:O15" si="1">D9+E9+F9+K9+N9</f>
        <v>100000</v>
      </c>
      <c r="P9" s="22">
        <v>0</v>
      </c>
      <c r="Q9" s="48">
        <f t="shared" si="0"/>
        <v>100000</v>
      </c>
    </row>
    <row r="10" spans="1:17" ht="13.5" thickTop="1" x14ac:dyDescent="0.2">
      <c r="A10" s="133" t="s">
        <v>52</v>
      </c>
      <c r="B10" s="134" t="s">
        <v>6</v>
      </c>
      <c r="C10" s="19" t="s">
        <v>12</v>
      </c>
      <c r="D10" s="18">
        <v>0</v>
      </c>
      <c r="E10" s="20"/>
      <c r="F10" s="16"/>
      <c r="G10" s="16"/>
      <c r="H10" s="16"/>
      <c r="I10" s="16"/>
      <c r="J10" s="16"/>
      <c r="K10" s="17"/>
      <c r="L10" s="17"/>
      <c r="M10" s="17"/>
      <c r="N10" s="17"/>
      <c r="O10" s="20">
        <f t="shared" si="1"/>
        <v>0</v>
      </c>
      <c r="P10" s="20"/>
      <c r="Q10" s="40">
        <f t="shared" si="0"/>
        <v>0</v>
      </c>
    </row>
    <row r="11" spans="1:17" x14ac:dyDescent="0.2">
      <c r="A11" s="133"/>
      <c r="B11" s="134"/>
      <c r="C11" s="6" t="s">
        <v>44</v>
      </c>
      <c r="D11" s="3">
        <v>14840</v>
      </c>
      <c r="E11" s="2"/>
      <c r="F11" s="11"/>
      <c r="G11" s="11"/>
      <c r="H11" s="11"/>
      <c r="I11" s="11"/>
      <c r="J11" s="11"/>
      <c r="K11" s="8"/>
      <c r="L11" s="8"/>
      <c r="M11" s="8"/>
      <c r="N11" s="55"/>
      <c r="O11" s="20">
        <f t="shared" si="1"/>
        <v>14840</v>
      </c>
      <c r="P11" s="2">
        <v>5483</v>
      </c>
      <c r="Q11" s="39">
        <f>O11-P11</f>
        <v>9357</v>
      </c>
    </row>
    <row r="12" spans="1:17" x14ac:dyDescent="0.2">
      <c r="A12" s="133"/>
      <c r="B12" s="134"/>
      <c r="C12" s="5" t="s">
        <v>5</v>
      </c>
      <c r="D12" s="3">
        <v>1548416</v>
      </c>
      <c r="E12" s="2">
        <v>-15000</v>
      </c>
      <c r="F12" s="16"/>
      <c r="G12" s="16"/>
      <c r="H12" s="16"/>
      <c r="I12" s="16"/>
      <c r="J12" s="16"/>
      <c r="K12" s="17"/>
      <c r="L12" s="17"/>
      <c r="M12" s="17"/>
      <c r="N12" s="56"/>
      <c r="O12" s="20">
        <f t="shared" si="1"/>
        <v>1533416</v>
      </c>
      <c r="P12" s="2">
        <v>964500</v>
      </c>
      <c r="Q12" s="39">
        <f t="shared" si="0"/>
        <v>568916</v>
      </c>
    </row>
    <row r="13" spans="1:17" x14ac:dyDescent="0.2">
      <c r="A13" s="133"/>
      <c r="B13" s="134"/>
      <c r="C13" s="5" t="s">
        <v>7</v>
      </c>
      <c r="D13" s="3">
        <v>5245</v>
      </c>
      <c r="E13" s="3"/>
      <c r="F13" s="11"/>
      <c r="G13" s="11"/>
      <c r="H13" s="11"/>
      <c r="I13" s="11"/>
      <c r="J13" s="11"/>
      <c r="K13" s="8"/>
      <c r="L13" s="8"/>
      <c r="M13" s="8"/>
      <c r="N13" s="55"/>
      <c r="O13" s="20">
        <f t="shared" si="1"/>
        <v>5245</v>
      </c>
      <c r="P13" s="2">
        <v>3631</v>
      </c>
      <c r="Q13" s="39">
        <f>O13-P13</f>
        <v>1614</v>
      </c>
    </row>
    <row r="14" spans="1:17" x14ac:dyDescent="0.2">
      <c r="A14" s="133"/>
      <c r="B14" s="134"/>
      <c r="C14" s="5" t="s">
        <v>8</v>
      </c>
      <c r="D14" s="3">
        <v>1459</v>
      </c>
      <c r="E14" s="2"/>
      <c r="F14" s="11"/>
      <c r="G14" s="11"/>
      <c r="H14" s="11"/>
      <c r="I14" s="11"/>
      <c r="J14" s="11"/>
      <c r="K14" s="8"/>
      <c r="L14" s="8"/>
      <c r="M14" s="8"/>
      <c r="N14" s="55"/>
      <c r="O14" s="20">
        <f t="shared" si="1"/>
        <v>1459</v>
      </c>
      <c r="P14" s="2">
        <v>743</v>
      </c>
      <c r="Q14" s="39">
        <f t="shared" si="0"/>
        <v>716</v>
      </c>
    </row>
    <row r="15" spans="1:17" x14ac:dyDescent="0.2">
      <c r="A15" s="133"/>
      <c r="B15" s="134"/>
      <c r="C15" s="35" t="s">
        <v>9</v>
      </c>
      <c r="D15" s="30">
        <v>58625</v>
      </c>
      <c r="E15" s="31">
        <v>15000</v>
      </c>
      <c r="F15" s="32"/>
      <c r="G15" s="32"/>
      <c r="H15" s="32"/>
      <c r="I15" s="32"/>
      <c r="J15" s="32"/>
      <c r="K15" s="33"/>
      <c r="L15" s="33"/>
      <c r="M15" s="33"/>
      <c r="N15" s="54"/>
      <c r="O15" s="20">
        <f t="shared" si="1"/>
        <v>73625</v>
      </c>
      <c r="P15" s="31">
        <v>49528</v>
      </c>
      <c r="Q15" s="79">
        <f t="shared" si="0"/>
        <v>24097</v>
      </c>
    </row>
    <row r="16" spans="1:17" ht="13.5" thickBot="1" x14ac:dyDescent="0.25">
      <c r="A16" s="131"/>
      <c r="B16" s="135"/>
      <c r="C16" s="78" t="s">
        <v>56</v>
      </c>
      <c r="D16" s="73">
        <f>SUM(D10:D15)</f>
        <v>1628585</v>
      </c>
      <c r="E16" s="73">
        <f t="shared" ref="E16:Q16" si="2">SUM(E10:E15)</f>
        <v>0</v>
      </c>
      <c r="F16" s="73">
        <f t="shared" si="2"/>
        <v>0</v>
      </c>
      <c r="G16" s="73">
        <f t="shared" si="2"/>
        <v>0</v>
      </c>
      <c r="H16" s="73"/>
      <c r="I16" s="73">
        <f t="shared" si="2"/>
        <v>0</v>
      </c>
      <c r="J16" s="73">
        <f t="shared" si="2"/>
        <v>0</v>
      </c>
      <c r="K16" s="73">
        <f t="shared" si="2"/>
        <v>0</v>
      </c>
      <c r="L16" s="73">
        <f t="shared" si="2"/>
        <v>0</v>
      </c>
      <c r="M16" s="73">
        <f t="shared" si="2"/>
        <v>0</v>
      </c>
      <c r="N16" s="73">
        <f t="shared" si="2"/>
        <v>0</v>
      </c>
      <c r="O16" s="73">
        <f t="shared" si="2"/>
        <v>1628585</v>
      </c>
      <c r="P16" s="73">
        <f t="shared" si="2"/>
        <v>1023885</v>
      </c>
      <c r="Q16" s="73">
        <f t="shared" si="2"/>
        <v>604700</v>
      </c>
    </row>
    <row r="17" spans="1:17" ht="13.5" thickTop="1" x14ac:dyDescent="0.2">
      <c r="A17" s="133" t="s">
        <v>52</v>
      </c>
      <c r="B17" s="134" t="s">
        <v>10</v>
      </c>
      <c r="C17" s="15" t="s">
        <v>5</v>
      </c>
      <c r="D17" s="18">
        <v>768986</v>
      </c>
      <c r="E17" s="20">
        <v>-3000</v>
      </c>
      <c r="F17" s="16"/>
      <c r="G17" s="16"/>
      <c r="H17" s="16"/>
      <c r="I17" s="16"/>
      <c r="J17" s="16"/>
      <c r="K17" s="17"/>
      <c r="L17" s="17"/>
      <c r="M17" s="17"/>
      <c r="N17" s="56"/>
      <c r="O17" s="20">
        <f>D17+E17+F17+K17+N17</f>
        <v>765986</v>
      </c>
      <c r="P17" s="20">
        <v>417944</v>
      </c>
      <c r="Q17" s="39">
        <f>O17-P17</f>
        <v>348042</v>
      </c>
    </row>
    <row r="18" spans="1:17" x14ac:dyDescent="0.2">
      <c r="A18" s="133"/>
      <c r="B18" s="134"/>
      <c r="C18" s="5" t="s">
        <v>7</v>
      </c>
      <c r="D18" s="3">
        <v>232307</v>
      </c>
      <c r="E18" s="2"/>
      <c r="F18" s="11"/>
      <c r="G18" s="11"/>
      <c r="H18" s="11"/>
      <c r="I18" s="11"/>
      <c r="J18" s="11"/>
      <c r="K18" s="8"/>
      <c r="L18" s="8"/>
      <c r="M18" s="8"/>
      <c r="N18" s="55"/>
      <c r="O18" s="20">
        <f>D18+E18+F18+K18+N18</f>
        <v>232307</v>
      </c>
      <c r="P18" s="2">
        <v>106517</v>
      </c>
      <c r="Q18" s="39">
        <f>O18-P18</f>
        <v>125790</v>
      </c>
    </row>
    <row r="19" spans="1:17" x14ac:dyDescent="0.2">
      <c r="A19" s="133"/>
      <c r="B19" s="134"/>
      <c r="C19" s="5" t="s">
        <v>11</v>
      </c>
      <c r="D19" s="3">
        <v>398000</v>
      </c>
      <c r="E19" s="2"/>
      <c r="F19" s="11"/>
      <c r="G19" s="11"/>
      <c r="H19" s="11"/>
      <c r="I19" s="11"/>
      <c r="J19" s="11"/>
      <c r="K19" s="8"/>
      <c r="L19" s="8"/>
      <c r="M19" s="8"/>
      <c r="N19" s="55"/>
      <c r="O19" s="20">
        <f>D19+E19+F19+K19+N19</f>
        <v>398000</v>
      </c>
      <c r="P19" s="2">
        <v>398000</v>
      </c>
      <c r="Q19" s="39">
        <f>O19-P19</f>
        <v>0</v>
      </c>
    </row>
    <row r="20" spans="1:17" x14ac:dyDescent="0.2">
      <c r="A20" s="133"/>
      <c r="B20" s="134"/>
      <c r="C20" s="5" t="s">
        <v>9</v>
      </c>
      <c r="D20" s="3">
        <v>3014</v>
      </c>
      <c r="E20" s="2">
        <v>3000</v>
      </c>
      <c r="F20" s="11"/>
      <c r="G20" s="11"/>
      <c r="H20" s="11"/>
      <c r="I20" s="11"/>
      <c r="J20" s="11"/>
      <c r="K20" s="8"/>
      <c r="L20" s="8"/>
      <c r="M20" s="8"/>
      <c r="N20" s="82"/>
      <c r="O20" s="20">
        <f>D20+E20+F20+K20+N20</f>
        <v>6014</v>
      </c>
      <c r="P20" s="2">
        <v>3014</v>
      </c>
      <c r="Q20" s="79">
        <f>O20-P20</f>
        <v>3000</v>
      </c>
    </row>
    <row r="21" spans="1:17" x14ac:dyDescent="0.2">
      <c r="A21" s="133"/>
      <c r="B21" s="134"/>
      <c r="C21" s="71" t="s">
        <v>64</v>
      </c>
      <c r="D21" s="30">
        <v>0</v>
      </c>
      <c r="E21" s="31"/>
      <c r="F21" s="32"/>
      <c r="G21" s="32"/>
      <c r="H21" s="32"/>
      <c r="I21" s="32"/>
      <c r="J21" s="32"/>
      <c r="K21" s="33"/>
      <c r="L21" s="33"/>
      <c r="M21" s="33"/>
      <c r="N21" s="33"/>
      <c r="O21" s="72">
        <f>D21+E21+F21+K21+N21</f>
        <v>0</v>
      </c>
      <c r="P21" s="31"/>
      <c r="Q21" s="80">
        <f>O21-P21</f>
        <v>0</v>
      </c>
    </row>
    <row r="22" spans="1:17" ht="13.5" thickBot="1" x14ac:dyDescent="0.25">
      <c r="A22" s="131"/>
      <c r="B22" s="135"/>
      <c r="C22" s="78" t="s">
        <v>56</v>
      </c>
      <c r="D22" s="73">
        <f>SUM(D17:D21)</f>
        <v>1402307</v>
      </c>
      <c r="E22" s="73">
        <f t="shared" ref="E22:Q22" si="3">SUM(E17:E20)</f>
        <v>0</v>
      </c>
      <c r="F22" s="73">
        <f>SUM(F17:F21)</f>
        <v>0</v>
      </c>
      <c r="G22" s="73">
        <f t="shared" si="3"/>
        <v>0</v>
      </c>
      <c r="H22" s="73"/>
      <c r="I22" s="73">
        <f t="shared" si="3"/>
        <v>0</v>
      </c>
      <c r="J22" s="73">
        <f t="shared" si="3"/>
        <v>0</v>
      </c>
      <c r="K22" s="73">
        <f t="shared" si="3"/>
        <v>0</v>
      </c>
      <c r="L22" s="73">
        <f t="shared" si="3"/>
        <v>0</v>
      </c>
      <c r="M22" s="73">
        <f t="shared" si="3"/>
        <v>0</v>
      </c>
      <c r="N22" s="73">
        <f t="shared" si="3"/>
        <v>0</v>
      </c>
      <c r="O22" s="73">
        <f>SUM(O17:O20)</f>
        <v>1402307</v>
      </c>
      <c r="P22" s="73">
        <f>SUM(P17:P20)</f>
        <v>925475</v>
      </c>
      <c r="Q22" s="73">
        <f t="shared" si="3"/>
        <v>476832</v>
      </c>
    </row>
    <row r="23" spans="1:17" ht="13.5" thickTop="1" x14ac:dyDescent="0.2">
      <c r="A23" s="133" t="s">
        <v>52</v>
      </c>
      <c r="B23" s="134" t="s">
        <v>13</v>
      </c>
      <c r="C23" s="15" t="s">
        <v>12</v>
      </c>
      <c r="D23" s="18">
        <v>0</v>
      </c>
      <c r="E23" s="20"/>
      <c r="F23" s="16"/>
      <c r="G23" s="16"/>
      <c r="H23" s="16"/>
      <c r="I23" s="16"/>
      <c r="J23" s="16"/>
      <c r="K23" s="17"/>
      <c r="L23" s="17"/>
      <c r="M23" s="17"/>
      <c r="N23" s="17"/>
      <c r="O23" s="20">
        <f>D23+E23+F23+K23+N23</f>
        <v>0</v>
      </c>
      <c r="P23" s="20">
        <v>0</v>
      </c>
      <c r="Q23" s="39">
        <f>O23-P23</f>
        <v>0</v>
      </c>
    </row>
    <row r="24" spans="1:17" x14ac:dyDescent="0.2">
      <c r="A24" s="133"/>
      <c r="B24" s="134"/>
      <c r="C24" s="5" t="s">
        <v>7</v>
      </c>
      <c r="D24" s="3">
        <v>0</v>
      </c>
      <c r="E24" s="2"/>
      <c r="F24" s="11"/>
      <c r="G24" s="11"/>
      <c r="H24" s="11"/>
      <c r="I24" s="11"/>
      <c r="J24" s="11"/>
      <c r="K24" s="8"/>
      <c r="L24" s="8"/>
      <c r="M24" s="8"/>
      <c r="N24" s="8"/>
      <c r="O24" s="20">
        <f>D24+E24+F24+K24+N24</f>
        <v>0</v>
      </c>
      <c r="P24" s="2">
        <v>0</v>
      </c>
      <c r="Q24" s="39">
        <f>O24-P24</f>
        <v>0</v>
      </c>
    </row>
    <row r="25" spans="1:17" x14ac:dyDescent="0.2">
      <c r="A25" s="133"/>
      <c r="B25" s="134"/>
      <c r="C25" s="5" t="s">
        <v>11</v>
      </c>
      <c r="D25" s="3">
        <v>0</v>
      </c>
      <c r="E25" s="2"/>
      <c r="F25" s="11"/>
      <c r="G25" s="11"/>
      <c r="H25" s="11"/>
      <c r="I25" s="11"/>
      <c r="J25" s="11"/>
      <c r="K25" s="8"/>
      <c r="L25" s="8"/>
      <c r="M25" s="8"/>
      <c r="N25" s="8"/>
      <c r="O25" s="20">
        <f>D25+E25+F25+K25+N25</f>
        <v>0</v>
      </c>
      <c r="P25" s="2">
        <v>0</v>
      </c>
      <c r="Q25" s="39">
        <f>O25-P25</f>
        <v>0</v>
      </c>
    </row>
    <row r="26" spans="1:17" x14ac:dyDescent="0.2">
      <c r="A26" s="133"/>
      <c r="B26" s="134"/>
      <c r="C26" s="35" t="s">
        <v>9</v>
      </c>
      <c r="D26" s="30">
        <v>0</v>
      </c>
      <c r="E26" s="31"/>
      <c r="F26" s="32"/>
      <c r="G26" s="32"/>
      <c r="H26" s="32"/>
      <c r="I26" s="32"/>
      <c r="J26" s="32"/>
      <c r="K26" s="33"/>
      <c r="L26" s="33"/>
      <c r="M26" s="33"/>
      <c r="N26" s="33"/>
      <c r="O26" s="20">
        <f>D26+E26+F26+K26+N26</f>
        <v>0</v>
      </c>
      <c r="P26" s="31">
        <v>0</v>
      </c>
      <c r="Q26" s="39">
        <f>O26-P26</f>
        <v>0</v>
      </c>
    </row>
    <row r="27" spans="1:17" ht="13.5" thickBot="1" x14ac:dyDescent="0.25">
      <c r="A27" s="131"/>
      <c r="B27" s="135"/>
      <c r="C27" s="78" t="s">
        <v>56</v>
      </c>
      <c r="D27" s="73">
        <v>0</v>
      </c>
      <c r="E27" s="73">
        <f t="shared" ref="E27:Q27" si="4">SUM(E23:E26)</f>
        <v>0</v>
      </c>
      <c r="F27" s="73">
        <f t="shared" si="4"/>
        <v>0</v>
      </c>
      <c r="G27" s="73">
        <f t="shared" si="4"/>
        <v>0</v>
      </c>
      <c r="H27" s="73"/>
      <c r="I27" s="73">
        <f t="shared" si="4"/>
        <v>0</v>
      </c>
      <c r="J27" s="73">
        <f t="shared" si="4"/>
        <v>0</v>
      </c>
      <c r="K27" s="73">
        <f t="shared" si="4"/>
        <v>0</v>
      </c>
      <c r="L27" s="73">
        <f t="shared" si="4"/>
        <v>0</v>
      </c>
      <c r="M27" s="73">
        <f t="shared" si="4"/>
        <v>0</v>
      </c>
      <c r="N27" s="73">
        <f t="shared" si="4"/>
        <v>0</v>
      </c>
      <c r="O27" s="73">
        <f t="shared" si="4"/>
        <v>0</v>
      </c>
      <c r="P27" s="73">
        <f t="shared" si="4"/>
        <v>0</v>
      </c>
      <c r="Q27" s="73">
        <f t="shared" si="4"/>
        <v>0</v>
      </c>
    </row>
    <row r="28" spans="1:17" ht="30.75" customHeight="1" thickTop="1" thickBot="1" x14ac:dyDescent="0.25">
      <c r="A28" s="143" t="s">
        <v>57</v>
      </c>
      <c r="B28" s="144"/>
      <c r="C28" s="145"/>
      <c r="D28" s="124">
        <f t="shared" ref="D28:Q28" si="5">SUM(D6+D7+D8+D9+D16+D22+D27+D21)</f>
        <v>103183379</v>
      </c>
      <c r="E28" s="124">
        <f t="shared" si="5"/>
        <v>0</v>
      </c>
      <c r="F28" s="124">
        <f>SUM(F6+F7+F8+F9+F16+F22+F27)</f>
        <v>4985400</v>
      </c>
      <c r="G28" s="124">
        <f t="shared" ref="G28:I28" si="6">SUM(G6+G7+G8+G9+G16+G22+G27)</f>
        <v>321728</v>
      </c>
      <c r="H28" s="124">
        <f t="shared" si="6"/>
        <v>-5307128</v>
      </c>
      <c r="I28" s="124">
        <f t="shared" si="6"/>
        <v>1542350</v>
      </c>
      <c r="J28" s="124">
        <f>SUM(J6+J7+J8+J9+J16+J22+J27)</f>
        <v>6600300</v>
      </c>
      <c r="K28" s="124">
        <f t="shared" si="5"/>
        <v>-4530000</v>
      </c>
      <c r="L28" s="124">
        <f t="shared" si="5"/>
        <v>-2070300</v>
      </c>
      <c r="M28" s="124">
        <f t="shared" si="5"/>
        <v>0</v>
      </c>
      <c r="N28" s="124">
        <f t="shared" si="5"/>
        <v>0</v>
      </c>
      <c r="O28" s="124">
        <f>SUM(O6+O7+O8+O9+O16+O22+O27+O21)</f>
        <v>104725729</v>
      </c>
      <c r="P28" s="124">
        <f>SUM(P6+P7+P8+P9+P16+P22+P27+P21)</f>
        <v>67065466</v>
      </c>
      <c r="Q28" s="124">
        <f t="shared" si="5"/>
        <v>37660263</v>
      </c>
    </row>
    <row r="29" spans="1:17" ht="13.5" thickTop="1" x14ac:dyDescent="0.2">
      <c r="A29" s="133" t="s">
        <v>30</v>
      </c>
      <c r="B29" s="134" t="s">
        <v>15</v>
      </c>
      <c r="C29" s="15" t="s">
        <v>14</v>
      </c>
      <c r="D29" s="18">
        <v>244590</v>
      </c>
      <c r="E29" s="20"/>
      <c r="F29" s="16"/>
      <c r="G29" s="16"/>
      <c r="H29" s="16"/>
      <c r="I29" s="16"/>
      <c r="J29" s="16"/>
      <c r="K29" s="56"/>
      <c r="L29" s="56"/>
      <c r="M29" s="56"/>
      <c r="N29" s="56"/>
      <c r="O29" s="20">
        <f>D29+E29+F29+K29+N29+G29</f>
        <v>244590</v>
      </c>
      <c r="P29" s="20">
        <v>236437</v>
      </c>
      <c r="Q29" s="39">
        <f>O29-P29</f>
        <v>8153</v>
      </c>
    </row>
    <row r="30" spans="1:17" x14ac:dyDescent="0.2">
      <c r="A30" s="133"/>
      <c r="B30" s="134"/>
      <c r="C30" s="5" t="s">
        <v>19</v>
      </c>
      <c r="D30" s="3">
        <v>0</v>
      </c>
      <c r="E30" s="2"/>
      <c r="F30" s="11"/>
      <c r="G30" s="13"/>
      <c r="H30" s="13"/>
      <c r="I30" s="13"/>
      <c r="J30" s="11"/>
      <c r="K30" s="8"/>
      <c r="L30" s="8"/>
      <c r="M30" s="8"/>
      <c r="N30" s="8"/>
      <c r="O30" s="20">
        <f>D30+E30+F30+K30+N30</f>
        <v>0</v>
      </c>
      <c r="P30" s="2"/>
      <c r="Q30" s="39">
        <f>O30-P30</f>
        <v>0</v>
      </c>
    </row>
    <row r="31" spans="1:17" x14ac:dyDescent="0.2">
      <c r="A31" s="133"/>
      <c r="B31" s="134"/>
      <c r="C31" s="76" t="s">
        <v>51</v>
      </c>
      <c r="D31" s="74">
        <f>SUM(D29:D30)</f>
        <v>244590</v>
      </c>
      <c r="E31" s="74">
        <f t="shared" ref="E31:Q31" si="7">SUM(E29:E30)</f>
        <v>0</v>
      </c>
      <c r="F31" s="74">
        <f t="shared" si="7"/>
        <v>0</v>
      </c>
      <c r="G31" s="92">
        <f t="shared" si="7"/>
        <v>0</v>
      </c>
      <c r="H31" s="92"/>
      <c r="I31" s="92">
        <f t="shared" si="7"/>
        <v>0</v>
      </c>
      <c r="J31" s="74">
        <f t="shared" si="7"/>
        <v>0</v>
      </c>
      <c r="K31" s="74">
        <f t="shared" si="7"/>
        <v>0</v>
      </c>
      <c r="L31" s="74">
        <f t="shared" si="7"/>
        <v>0</v>
      </c>
      <c r="M31" s="74">
        <f t="shared" si="7"/>
        <v>0</v>
      </c>
      <c r="N31" s="74">
        <f t="shared" si="7"/>
        <v>0</v>
      </c>
      <c r="O31" s="74">
        <f t="shared" si="7"/>
        <v>244590</v>
      </c>
      <c r="P31" s="74">
        <f t="shared" si="7"/>
        <v>236437</v>
      </c>
      <c r="Q31" s="74">
        <f t="shared" si="7"/>
        <v>8153</v>
      </c>
    </row>
    <row r="32" spans="1:17" ht="13.5" thickBot="1" x14ac:dyDescent="0.25">
      <c r="A32" s="131"/>
      <c r="B32" s="135"/>
      <c r="C32" s="59" t="s">
        <v>16</v>
      </c>
      <c r="D32" s="60">
        <v>21402</v>
      </c>
      <c r="E32" s="60"/>
      <c r="F32" s="60"/>
      <c r="G32" s="86"/>
      <c r="H32" s="86"/>
      <c r="I32" s="86"/>
      <c r="J32" s="60"/>
      <c r="K32" s="86"/>
      <c r="L32" s="86"/>
      <c r="M32" s="86"/>
      <c r="N32" s="86"/>
      <c r="O32" s="60">
        <f>D32+E32+F32+K32+N32+G32</f>
        <v>21402</v>
      </c>
      <c r="P32" s="60">
        <v>20684</v>
      </c>
      <c r="Q32" s="61">
        <f t="shared" ref="Q32:Q40" si="8">O32-P32</f>
        <v>718</v>
      </c>
    </row>
    <row r="33" spans="1:17" ht="13.5" thickTop="1" x14ac:dyDescent="0.2">
      <c r="A33" s="133" t="s">
        <v>30</v>
      </c>
      <c r="B33" s="134" t="s">
        <v>6</v>
      </c>
      <c r="C33" s="15" t="s">
        <v>14</v>
      </c>
      <c r="D33" s="18">
        <v>56244061</v>
      </c>
      <c r="E33" s="20"/>
      <c r="F33" s="16"/>
      <c r="G33" s="93"/>
      <c r="H33" s="93"/>
      <c r="I33" s="93">
        <v>1312638</v>
      </c>
      <c r="J33" s="16">
        <v>5617277</v>
      </c>
      <c r="K33" s="56">
        <v>-3922078</v>
      </c>
      <c r="L33" s="56">
        <f>-5617277+3922078</f>
        <v>-1695199</v>
      </c>
      <c r="M33" s="56"/>
      <c r="N33" s="17"/>
      <c r="O33" s="20">
        <f>D33+E33+F33+K33+N33+G33+I33+J33+L33</f>
        <v>57556699</v>
      </c>
      <c r="P33" s="20">
        <v>38435364</v>
      </c>
      <c r="Q33" s="40">
        <f t="shared" si="8"/>
        <v>19121335</v>
      </c>
    </row>
    <row r="34" spans="1:17" x14ac:dyDescent="0.2">
      <c r="A34" s="133"/>
      <c r="B34" s="134"/>
      <c r="C34" s="5" t="s">
        <v>17</v>
      </c>
      <c r="D34" s="3">
        <v>1517000</v>
      </c>
      <c r="E34" s="3"/>
      <c r="F34" s="11"/>
      <c r="G34" s="13"/>
      <c r="H34" s="13"/>
      <c r="I34" s="13"/>
      <c r="J34" s="11"/>
      <c r="K34" s="8"/>
      <c r="L34" s="8"/>
      <c r="M34" s="8"/>
      <c r="N34" s="8"/>
      <c r="O34" s="20">
        <f t="shared" ref="O34:O40" si="9">D34+E34+F34+K34+N34+G34+I34+J34</f>
        <v>1517000</v>
      </c>
      <c r="P34" s="2">
        <v>1517000</v>
      </c>
      <c r="Q34" s="39">
        <f t="shared" si="8"/>
        <v>0</v>
      </c>
    </row>
    <row r="35" spans="1:17" x14ac:dyDescent="0.2">
      <c r="A35" s="133"/>
      <c r="B35" s="134"/>
      <c r="C35" s="6" t="s">
        <v>36</v>
      </c>
      <c r="D35" s="3">
        <v>1680000</v>
      </c>
      <c r="E35" s="3"/>
      <c r="F35" s="11"/>
      <c r="G35" s="13"/>
      <c r="H35" s="13"/>
      <c r="I35" s="13"/>
      <c r="J35" s="11"/>
      <c r="K35" s="8"/>
      <c r="L35" s="8"/>
      <c r="M35" s="8"/>
      <c r="N35" s="8"/>
      <c r="O35" s="20">
        <f t="shared" si="9"/>
        <v>1680000</v>
      </c>
      <c r="P35" s="2">
        <v>1613300</v>
      </c>
      <c r="Q35" s="39">
        <f t="shared" si="8"/>
        <v>66700</v>
      </c>
    </row>
    <row r="36" spans="1:17" x14ac:dyDescent="0.2">
      <c r="A36" s="133"/>
      <c r="B36" s="134"/>
      <c r="C36" s="6" t="s">
        <v>37</v>
      </c>
      <c r="D36" s="3">
        <v>395000</v>
      </c>
      <c r="E36" s="3"/>
      <c r="F36" s="11"/>
      <c r="G36" s="13"/>
      <c r="H36" s="13"/>
      <c r="I36" s="13"/>
      <c r="J36" s="11"/>
      <c r="K36" s="8"/>
      <c r="L36" s="8"/>
      <c r="M36" s="8"/>
      <c r="N36" s="8"/>
      <c r="O36" s="20">
        <f t="shared" si="9"/>
        <v>395000</v>
      </c>
      <c r="P36" s="2">
        <v>0</v>
      </c>
      <c r="Q36" s="39">
        <f t="shared" si="8"/>
        <v>395000</v>
      </c>
    </row>
    <row r="37" spans="1:17" x14ac:dyDescent="0.2">
      <c r="A37" s="133"/>
      <c r="B37" s="134"/>
      <c r="C37" s="5" t="s">
        <v>18</v>
      </c>
      <c r="D37" s="3">
        <v>0</v>
      </c>
      <c r="E37" s="3"/>
      <c r="F37" s="11"/>
      <c r="G37" s="13"/>
      <c r="H37" s="13"/>
      <c r="I37" s="13"/>
      <c r="J37" s="11"/>
      <c r="K37" s="8"/>
      <c r="L37" s="8"/>
      <c r="M37" s="8"/>
      <c r="N37" s="8"/>
      <c r="O37" s="20">
        <f t="shared" si="9"/>
        <v>0</v>
      </c>
      <c r="P37" s="2">
        <v>0</v>
      </c>
      <c r="Q37" s="39">
        <f t="shared" si="8"/>
        <v>0</v>
      </c>
    </row>
    <row r="38" spans="1:17" x14ac:dyDescent="0.2">
      <c r="A38" s="133"/>
      <c r="B38" s="134"/>
      <c r="C38" s="6" t="s">
        <v>41</v>
      </c>
      <c r="D38" s="3">
        <v>190000</v>
      </c>
      <c r="E38" s="3"/>
      <c r="F38" s="11"/>
      <c r="G38" s="13"/>
      <c r="H38" s="13"/>
      <c r="I38" s="13"/>
      <c r="J38" s="11"/>
      <c r="K38" s="8"/>
      <c r="L38" s="8"/>
      <c r="M38" s="8"/>
      <c r="N38" s="8"/>
      <c r="O38" s="20">
        <f t="shared" si="9"/>
        <v>190000</v>
      </c>
      <c r="P38" s="2">
        <v>94000</v>
      </c>
      <c r="Q38" s="39">
        <f t="shared" si="8"/>
        <v>96000</v>
      </c>
    </row>
    <row r="39" spans="1:17" x14ac:dyDescent="0.2">
      <c r="A39" s="133"/>
      <c r="B39" s="134"/>
      <c r="C39" s="5" t="s">
        <v>19</v>
      </c>
      <c r="D39" s="3">
        <v>419246</v>
      </c>
      <c r="E39" s="2"/>
      <c r="F39" s="11"/>
      <c r="G39" s="13"/>
      <c r="H39" s="13"/>
      <c r="I39" s="13"/>
      <c r="J39" s="11"/>
      <c r="K39" s="55"/>
      <c r="L39" s="55"/>
      <c r="M39" s="55"/>
      <c r="N39" s="8"/>
      <c r="O39" s="20">
        <f t="shared" si="9"/>
        <v>419246</v>
      </c>
      <c r="P39" s="2">
        <v>336691</v>
      </c>
      <c r="Q39" s="39">
        <f t="shared" si="8"/>
        <v>82555</v>
      </c>
    </row>
    <row r="40" spans="1:17" x14ac:dyDescent="0.2">
      <c r="A40" s="133"/>
      <c r="B40" s="134"/>
      <c r="C40" s="6" t="s">
        <v>38</v>
      </c>
      <c r="D40" s="3">
        <v>150000</v>
      </c>
      <c r="E40" s="3"/>
      <c r="F40" s="11"/>
      <c r="G40" s="13"/>
      <c r="H40" s="13"/>
      <c r="I40" s="13"/>
      <c r="J40" s="11"/>
      <c r="K40" s="8"/>
      <c r="L40" s="8"/>
      <c r="M40" s="8"/>
      <c r="N40" s="8"/>
      <c r="O40" s="20">
        <f t="shared" si="9"/>
        <v>150000</v>
      </c>
      <c r="P40" s="2">
        <v>0</v>
      </c>
      <c r="Q40" s="39">
        <f t="shared" si="8"/>
        <v>150000</v>
      </c>
    </row>
    <row r="41" spans="1:17" x14ac:dyDescent="0.2">
      <c r="A41" s="133"/>
      <c r="B41" s="134"/>
      <c r="C41" s="77" t="s">
        <v>51</v>
      </c>
      <c r="D41" s="75">
        <f>SUM(D33:D40)</f>
        <v>60595307</v>
      </c>
      <c r="E41" s="75">
        <f>SUM(E33:E40)</f>
        <v>0</v>
      </c>
      <c r="F41" s="75">
        <f t="shared" ref="F41:Q41" si="10">SUM(F33:F40)</f>
        <v>0</v>
      </c>
      <c r="G41" s="94">
        <f t="shared" si="10"/>
        <v>0</v>
      </c>
      <c r="H41" s="94"/>
      <c r="I41" s="94">
        <f t="shared" si="10"/>
        <v>1312638</v>
      </c>
      <c r="J41" s="75">
        <f t="shared" si="10"/>
        <v>5617277</v>
      </c>
      <c r="K41" s="75">
        <f t="shared" si="10"/>
        <v>-3922078</v>
      </c>
      <c r="L41" s="75">
        <f t="shared" si="10"/>
        <v>-1695199</v>
      </c>
      <c r="M41" s="75">
        <f t="shared" si="10"/>
        <v>0</v>
      </c>
      <c r="N41" s="75">
        <f t="shared" si="10"/>
        <v>0</v>
      </c>
      <c r="O41" s="75">
        <f t="shared" si="10"/>
        <v>61907945</v>
      </c>
      <c r="P41" s="75">
        <f t="shared" si="10"/>
        <v>41996355</v>
      </c>
      <c r="Q41" s="75">
        <f t="shared" si="10"/>
        <v>19911590</v>
      </c>
    </row>
    <row r="42" spans="1:17" x14ac:dyDescent="0.2">
      <c r="A42" s="133"/>
      <c r="B42" s="134"/>
      <c r="C42" s="62" t="s">
        <v>16</v>
      </c>
      <c r="D42" s="63">
        <v>10865641</v>
      </c>
      <c r="E42" s="63"/>
      <c r="F42" s="63"/>
      <c r="G42" s="64"/>
      <c r="H42" s="64"/>
      <c r="I42" s="64">
        <v>229712</v>
      </c>
      <c r="J42" s="63">
        <v>983023</v>
      </c>
      <c r="K42" s="64">
        <v>-607922</v>
      </c>
      <c r="L42" s="64">
        <f>-983023+607922</f>
        <v>-375101</v>
      </c>
      <c r="M42" s="64"/>
      <c r="N42" s="65"/>
      <c r="O42" s="66">
        <f>D42+E42+F42+K42+N42+G42+I42+J42+L42</f>
        <v>11095353</v>
      </c>
      <c r="P42" s="63">
        <v>6886054</v>
      </c>
      <c r="Q42" s="63">
        <f t="shared" ref="Q42:Q56" si="11">O42-P42</f>
        <v>4209299</v>
      </c>
    </row>
    <row r="43" spans="1:17" x14ac:dyDescent="0.2">
      <c r="A43" s="133"/>
      <c r="B43" s="134"/>
      <c r="C43" s="5" t="s">
        <v>20</v>
      </c>
      <c r="D43" s="3">
        <v>625000</v>
      </c>
      <c r="E43" s="2"/>
      <c r="F43" s="11"/>
      <c r="G43" s="13"/>
      <c r="H43" s="13"/>
      <c r="I43" s="13"/>
      <c r="J43" s="11"/>
      <c r="K43" s="8"/>
      <c r="L43" s="8"/>
      <c r="M43" s="8"/>
      <c r="N43" s="8"/>
      <c r="O43" s="20">
        <f t="shared" ref="O43:O47" si="12">D43+E43+F43+K43+N43</f>
        <v>625000</v>
      </c>
      <c r="P43" s="2">
        <v>25124</v>
      </c>
      <c r="Q43" s="39">
        <f t="shared" si="11"/>
        <v>599876</v>
      </c>
    </row>
    <row r="44" spans="1:17" s="58" customFormat="1" x14ac:dyDescent="0.2">
      <c r="A44" s="133"/>
      <c r="B44" s="134"/>
      <c r="C44" s="88" t="s">
        <v>39</v>
      </c>
      <c r="D44" s="55">
        <v>1052000</v>
      </c>
      <c r="E44" s="55"/>
      <c r="F44" s="13"/>
      <c r="G44" s="13"/>
      <c r="H44" s="13"/>
      <c r="I44" s="13"/>
      <c r="J44" s="13"/>
      <c r="K44" s="55"/>
      <c r="L44" s="55"/>
      <c r="M44" s="55"/>
      <c r="N44" s="55"/>
      <c r="O44" s="56">
        <f t="shared" si="12"/>
        <v>1052000</v>
      </c>
      <c r="P44" s="55">
        <v>120</v>
      </c>
      <c r="Q44" s="89">
        <f t="shared" si="11"/>
        <v>1051880</v>
      </c>
    </row>
    <row r="45" spans="1:17" x14ac:dyDescent="0.2">
      <c r="A45" s="133"/>
      <c r="B45" s="134"/>
      <c r="C45" s="5" t="s">
        <v>21</v>
      </c>
      <c r="D45" s="3">
        <v>122221</v>
      </c>
      <c r="E45" s="2">
        <f>134938-159000+2000</f>
        <v>-22062</v>
      </c>
      <c r="F45" s="11"/>
      <c r="G45" s="13"/>
      <c r="H45" s="13"/>
      <c r="I45" s="13"/>
      <c r="J45" s="11"/>
      <c r="K45" s="8"/>
      <c r="L45" s="8"/>
      <c r="M45" s="8"/>
      <c r="N45" s="55"/>
      <c r="O45" s="20">
        <f t="shared" si="12"/>
        <v>100159</v>
      </c>
      <c r="P45" s="2">
        <v>66855</v>
      </c>
      <c r="Q45" s="39">
        <f t="shared" si="11"/>
        <v>33304</v>
      </c>
    </row>
    <row r="46" spans="1:17" x14ac:dyDescent="0.2">
      <c r="A46" s="133"/>
      <c r="B46" s="134"/>
      <c r="C46" s="5" t="s">
        <v>22</v>
      </c>
      <c r="D46" s="3">
        <v>206354</v>
      </c>
      <c r="E46" s="2">
        <f>-1050-1000</f>
        <v>-2050</v>
      </c>
      <c r="F46" s="11"/>
      <c r="G46" s="13"/>
      <c r="H46" s="13"/>
      <c r="I46" s="13"/>
      <c r="J46" s="11"/>
      <c r="K46" s="8"/>
      <c r="L46" s="8"/>
      <c r="M46" s="8"/>
      <c r="N46" s="55"/>
      <c r="O46" s="20">
        <f t="shared" si="12"/>
        <v>204304</v>
      </c>
      <c r="P46" s="2">
        <v>77679</v>
      </c>
      <c r="Q46" s="39">
        <f t="shared" si="11"/>
        <v>126625</v>
      </c>
    </row>
    <row r="47" spans="1:17" x14ac:dyDescent="0.2">
      <c r="A47" s="133"/>
      <c r="B47" s="134"/>
      <c r="C47" s="5" t="s">
        <v>23</v>
      </c>
      <c r="D47" s="3">
        <v>3226536</v>
      </c>
      <c r="E47" s="2"/>
      <c r="F47" s="11"/>
      <c r="G47" s="13"/>
      <c r="H47" s="13"/>
      <c r="I47" s="13"/>
      <c r="J47" s="11"/>
      <c r="K47" s="8"/>
      <c r="L47" s="8"/>
      <c r="M47" s="8"/>
      <c r="N47" s="55"/>
      <c r="O47" s="20">
        <f t="shared" si="12"/>
        <v>3226536</v>
      </c>
      <c r="P47" s="2">
        <v>1851270</v>
      </c>
      <c r="Q47" s="39">
        <f t="shared" si="11"/>
        <v>1375266</v>
      </c>
    </row>
    <row r="48" spans="1:17" x14ac:dyDescent="0.2">
      <c r="A48" s="133"/>
      <c r="B48" s="134"/>
      <c r="C48" s="5" t="s">
        <v>24</v>
      </c>
      <c r="D48" s="3">
        <v>612300</v>
      </c>
      <c r="E48" s="2"/>
      <c r="F48" s="11"/>
      <c r="G48" s="13"/>
      <c r="H48" s="13"/>
      <c r="I48" s="13"/>
      <c r="J48" s="11"/>
      <c r="K48" s="8"/>
      <c r="L48" s="8"/>
      <c r="M48" s="8"/>
      <c r="N48" s="55"/>
      <c r="O48" s="20">
        <f>D48+E48+F48+K48+N48+I48</f>
        <v>612300</v>
      </c>
      <c r="P48" s="2">
        <v>19179</v>
      </c>
      <c r="Q48" s="39">
        <f t="shared" si="11"/>
        <v>593121</v>
      </c>
    </row>
    <row r="49" spans="1:17" x14ac:dyDescent="0.2">
      <c r="A49" s="133"/>
      <c r="B49" s="134"/>
      <c r="C49" s="5" t="s">
        <v>45</v>
      </c>
      <c r="D49" s="3">
        <v>14840</v>
      </c>
      <c r="E49" s="2"/>
      <c r="F49" s="11"/>
      <c r="G49" s="13"/>
      <c r="H49" s="13"/>
      <c r="I49" s="13"/>
      <c r="J49" s="11"/>
      <c r="K49" s="8"/>
      <c r="L49" s="8"/>
      <c r="M49" s="8"/>
      <c r="N49" s="55"/>
      <c r="O49" s="20">
        <f t="shared" ref="O49:O56" si="13">D49+E49+F49+K49+N49</f>
        <v>14840</v>
      </c>
      <c r="P49" s="2">
        <v>5483</v>
      </c>
      <c r="Q49" s="39">
        <f t="shared" si="11"/>
        <v>9357</v>
      </c>
    </row>
    <row r="50" spans="1:17" x14ac:dyDescent="0.2">
      <c r="A50" s="141"/>
      <c r="B50" s="142"/>
      <c r="C50" s="9" t="s">
        <v>25</v>
      </c>
      <c r="D50" s="10">
        <v>614000</v>
      </c>
      <c r="E50" s="11"/>
      <c r="F50" s="11"/>
      <c r="G50" s="13"/>
      <c r="H50" s="13"/>
      <c r="I50" s="13"/>
      <c r="J50" s="11"/>
      <c r="K50" s="12"/>
      <c r="L50" s="12"/>
      <c r="M50" s="13"/>
      <c r="N50" s="13"/>
      <c r="O50" s="20">
        <f t="shared" si="13"/>
        <v>614000</v>
      </c>
      <c r="P50" s="2">
        <v>400000</v>
      </c>
      <c r="Q50" s="39">
        <f t="shared" si="11"/>
        <v>214000</v>
      </c>
    </row>
    <row r="51" spans="1:17" x14ac:dyDescent="0.2">
      <c r="A51" s="133"/>
      <c r="B51" s="134"/>
      <c r="C51" s="5" t="s">
        <v>26</v>
      </c>
      <c r="D51" s="3">
        <v>3886341</v>
      </c>
      <c r="E51" s="2">
        <f>-1221-4000-15750-134938-50000-2000</f>
        <v>-207909</v>
      </c>
      <c r="F51" s="11">
        <v>3925512</v>
      </c>
      <c r="G51" s="13"/>
      <c r="H51" s="55">
        <v>-3925512</v>
      </c>
      <c r="I51" s="13"/>
      <c r="J51" s="11"/>
      <c r="K51" s="8"/>
      <c r="L51" s="8"/>
      <c r="M51" s="55"/>
      <c r="N51" s="55"/>
      <c r="O51" s="20">
        <f>D51+E51+F51+K51+N51+G51+M51+H51</f>
        <v>3678432</v>
      </c>
      <c r="P51" s="2">
        <v>290991</v>
      </c>
      <c r="Q51" s="39">
        <f t="shared" si="11"/>
        <v>3387441</v>
      </c>
    </row>
    <row r="52" spans="1:17" x14ac:dyDescent="0.2">
      <c r="A52" s="133"/>
      <c r="B52" s="134"/>
      <c r="C52" s="6" t="s">
        <v>40</v>
      </c>
      <c r="D52" s="3">
        <v>75000</v>
      </c>
      <c r="E52" s="2"/>
      <c r="F52" s="11"/>
      <c r="G52" s="13"/>
      <c r="H52" s="55"/>
      <c r="I52" s="13"/>
      <c r="J52" s="11"/>
      <c r="K52" s="8"/>
      <c r="L52" s="8"/>
      <c r="M52" s="55"/>
      <c r="N52" s="55"/>
      <c r="O52" s="20">
        <f t="shared" si="13"/>
        <v>75000</v>
      </c>
      <c r="P52" s="2">
        <v>0</v>
      </c>
      <c r="Q52" s="39">
        <f t="shared" si="11"/>
        <v>75000</v>
      </c>
    </row>
    <row r="53" spans="1:17" x14ac:dyDescent="0.2">
      <c r="A53" s="133"/>
      <c r="B53" s="134"/>
      <c r="C53" s="6" t="s">
        <v>62</v>
      </c>
      <c r="D53" s="3">
        <v>0</v>
      </c>
      <c r="E53" s="2"/>
      <c r="F53" s="11"/>
      <c r="G53" s="13"/>
      <c r="H53" s="55"/>
      <c r="I53" s="13"/>
      <c r="J53" s="11"/>
      <c r="K53" s="8"/>
      <c r="L53" s="8"/>
      <c r="M53" s="55"/>
      <c r="N53" s="55"/>
      <c r="O53" s="20">
        <f t="shared" si="13"/>
        <v>0</v>
      </c>
      <c r="P53" s="2">
        <v>0</v>
      </c>
      <c r="Q53" s="39">
        <f t="shared" si="11"/>
        <v>0</v>
      </c>
    </row>
    <row r="54" spans="1:17" x14ac:dyDescent="0.2">
      <c r="A54" s="133"/>
      <c r="B54" s="134"/>
      <c r="C54" s="5" t="s">
        <v>27</v>
      </c>
      <c r="D54" s="3">
        <v>1873774</v>
      </c>
      <c r="E54" s="2">
        <v>-43150</v>
      </c>
      <c r="F54" s="11">
        <v>1059888</v>
      </c>
      <c r="G54" s="13"/>
      <c r="H54" s="55">
        <v>-1059888</v>
      </c>
      <c r="I54" s="13"/>
      <c r="J54" s="11"/>
      <c r="K54" s="8"/>
      <c r="L54" s="8"/>
      <c r="M54" s="55"/>
      <c r="N54" s="55"/>
      <c r="O54" s="20">
        <f>D54+E54+F54+K54+N54+G54+M54+H54</f>
        <v>1830624</v>
      </c>
      <c r="P54" s="2">
        <v>207327</v>
      </c>
      <c r="Q54" s="39">
        <f t="shared" si="11"/>
        <v>1623297</v>
      </c>
    </row>
    <row r="55" spans="1:17" x14ac:dyDescent="0.2">
      <c r="A55" s="133"/>
      <c r="B55" s="134"/>
      <c r="C55" s="6" t="s">
        <v>43</v>
      </c>
      <c r="D55" s="3">
        <v>0</v>
      </c>
      <c r="E55" s="2"/>
      <c r="F55" s="11"/>
      <c r="G55" s="13"/>
      <c r="H55" s="13"/>
      <c r="I55" s="13"/>
      <c r="J55" s="11"/>
      <c r="K55" s="8"/>
      <c r="L55" s="8"/>
      <c r="M55" s="8"/>
      <c r="N55" s="55"/>
      <c r="O55" s="20">
        <f t="shared" si="13"/>
        <v>0</v>
      </c>
      <c r="P55" s="2">
        <v>0</v>
      </c>
      <c r="Q55" s="39">
        <f t="shared" si="11"/>
        <v>0</v>
      </c>
    </row>
    <row r="56" spans="1:17" x14ac:dyDescent="0.2">
      <c r="A56" s="133"/>
      <c r="B56" s="134"/>
      <c r="C56" s="14" t="s">
        <v>28</v>
      </c>
      <c r="D56" s="13">
        <v>26594</v>
      </c>
      <c r="E56" s="13">
        <f>4000+1221</f>
        <v>5221</v>
      </c>
      <c r="F56" s="13"/>
      <c r="G56" s="13"/>
      <c r="H56" s="13"/>
      <c r="I56" s="13"/>
      <c r="J56" s="13"/>
      <c r="K56" s="13"/>
      <c r="L56" s="13"/>
      <c r="M56" s="13"/>
      <c r="N56" s="13"/>
      <c r="O56" s="20">
        <f t="shared" si="13"/>
        <v>31815</v>
      </c>
      <c r="P56" s="2">
        <v>15618</v>
      </c>
      <c r="Q56" s="39">
        <f t="shared" si="11"/>
        <v>16197</v>
      </c>
    </row>
    <row r="57" spans="1:17" x14ac:dyDescent="0.2">
      <c r="A57" s="133"/>
      <c r="B57" s="134"/>
      <c r="C57" s="77" t="s">
        <v>50</v>
      </c>
      <c r="D57" s="75">
        <f>SUM(D43:D56)</f>
        <v>12334960</v>
      </c>
      <c r="E57" s="75">
        <f t="shared" ref="E57:Q57" si="14">SUM(E43:E56)</f>
        <v>-269950</v>
      </c>
      <c r="F57" s="75">
        <f t="shared" si="14"/>
        <v>4985400</v>
      </c>
      <c r="G57" s="94">
        <f t="shared" ref="G57:J57" si="15">SUM(G43:G56)</f>
        <v>0</v>
      </c>
      <c r="H57" s="94">
        <f t="shared" si="15"/>
        <v>-4985400</v>
      </c>
      <c r="I57" s="94">
        <f t="shared" si="15"/>
        <v>0</v>
      </c>
      <c r="J57" s="75">
        <f t="shared" si="15"/>
        <v>0</v>
      </c>
      <c r="K57" s="75">
        <f t="shared" si="14"/>
        <v>0</v>
      </c>
      <c r="L57" s="75">
        <f t="shared" si="14"/>
        <v>0</v>
      </c>
      <c r="M57" s="75">
        <f t="shared" si="14"/>
        <v>0</v>
      </c>
      <c r="N57" s="75">
        <f t="shared" si="14"/>
        <v>0</v>
      </c>
      <c r="O57" s="75">
        <f>SUM(O43:O56)</f>
        <v>12065010</v>
      </c>
      <c r="P57" s="75">
        <f t="shared" si="14"/>
        <v>2959646</v>
      </c>
      <c r="Q57" s="75">
        <f t="shared" si="14"/>
        <v>9105364</v>
      </c>
    </row>
    <row r="58" spans="1:17" x14ac:dyDescent="0.2">
      <c r="A58" s="133"/>
      <c r="B58" s="134"/>
      <c r="C58" s="34" t="s">
        <v>46</v>
      </c>
      <c r="D58" s="11">
        <v>86808</v>
      </c>
      <c r="E58" s="11"/>
      <c r="F58" s="11"/>
      <c r="G58" s="13"/>
      <c r="H58" s="13"/>
      <c r="I58" s="13"/>
      <c r="J58" s="11"/>
      <c r="K58" s="11"/>
      <c r="L58" s="11"/>
      <c r="M58" s="11"/>
      <c r="N58" s="11"/>
      <c r="O58" s="20">
        <f>D58+E58+F58+K58+N58</f>
        <v>86808</v>
      </c>
      <c r="P58" s="31">
        <v>0</v>
      </c>
      <c r="Q58" s="39">
        <f>O58-P58</f>
        <v>86808</v>
      </c>
    </row>
    <row r="59" spans="1:17" x14ac:dyDescent="0.2">
      <c r="A59" s="133"/>
      <c r="B59" s="134"/>
      <c r="C59" s="14" t="s">
        <v>47</v>
      </c>
      <c r="D59" s="13">
        <v>23438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20">
        <f>D59+E59+F59+K59+N59</f>
        <v>23438</v>
      </c>
      <c r="P59" s="31">
        <v>0</v>
      </c>
      <c r="Q59" s="39">
        <f>O59-P59</f>
        <v>23438</v>
      </c>
    </row>
    <row r="60" spans="1:17" ht="13.5" thickBot="1" x14ac:dyDescent="0.25">
      <c r="A60" s="131"/>
      <c r="B60" s="135"/>
      <c r="C60" s="78" t="s">
        <v>54</v>
      </c>
      <c r="D60" s="73">
        <f>SUM(D58:D59)</f>
        <v>110246</v>
      </c>
      <c r="E60" s="73">
        <f t="shared" ref="E60:Q60" si="16">SUM(E58:E59)</f>
        <v>0</v>
      </c>
      <c r="F60" s="73">
        <f t="shared" si="16"/>
        <v>0</v>
      </c>
      <c r="G60" s="95">
        <f t="shared" ref="G60:J60" si="17">SUM(G58:G59)</f>
        <v>0</v>
      </c>
      <c r="H60" s="95">
        <f t="shared" si="17"/>
        <v>0</v>
      </c>
      <c r="I60" s="95">
        <f t="shared" si="17"/>
        <v>0</v>
      </c>
      <c r="J60" s="73">
        <f t="shared" si="17"/>
        <v>0</v>
      </c>
      <c r="K60" s="73">
        <f t="shared" si="16"/>
        <v>0</v>
      </c>
      <c r="L60" s="73">
        <f t="shared" si="16"/>
        <v>0</v>
      </c>
      <c r="M60" s="73">
        <f t="shared" si="16"/>
        <v>0</v>
      </c>
      <c r="N60" s="73">
        <f t="shared" si="16"/>
        <v>0</v>
      </c>
      <c r="O60" s="73">
        <f t="shared" si="16"/>
        <v>110246</v>
      </c>
      <c r="P60" s="73">
        <f t="shared" si="16"/>
        <v>0</v>
      </c>
      <c r="Q60" s="73">
        <f t="shared" si="16"/>
        <v>110246</v>
      </c>
    </row>
    <row r="61" spans="1:17" ht="13.5" thickTop="1" x14ac:dyDescent="0.2">
      <c r="A61" s="133" t="s">
        <v>30</v>
      </c>
      <c r="B61" s="134" t="s">
        <v>10</v>
      </c>
      <c r="C61" s="15" t="s">
        <v>14</v>
      </c>
      <c r="D61" s="18">
        <v>4572579</v>
      </c>
      <c r="E61" s="20"/>
      <c r="F61" s="16"/>
      <c r="G61" s="93">
        <v>273811</v>
      </c>
      <c r="H61" s="93">
        <v>-273811</v>
      </c>
      <c r="I61" s="93"/>
      <c r="J61" s="16"/>
      <c r="K61" s="17"/>
      <c r="L61" s="17"/>
      <c r="M61" s="56"/>
      <c r="N61" s="17"/>
      <c r="O61" s="20">
        <f>D61+E61+F61+K61+N61+G61+M61+H61</f>
        <v>4572579</v>
      </c>
      <c r="P61" s="20">
        <v>2022393</v>
      </c>
      <c r="Q61" s="39">
        <f>O61-P61</f>
        <v>2550186</v>
      </c>
    </row>
    <row r="62" spans="1:17" x14ac:dyDescent="0.2">
      <c r="A62" s="133"/>
      <c r="B62" s="134"/>
      <c r="C62" s="6" t="s">
        <v>36</v>
      </c>
      <c r="D62" s="3">
        <v>200000</v>
      </c>
      <c r="E62" s="2"/>
      <c r="F62" s="11"/>
      <c r="G62" s="13"/>
      <c r="H62" s="13"/>
      <c r="I62" s="13"/>
      <c r="J62" s="11"/>
      <c r="K62" s="8"/>
      <c r="L62" s="8"/>
      <c r="M62" s="8"/>
      <c r="N62" s="8"/>
      <c r="O62" s="20">
        <f>D62+E62+F62+K62+N62</f>
        <v>200000</v>
      </c>
      <c r="P62" s="2">
        <v>200000</v>
      </c>
      <c r="Q62" s="39">
        <f>O62-P62</f>
        <v>0</v>
      </c>
    </row>
    <row r="63" spans="1:17" x14ac:dyDescent="0.2">
      <c r="A63" s="133"/>
      <c r="B63" s="134"/>
      <c r="C63" s="6" t="s">
        <v>37</v>
      </c>
      <c r="D63" s="3">
        <v>50000</v>
      </c>
      <c r="E63" s="2"/>
      <c r="F63" s="11"/>
      <c r="G63" s="13"/>
      <c r="H63" s="13"/>
      <c r="I63" s="13"/>
      <c r="J63" s="11"/>
      <c r="K63" s="8"/>
      <c r="L63" s="8"/>
      <c r="M63" s="8"/>
      <c r="N63" s="8"/>
      <c r="O63" s="20">
        <f>D63+E63+F63+K63+N63</f>
        <v>50000</v>
      </c>
      <c r="P63" s="2">
        <v>0</v>
      </c>
      <c r="Q63" s="39">
        <f>O63-P63</f>
        <v>50000</v>
      </c>
    </row>
    <row r="64" spans="1:17" x14ac:dyDescent="0.2">
      <c r="A64" s="133"/>
      <c r="B64" s="134"/>
      <c r="C64" s="6" t="s">
        <v>41</v>
      </c>
      <c r="D64" s="3">
        <v>24000</v>
      </c>
      <c r="E64" s="2"/>
      <c r="F64" s="11"/>
      <c r="G64" s="13"/>
      <c r="H64" s="13"/>
      <c r="I64" s="13"/>
      <c r="J64" s="11"/>
      <c r="K64" s="8"/>
      <c r="L64" s="8"/>
      <c r="M64" s="8"/>
      <c r="N64" s="8"/>
      <c r="O64" s="20">
        <f>D64+E64+F64+K64+N64</f>
        <v>24000</v>
      </c>
      <c r="P64" s="2">
        <v>12000</v>
      </c>
      <c r="Q64" s="39">
        <f>O64-P64</f>
        <v>12000</v>
      </c>
    </row>
    <row r="65" spans="1:17" x14ac:dyDescent="0.2">
      <c r="A65" s="133"/>
      <c r="B65" s="134"/>
      <c r="C65" s="6" t="s">
        <v>19</v>
      </c>
      <c r="D65" s="3">
        <v>263479</v>
      </c>
      <c r="E65" s="2"/>
      <c r="F65" s="11"/>
      <c r="G65" s="13"/>
      <c r="H65" s="13"/>
      <c r="I65" s="13"/>
      <c r="J65" s="11"/>
      <c r="K65" s="55"/>
      <c r="L65" s="55"/>
      <c r="M65" s="55"/>
      <c r="N65" s="8"/>
      <c r="O65" s="20">
        <f>D65+E65+F65+K65+N65+G65</f>
        <v>263479</v>
      </c>
      <c r="P65" s="2">
        <v>91862</v>
      </c>
      <c r="Q65" s="39">
        <f>O65-P65</f>
        <v>171617</v>
      </c>
    </row>
    <row r="66" spans="1:17" x14ac:dyDescent="0.2">
      <c r="A66" s="133"/>
      <c r="B66" s="134"/>
      <c r="C66" s="77" t="s">
        <v>51</v>
      </c>
      <c r="D66" s="75">
        <f>SUM(D61:D65)</f>
        <v>5110058</v>
      </c>
      <c r="E66" s="75">
        <f t="shared" ref="E66:Q66" si="18">SUM(E61:E65)</f>
        <v>0</v>
      </c>
      <c r="F66" s="75">
        <f t="shared" si="18"/>
        <v>0</v>
      </c>
      <c r="G66" s="94">
        <f t="shared" si="18"/>
        <v>273811</v>
      </c>
      <c r="H66" s="94">
        <f t="shared" si="18"/>
        <v>-273811</v>
      </c>
      <c r="I66" s="94">
        <f t="shared" si="18"/>
        <v>0</v>
      </c>
      <c r="J66" s="75">
        <f t="shared" si="18"/>
        <v>0</v>
      </c>
      <c r="K66" s="75">
        <f t="shared" si="18"/>
        <v>0</v>
      </c>
      <c r="L66" s="75">
        <f t="shared" si="18"/>
        <v>0</v>
      </c>
      <c r="M66" s="75">
        <f t="shared" si="18"/>
        <v>0</v>
      </c>
      <c r="N66" s="75">
        <f t="shared" si="18"/>
        <v>0</v>
      </c>
      <c r="O66" s="75">
        <f>SUM(O61:O65)</f>
        <v>5110058</v>
      </c>
      <c r="P66" s="75">
        <f t="shared" si="18"/>
        <v>2326255</v>
      </c>
      <c r="Q66" s="75">
        <f t="shared" si="18"/>
        <v>2783803</v>
      </c>
    </row>
    <row r="67" spans="1:17" x14ac:dyDescent="0.2">
      <c r="A67" s="133"/>
      <c r="B67" s="134"/>
      <c r="C67" s="62" t="s">
        <v>16</v>
      </c>
      <c r="D67" s="63">
        <v>931741</v>
      </c>
      <c r="E67" s="63"/>
      <c r="F67" s="63"/>
      <c r="G67" s="64">
        <v>47917</v>
      </c>
      <c r="H67" s="64">
        <v>-47917</v>
      </c>
      <c r="I67" s="64"/>
      <c r="J67" s="63"/>
      <c r="K67" s="64"/>
      <c r="L67" s="64"/>
      <c r="M67" s="64"/>
      <c r="N67" s="65"/>
      <c r="O67" s="66">
        <f>D67+E67+F67+K67+N67+G67+M67+H67</f>
        <v>931741</v>
      </c>
      <c r="P67" s="63">
        <v>753001</v>
      </c>
      <c r="Q67" s="63">
        <f t="shared" ref="Q67:Q79" si="19">O67-P67</f>
        <v>178740</v>
      </c>
    </row>
    <row r="68" spans="1:17" x14ac:dyDescent="0.2">
      <c r="A68" s="133"/>
      <c r="B68" s="134"/>
      <c r="C68" s="6" t="s">
        <v>20</v>
      </c>
      <c r="D68" s="3">
        <v>0</v>
      </c>
      <c r="E68" s="2"/>
      <c r="F68" s="11"/>
      <c r="G68" s="13"/>
      <c r="H68" s="13"/>
      <c r="I68" s="13"/>
      <c r="J68" s="11"/>
      <c r="K68" s="8"/>
      <c r="L68" s="8"/>
      <c r="M68" s="8"/>
      <c r="N68" s="8"/>
      <c r="O68" s="20">
        <f t="shared" ref="O68:O79" si="20">D68+E68+F68+K68+N68</f>
        <v>0</v>
      </c>
      <c r="P68" s="2">
        <v>0</v>
      </c>
      <c r="Q68" s="39">
        <f t="shared" si="19"/>
        <v>0</v>
      </c>
    </row>
    <row r="69" spans="1:17" s="58" customFormat="1" x14ac:dyDescent="0.2">
      <c r="A69" s="133"/>
      <c r="B69" s="134"/>
      <c r="C69" s="88" t="s">
        <v>39</v>
      </c>
      <c r="D69" s="55">
        <v>48000</v>
      </c>
      <c r="E69" s="55"/>
      <c r="F69" s="13"/>
      <c r="G69" s="13"/>
      <c r="H69" s="13"/>
      <c r="I69" s="13"/>
      <c r="J69" s="13"/>
      <c r="K69" s="55"/>
      <c r="L69" s="55"/>
      <c r="M69" s="55"/>
      <c r="N69" s="55"/>
      <c r="O69" s="56">
        <f t="shared" si="20"/>
        <v>48000</v>
      </c>
      <c r="P69" s="55">
        <v>0</v>
      </c>
      <c r="Q69" s="81">
        <f t="shared" si="19"/>
        <v>48000</v>
      </c>
    </row>
    <row r="70" spans="1:17" s="58" customFormat="1" x14ac:dyDescent="0.2">
      <c r="A70" s="133"/>
      <c r="B70" s="134"/>
      <c r="C70" s="88" t="s">
        <v>21</v>
      </c>
      <c r="D70" s="55">
        <v>6041</v>
      </c>
      <c r="E70" s="55">
        <f>52000+1000</f>
        <v>53000</v>
      </c>
      <c r="F70" s="13"/>
      <c r="G70" s="13"/>
      <c r="H70" s="13"/>
      <c r="I70" s="13"/>
      <c r="J70" s="13"/>
      <c r="K70" s="55"/>
      <c r="L70" s="55"/>
      <c r="M70" s="55"/>
      <c r="N70" s="55"/>
      <c r="O70" s="56">
        <f t="shared" si="20"/>
        <v>59041</v>
      </c>
      <c r="P70" s="55">
        <v>30032</v>
      </c>
      <c r="Q70" s="89">
        <f t="shared" si="19"/>
        <v>29009</v>
      </c>
    </row>
    <row r="71" spans="1:17" s="58" customFormat="1" x14ac:dyDescent="0.2">
      <c r="A71" s="133"/>
      <c r="B71" s="134"/>
      <c r="C71" s="88" t="s">
        <v>22</v>
      </c>
      <c r="D71" s="55">
        <v>5424</v>
      </c>
      <c r="E71" s="55">
        <f>-1050+1000</f>
        <v>-50</v>
      </c>
      <c r="F71" s="13"/>
      <c r="G71" s="13"/>
      <c r="H71" s="13"/>
      <c r="I71" s="13"/>
      <c r="J71" s="13"/>
      <c r="K71" s="55"/>
      <c r="L71" s="55"/>
      <c r="M71" s="55"/>
      <c r="N71" s="55"/>
      <c r="O71" s="56">
        <f t="shared" si="20"/>
        <v>5374</v>
      </c>
      <c r="P71" s="55">
        <v>3430</v>
      </c>
      <c r="Q71" s="89">
        <f t="shared" si="19"/>
        <v>1944</v>
      </c>
    </row>
    <row r="72" spans="1:17" s="58" customFormat="1" x14ac:dyDescent="0.2">
      <c r="A72" s="133"/>
      <c r="B72" s="134"/>
      <c r="C72" s="88" t="s">
        <v>23</v>
      </c>
      <c r="D72" s="55">
        <v>193194</v>
      </c>
      <c r="E72" s="55"/>
      <c r="F72" s="13"/>
      <c r="G72" s="13"/>
      <c r="H72" s="13"/>
      <c r="I72" s="13"/>
      <c r="J72" s="13"/>
      <c r="K72" s="55"/>
      <c r="L72" s="55"/>
      <c r="M72" s="55"/>
      <c r="N72" s="55"/>
      <c r="O72" s="56">
        <f t="shared" si="20"/>
        <v>193194</v>
      </c>
      <c r="P72" s="55">
        <v>117831</v>
      </c>
      <c r="Q72" s="89">
        <f t="shared" si="19"/>
        <v>75363</v>
      </c>
    </row>
    <row r="73" spans="1:17" s="58" customFormat="1" x14ac:dyDescent="0.2">
      <c r="A73" s="133"/>
      <c r="B73" s="134"/>
      <c r="C73" s="88" t="s">
        <v>29</v>
      </c>
      <c r="D73" s="55">
        <v>9112980</v>
      </c>
      <c r="E73" s="55"/>
      <c r="F73" s="13"/>
      <c r="G73" s="13"/>
      <c r="H73" s="13"/>
      <c r="I73" s="13"/>
      <c r="J73" s="13"/>
      <c r="K73" s="55"/>
      <c r="L73" s="55"/>
      <c r="M73" s="55"/>
      <c r="N73" s="55"/>
      <c r="O73" s="56">
        <f t="shared" si="20"/>
        <v>9112980</v>
      </c>
      <c r="P73" s="55">
        <v>3919223</v>
      </c>
      <c r="Q73" s="89">
        <f t="shared" si="19"/>
        <v>5193757</v>
      </c>
    </row>
    <row r="74" spans="1:17" s="58" customFormat="1" x14ac:dyDescent="0.2">
      <c r="A74" s="133"/>
      <c r="B74" s="134"/>
      <c r="C74" s="88" t="s">
        <v>24</v>
      </c>
      <c r="D74" s="55">
        <v>27700</v>
      </c>
      <c r="E74" s="55"/>
      <c r="F74" s="13"/>
      <c r="G74" s="13"/>
      <c r="H74" s="13"/>
      <c r="I74" s="13"/>
      <c r="J74" s="13"/>
      <c r="K74" s="55"/>
      <c r="L74" s="55"/>
      <c r="M74" s="55"/>
      <c r="N74" s="55"/>
      <c r="O74" s="56">
        <f t="shared" si="20"/>
        <v>27700</v>
      </c>
      <c r="P74" s="55">
        <v>1224</v>
      </c>
      <c r="Q74" s="81">
        <f t="shared" si="19"/>
        <v>26476</v>
      </c>
    </row>
    <row r="75" spans="1:17" x14ac:dyDescent="0.2">
      <c r="A75" s="133"/>
      <c r="B75" s="134"/>
      <c r="C75" s="5" t="s">
        <v>25</v>
      </c>
      <c r="D75" s="3">
        <v>0</v>
      </c>
      <c r="E75" s="2"/>
      <c r="F75" s="11"/>
      <c r="G75" s="11"/>
      <c r="H75" s="11"/>
      <c r="I75" s="11"/>
      <c r="J75" s="11"/>
      <c r="K75" s="8"/>
      <c r="L75" s="8"/>
      <c r="M75" s="8"/>
      <c r="N75" s="55"/>
      <c r="O75" s="20">
        <f t="shared" si="20"/>
        <v>0</v>
      </c>
      <c r="P75" s="2">
        <v>0</v>
      </c>
      <c r="Q75" s="39">
        <f t="shared" si="19"/>
        <v>0</v>
      </c>
    </row>
    <row r="76" spans="1:17" x14ac:dyDescent="0.2">
      <c r="A76" s="133"/>
      <c r="B76" s="134"/>
      <c r="C76" s="5" t="s">
        <v>26</v>
      </c>
      <c r="D76" s="3">
        <v>181722</v>
      </c>
      <c r="E76" s="2">
        <f>15750-66040+50000</f>
        <v>-290</v>
      </c>
      <c r="F76" s="11"/>
      <c r="G76" s="11"/>
      <c r="H76" s="11"/>
      <c r="I76" s="11"/>
      <c r="J76" s="11"/>
      <c r="K76" s="8"/>
      <c r="L76" s="8"/>
      <c r="M76" s="8"/>
      <c r="N76" s="55"/>
      <c r="O76" s="20">
        <f t="shared" si="20"/>
        <v>181432</v>
      </c>
      <c r="P76" s="2">
        <v>131432</v>
      </c>
      <c r="Q76" s="39">
        <f t="shared" si="19"/>
        <v>50000</v>
      </c>
    </row>
    <row r="77" spans="1:17" x14ac:dyDescent="0.2">
      <c r="A77" s="133"/>
      <c r="B77" s="134"/>
      <c r="C77" s="5" t="s">
        <v>40</v>
      </c>
      <c r="D77" s="3">
        <v>0</v>
      </c>
      <c r="E77" s="2"/>
      <c r="F77" s="11"/>
      <c r="G77" s="11"/>
      <c r="H77" s="11"/>
      <c r="I77" s="11"/>
      <c r="J77" s="11"/>
      <c r="K77" s="8"/>
      <c r="L77" s="8"/>
      <c r="M77" s="8"/>
      <c r="N77" s="55"/>
      <c r="O77" s="20">
        <f t="shared" si="20"/>
        <v>0</v>
      </c>
      <c r="P77" s="2">
        <v>0</v>
      </c>
      <c r="Q77" s="39">
        <f t="shared" si="19"/>
        <v>0</v>
      </c>
    </row>
    <row r="78" spans="1:17" x14ac:dyDescent="0.2">
      <c r="A78" s="133"/>
      <c r="B78" s="134"/>
      <c r="C78" s="5" t="s">
        <v>27</v>
      </c>
      <c r="D78" s="3">
        <v>2546977</v>
      </c>
      <c r="E78" s="2">
        <f>14040+50</f>
        <v>14090</v>
      </c>
      <c r="F78" s="11"/>
      <c r="G78" s="11"/>
      <c r="H78" s="11"/>
      <c r="I78" s="11"/>
      <c r="J78" s="11"/>
      <c r="K78" s="55"/>
      <c r="L78" s="55"/>
      <c r="M78" s="55"/>
      <c r="N78" s="55"/>
      <c r="O78" s="20">
        <f t="shared" si="20"/>
        <v>2561067</v>
      </c>
      <c r="P78" s="2">
        <v>1112162</v>
      </c>
      <c r="Q78" s="39">
        <f t="shared" si="19"/>
        <v>1448905</v>
      </c>
    </row>
    <row r="79" spans="1:17" x14ac:dyDescent="0.2">
      <c r="A79" s="133"/>
      <c r="B79" s="134"/>
      <c r="C79" s="5" t="s">
        <v>28</v>
      </c>
      <c r="D79" s="3">
        <v>5</v>
      </c>
      <c r="E79" s="2"/>
      <c r="F79" s="11"/>
      <c r="G79" s="11"/>
      <c r="H79" s="11"/>
      <c r="I79" s="11"/>
      <c r="J79" s="11"/>
      <c r="K79" s="55"/>
      <c r="L79" s="55"/>
      <c r="M79" s="55"/>
      <c r="N79" s="55"/>
      <c r="O79" s="20">
        <f t="shared" si="20"/>
        <v>5</v>
      </c>
      <c r="P79" s="2">
        <v>1</v>
      </c>
      <c r="Q79" s="79">
        <f t="shared" si="19"/>
        <v>4</v>
      </c>
    </row>
    <row r="80" spans="1:17" x14ac:dyDescent="0.2">
      <c r="A80" s="133"/>
      <c r="B80" s="134"/>
      <c r="C80" s="77" t="s">
        <v>50</v>
      </c>
      <c r="D80" s="75">
        <f>SUM(D68:D79)</f>
        <v>12122043</v>
      </c>
      <c r="E80" s="75">
        <f t="shared" ref="E80:Q80" si="21">SUM(E68:E79)</f>
        <v>66750</v>
      </c>
      <c r="F80" s="75">
        <f t="shared" si="21"/>
        <v>0</v>
      </c>
      <c r="G80" s="75">
        <f t="shared" ref="G80:I80" si="22">SUM(G68:G79)</f>
        <v>0</v>
      </c>
      <c r="H80" s="75">
        <f t="shared" ref="H80" si="23">SUM(H68:H79)</f>
        <v>0</v>
      </c>
      <c r="I80" s="75">
        <f t="shared" si="22"/>
        <v>0</v>
      </c>
      <c r="J80" s="75">
        <f t="shared" si="21"/>
        <v>0</v>
      </c>
      <c r="K80" s="75">
        <f t="shared" si="21"/>
        <v>0</v>
      </c>
      <c r="L80" s="75">
        <f t="shared" si="21"/>
        <v>0</v>
      </c>
      <c r="M80" s="75">
        <f t="shared" si="21"/>
        <v>0</v>
      </c>
      <c r="N80" s="75">
        <f t="shared" si="21"/>
        <v>0</v>
      </c>
      <c r="O80" s="75">
        <f t="shared" si="21"/>
        <v>12188793</v>
      </c>
      <c r="P80" s="75">
        <f t="shared" si="21"/>
        <v>5315335</v>
      </c>
      <c r="Q80" s="75">
        <f t="shared" si="21"/>
        <v>6873458</v>
      </c>
    </row>
    <row r="81" spans="1:17" x14ac:dyDescent="0.2">
      <c r="A81" s="133"/>
      <c r="B81" s="134"/>
      <c r="C81" s="5" t="s">
        <v>68</v>
      </c>
      <c r="D81" s="3">
        <v>0</v>
      </c>
      <c r="E81" s="2">
        <v>160000</v>
      </c>
      <c r="F81" s="11"/>
      <c r="G81" s="11"/>
      <c r="H81" s="11"/>
      <c r="I81" s="11"/>
      <c r="J81" s="11"/>
      <c r="K81" s="8"/>
      <c r="L81" s="8"/>
      <c r="M81" s="8"/>
      <c r="N81" s="8"/>
      <c r="O81" s="20">
        <f>D81+E81+F81+K81+N81</f>
        <v>160000</v>
      </c>
      <c r="P81" s="2">
        <v>160000</v>
      </c>
      <c r="Q81" s="39">
        <f>O81-P81</f>
        <v>0</v>
      </c>
    </row>
    <row r="82" spans="1:17" x14ac:dyDescent="0.2">
      <c r="A82" s="133"/>
      <c r="B82" s="134"/>
      <c r="C82" s="6" t="s">
        <v>46</v>
      </c>
      <c r="D82" s="3">
        <v>0</v>
      </c>
      <c r="E82" s="2"/>
      <c r="F82" s="11"/>
      <c r="G82" s="11"/>
      <c r="H82" s="11"/>
      <c r="I82" s="11"/>
      <c r="J82" s="11"/>
      <c r="K82" s="8"/>
      <c r="L82" s="8"/>
      <c r="M82" s="8"/>
      <c r="N82" s="8"/>
      <c r="O82" s="20">
        <f>D82+E82+F82+K82+N82</f>
        <v>0</v>
      </c>
      <c r="P82" s="2">
        <v>0</v>
      </c>
      <c r="Q82" s="39">
        <f>O82-P82</f>
        <v>0</v>
      </c>
    </row>
    <row r="83" spans="1:17" x14ac:dyDescent="0.2">
      <c r="A83" s="133"/>
      <c r="B83" s="134"/>
      <c r="C83" s="6" t="s">
        <v>47</v>
      </c>
      <c r="D83" s="3">
        <v>0</v>
      </c>
      <c r="E83" s="2">
        <v>43200</v>
      </c>
      <c r="F83" s="11"/>
      <c r="G83" s="11"/>
      <c r="H83" s="11"/>
      <c r="I83" s="11"/>
      <c r="J83" s="11"/>
      <c r="K83" s="8"/>
      <c r="L83" s="8"/>
      <c r="M83" s="8"/>
      <c r="N83" s="8"/>
      <c r="O83" s="20">
        <f>D83+E83+F83+K83+N83</f>
        <v>43200</v>
      </c>
      <c r="P83" s="2">
        <v>43200</v>
      </c>
      <c r="Q83" s="39">
        <f>O83-P83</f>
        <v>0</v>
      </c>
    </row>
    <row r="84" spans="1:17" x14ac:dyDescent="0.2">
      <c r="A84" s="133"/>
      <c r="B84" s="134"/>
      <c r="C84" s="77" t="s">
        <v>54</v>
      </c>
      <c r="D84" s="75">
        <f t="shared" ref="D84:Q84" si="24">SUM(D81:D83)</f>
        <v>0</v>
      </c>
      <c r="E84" s="75">
        <f t="shared" si="24"/>
        <v>203200</v>
      </c>
      <c r="F84" s="75">
        <f t="shared" si="24"/>
        <v>0</v>
      </c>
      <c r="G84" s="75">
        <f t="shared" si="24"/>
        <v>0</v>
      </c>
      <c r="H84" s="75">
        <f t="shared" ref="H84" si="25">SUM(H81:H83)</f>
        <v>0</v>
      </c>
      <c r="I84" s="75">
        <f t="shared" si="24"/>
        <v>0</v>
      </c>
      <c r="J84" s="75">
        <f t="shared" si="24"/>
        <v>0</v>
      </c>
      <c r="K84" s="75">
        <f t="shared" si="24"/>
        <v>0</v>
      </c>
      <c r="L84" s="75">
        <f t="shared" si="24"/>
        <v>0</v>
      </c>
      <c r="M84" s="75">
        <f t="shared" si="24"/>
        <v>0</v>
      </c>
      <c r="N84" s="75">
        <f t="shared" si="24"/>
        <v>0</v>
      </c>
      <c r="O84" s="75">
        <f t="shared" si="24"/>
        <v>203200</v>
      </c>
      <c r="P84" s="75">
        <f t="shared" si="24"/>
        <v>203200</v>
      </c>
      <c r="Q84" s="75">
        <f t="shared" si="24"/>
        <v>0</v>
      </c>
    </row>
    <row r="85" spans="1:17" x14ac:dyDescent="0.2">
      <c r="A85" s="133"/>
      <c r="B85" s="134"/>
      <c r="C85" s="6" t="s">
        <v>48</v>
      </c>
      <c r="D85" s="3">
        <v>0</v>
      </c>
      <c r="E85" s="2"/>
      <c r="F85" s="11"/>
      <c r="G85" s="11"/>
      <c r="H85" s="11"/>
      <c r="I85" s="11"/>
      <c r="J85" s="11"/>
      <c r="K85" s="12"/>
      <c r="L85" s="12"/>
      <c r="M85" s="12"/>
      <c r="N85" s="12"/>
      <c r="O85" s="20">
        <f>D85+E85+F85+K85+N85</f>
        <v>0</v>
      </c>
      <c r="P85" s="2">
        <v>0</v>
      </c>
      <c r="Q85" s="39">
        <f>O85-P85</f>
        <v>0</v>
      </c>
    </row>
    <row r="86" spans="1:17" x14ac:dyDescent="0.2">
      <c r="A86" s="133"/>
      <c r="B86" s="134"/>
      <c r="C86" s="35" t="s">
        <v>49</v>
      </c>
      <c r="D86" s="30">
        <v>0</v>
      </c>
      <c r="E86" s="31"/>
      <c r="F86" s="32"/>
      <c r="G86" s="32"/>
      <c r="H86" s="32"/>
      <c r="I86" s="32"/>
      <c r="J86" s="32"/>
      <c r="K86" s="36"/>
      <c r="L86" s="36"/>
      <c r="M86" s="36"/>
      <c r="N86" s="36"/>
      <c r="O86" s="20">
        <f>D86+E86+F86+K86+N86</f>
        <v>0</v>
      </c>
      <c r="P86" s="31">
        <v>0</v>
      </c>
      <c r="Q86" s="39">
        <f>O86-P86</f>
        <v>0</v>
      </c>
    </row>
    <row r="87" spans="1:17" ht="13.5" thickBot="1" x14ac:dyDescent="0.25">
      <c r="A87" s="131"/>
      <c r="B87" s="135"/>
      <c r="C87" s="78" t="s">
        <v>55</v>
      </c>
      <c r="D87" s="73">
        <v>0</v>
      </c>
      <c r="E87" s="73">
        <f t="shared" ref="E87:Q87" si="26">SUM(E85:E86)</f>
        <v>0</v>
      </c>
      <c r="F87" s="73">
        <f t="shared" si="26"/>
        <v>0</v>
      </c>
      <c r="G87" s="73">
        <f t="shared" ref="G87:J87" si="27">SUM(G85:G86)</f>
        <v>0</v>
      </c>
      <c r="H87" s="73">
        <f t="shared" ref="H87" si="28">SUM(H85:H86)</f>
        <v>0</v>
      </c>
      <c r="I87" s="73">
        <f t="shared" si="27"/>
        <v>0</v>
      </c>
      <c r="J87" s="73">
        <f t="shared" si="27"/>
        <v>0</v>
      </c>
      <c r="K87" s="73">
        <f t="shared" si="26"/>
        <v>0</v>
      </c>
      <c r="L87" s="73">
        <f t="shared" si="26"/>
        <v>0</v>
      </c>
      <c r="M87" s="73">
        <f t="shared" si="26"/>
        <v>0</v>
      </c>
      <c r="N87" s="73">
        <f t="shared" si="26"/>
        <v>0</v>
      </c>
      <c r="O87" s="73">
        <f t="shared" si="26"/>
        <v>0</v>
      </c>
      <c r="P87" s="73">
        <f t="shared" si="26"/>
        <v>0</v>
      </c>
      <c r="Q87" s="73">
        <f t="shared" si="26"/>
        <v>0</v>
      </c>
    </row>
    <row r="88" spans="1:17" ht="13.5" thickTop="1" x14ac:dyDescent="0.2">
      <c r="A88" s="133" t="s">
        <v>30</v>
      </c>
      <c r="B88" s="134" t="s">
        <v>13</v>
      </c>
      <c r="C88" s="15" t="s">
        <v>14</v>
      </c>
      <c r="D88" s="18">
        <v>0</v>
      </c>
      <c r="E88" s="20"/>
      <c r="F88" s="16"/>
      <c r="G88" s="16"/>
      <c r="H88" s="16"/>
      <c r="I88" s="16"/>
      <c r="J88" s="16"/>
      <c r="K88" s="17"/>
      <c r="L88" s="17"/>
      <c r="M88" s="17"/>
      <c r="N88" s="17"/>
      <c r="O88" s="20">
        <f>D88+E88+F88+K88+N88</f>
        <v>0</v>
      </c>
      <c r="P88" s="20">
        <v>0</v>
      </c>
      <c r="Q88" s="39">
        <f>O88-P88</f>
        <v>0</v>
      </c>
    </row>
    <row r="89" spans="1:17" x14ac:dyDescent="0.2">
      <c r="A89" s="133"/>
      <c r="B89" s="134"/>
      <c r="C89" s="6" t="s">
        <v>19</v>
      </c>
      <c r="D89" s="3">
        <v>0</v>
      </c>
      <c r="E89" s="2"/>
      <c r="F89" s="11"/>
      <c r="G89" s="11"/>
      <c r="H89" s="11"/>
      <c r="I89" s="11"/>
      <c r="J89" s="11"/>
      <c r="K89" s="8"/>
      <c r="L89" s="8"/>
      <c r="M89" s="8"/>
      <c r="N89" s="8"/>
      <c r="O89" s="20">
        <f>D89+E89+F89+K89+N89</f>
        <v>0</v>
      </c>
      <c r="P89" s="2">
        <v>0</v>
      </c>
      <c r="Q89" s="39">
        <f>O89-P89</f>
        <v>0</v>
      </c>
    </row>
    <row r="90" spans="1:17" x14ac:dyDescent="0.2">
      <c r="A90" s="133"/>
      <c r="B90" s="134"/>
      <c r="C90" s="77" t="s">
        <v>51</v>
      </c>
      <c r="D90" s="75">
        <v>0</v>
      </c>
      <c r="E90" s="75">
        <f t="shared" ref="E90:Q90" si="29">SUM(E88:E89)</f>
        <v>0</v>
      </c>
      <c r="F90" s="75">
        <f t="shared" si="29"/>
        <v>0</v>
      </c>
      <c r="G90" s="75">
        <f t="shared" si="29"/>
        <v>0</v>
      </c>
      <c r="H90" s="75">
        <f t="shared" ref="H90" si="30">SUM(H88:H89)</f>
        <v>0</v>
      </c>
      <c r="I90" s="75">
        <f t="shared" si="29"/>
        <v>0</v>
      </c>
      <c r="J90" s="75">
        <f t="shared" si="29"/>
        <v>0</v>
      </c>
      <c r="K90" s="75">
        <f t="shared" si="29"/>
        <v>0</v>
      </c>
      <c r="L90" s="75">
        <f t="shared" si="29"/>
        <v>0</v>
      </c>
      <c r="M90" s="75">
        <f t="shared" si="29"/>
        <v>0</v>
      </c>
      <c r="N90" s="75">
        <f t="shared" si="29"/>
        <v>0</v>
      </c>
      <c r="O90" s="75">
        <f t="shared" si="29"/>
        <v>0</v>
      </c>
      <c r="P90" s="75">
        <f t="shared" si="29"/>
        <v>0</v>
      </c>
      <c r="Q90" s="75">
        <f t="shared" si="29"/>
        <v>0</v>
      </c>
    </row>
    <row r="91" spans="1:17" x14ac:dyDescent="0.2">
      <c r="A91" s="133"/>
      <c r="B91" s="134"/>
      <c r="C91" s="62" t="s">
        <v>16</v>
      </c>
      <c r="D91" s="63">
        <v>0</v>
      </c>
      <c r="E91" s="63"/>
      <c r="F91" s="63"/>
      <c r="G91" s="63"/>
      <c r="H91" s="63"/>
      <c r="I91" s="63"/>
      <c r="J91" s="63"/>
      <c r="K91" s="65"/>
      <c r="L91" s="65"/>
      <c r="M91" s="65"/>
      <c r="N91" s="65"/>
      <c r="O91" s="67">
        <f t="shared" ref="O91:O99" si="31">D91+E91+F91+K91+N91</f>
        <v>0</v>
      </c>
      <c r="P91" s="68">
        <v>0</v>
      </c>
      <c r="Q91" s="69">
        <f t="shared" ref="Q91:Q99" si="32">O91-P91</f>
        <v>0</v>
      </c>
    </row>
    <row r="92" spans="1:17" x14ac:dyDescent="0.2">
      <c r="A92" s="133"/>
      <c r="B92" s="134"/>
      <c r="C92" s="6" t="s">
        <v>20</v>
      </c>
      <c r="D92" s="3">
        <v>0</v>
      </c>
      <c r="E92" s="2"/>
      <c r="F92" s="11"/>
      <c r="G92" s="11"/>
      <c r="H92" s="11"/>
      <c r="I92" s="11"/>
      <c r="J92" s="11"/>
      <c r="K92" s="8"/>
      <c r="L92" s="8"/>
      <c r="M92" s="8"/>
      <c r="N92" s="8"/>
      <c r="O92" s="20">
        <f t="shared" si="31"/>
        <v>0</v>
      </c>
      <c r="P92" s="2">
        <v>0</v>
      </c>
      <c r="Q92" s="39">
        <f t="shared" si="32"/>
        <v>0</v>
      </c>
    </row>
    <row r="93" spans="1:17" x14ac:dyDescent="0.2">
      <c r="A93" s="133"/>
      <c r="B93" s="134"/>
      <c r="C93" s="6" t="s">
        <v>39</v>
      </c>
      <c r="D93" s="3">
        <v>0</v>
      </c>
      <c r="E93" s="2"/>
      <c r="F93" s="11"/>
      <c r="G93" s="11"/>
      <c r="H93" s="11"/>
      <c r="I93" s="11"/>
      <c r="J93" s="11"/>
      <c r="K93" s="8"/>
      <c r="L93" s="8"/>
      <c r="M93" s="8"/>
      <c r="N93" s="8"/>
      <c r="O93" s="20">
        <f t="shared" si="31"/>
        <v>0</v>
      </c>
      <c r="P93" s="2">
        <v>0</v>
      </c>
      <c r="Q93" s="39">
        <f t="shared" si="32"/>
        <v>0</v>
      </c>
    </row>
    <row r="94" spans="1:17" x14ac:dyDescent="0.2">
      <c r="A94" s="133"/>
      <c r="B94" s="134"/>
      <c r="C94" s="5" t="s">
        <v>21</v>
      </c>
      <c r="D94" s="3">
        <v>0</v>
      </c>
      <c r="E94" s="2"/>
      <c r="F94" s="11"/>
      <c r="G94" s="11"/>
      <c r="H94" s="11"/>
      <c r="I94" s="11"/>
      <c r="J94" s="11"/>
      <c r="K94" s="8"/>
      <c r="L94" s="8"/>
      <c r="M94" s="8"/>
      <c r="N94" s="8"/>
      <c r="O94" s="20">
        <f t="shared" si="31"/>
        <v>0</v>
      </c>
      <c r="P94" s="2">
        <v>0</v>
      </c>
      <c r="Q94" s="39">
        <f t="shared" si="32"/>
        <v>0</v>
      </c>
    </row>
    <row r="95" spans="1:17" x14ac:dyDescent="0.2">
      <c r="A95" s="133"/>
      <c r="B95" s="134"/>
      <c r="C95" s="5" t="s">
        <v>22</v>
      </c>
      <c r="D95" s="3">
        <v>0</v>
      </c>
      <c r="E95" s="2"/>
      <c r="F95" s="11"/>
      <c r="G95" s="11"/>
      <c r="H95" s="11"/>
      <c r="I95" s="11"/>
      <c r="J95" s="11"/>
      <c r="K95" s="8"/>
      <c r="L95" s="8"/>
      <c r="M95" s="8"/>
      <c r="N95" s="8"/>
      <c r="O95" s="20">
        <f t="shared" si="31"/>
        <v>0</v>
      </c>
      <c r="P95" s="2">
        <v>0</v>
      </c>
      <c r="Q95" s="39">
        <f t="shared" si="32"/>
        <v>0</v>
      </c>
    </row>
    <row r="96" spans="1:17" x14ac:dyDescent="0.2">
      <c r="A96" s="133"/>
      <c r="B96" s="134"/>
      <c r="C96" s="5" t="s">
        <v>23</v>
      </c>
      <c r="D96" s="3">
        <v>0</v>
      </c>
      <c r="E96" s="2"/>
      <c r="F96" s="11"/>
      <c r="G96" s="11"/>
      <c r="H96" s="11"/>
      <c r="I96" s="11"/>
      <c r="J96" s="11"/>
      <c r="K96" s="8"/>
      <c r="L96" s="8"/>
      <c r="M96" s="8"/>
      <c r="N96" s="8"/>
      <c r="O96" s="20">
        <f t="shared" si="31"/>
        <v>0</v>
      </c>
      <c r="P96" s="2">
        <v>0</v>
      </c>
      <c r="Q96" s="39">
        <f t="shared" si="32"/>
        <v>0</v>
      </c>
    </row>
    <row r="97" spans="1:17" x14ac:dyDescent="0.2">
      <c r="A97" s="133"/>
      <c r="B97" s="134"/>
      <c r="C97" s="5" t="s">
        <v>29</v>
      </c>
      <c r="D97" s="3">
        <v>0</v>
      </c>
      <c r="E97" s="2"/>
      <c r="F97" s="11"/>
      <c r="G97" s="11"/>
      <c r="H97" s="11"/>
      <c r="I97" s="11"/>
      <c r="J97" s="11"/>
      <c r="K97" s="8"/>
      <c r="L97" s="8"/>
      <c r="M97" s="8"/>
      <c r="N97" s="8"/>
      <c r="O97" s="20">
        <f t="shared" si="31"/>
        <v>0</v>
      </c>
      <c r="P97" s="2">
        <v>0</v>
      </c>
      <c r="Q97" s="39">
        <f t="shared" si="32"/>
        <v>0</v>
      </c>
    </row>
    <row r="98" spans="1:17" x14ac:dyDescent="0.2">
      <c r="A98" s="133"/>
      <c r="B98" s="134"/>
      <c r="C98" s="5" t="s">
        <v>26</v>
      </c>
      <c r="D98" s="3">
        <v>0</v>
      </c>
      <c r="E98" s="2"/>
      <c r="F98" s="11"/>
      <c r="G98" s="11"/>
      <c r="H98" s="11"/>
      <c r="I98" s="11"/>
      <c r="J98" s="11"/>
      <c r="K98" s="8"/>
      <c r="L98" s="8"/>
      <c r="M98" s="8"/>
      <c r="N98" s="8"/>
      <c r="O98" s="20">
        <f t="shared" si="31"/>
        <v>0</v>
      </c>
      <c r="P98" s="2">
        <v>0</v>
      </c>
      <c r="Q98" s="39">
        <f t="shared" si="32"/>
        <v>0</v>
      </c>
    </row>
    <row r="99" spans="1:17" x14ac:dyDescent="0.2">
      <c r="A99" s="133"/>
      <c r="B99" s="134"/>
      <c r="C99" s="5" t="s">
        <v>27</v>
      </c>
      <c r="D99" s="3">
        <v>0</v>
      </c>
      <c r="E99" s="2"/>
      <c r="F99" s="11"/>
      <c r="G99" s="11"/>
      <c r="H99" s="11"/>
      <c r="I99" s="11"/>
      <c r="J99" s="11"/>
      <c r="K99" s="8"/>
      <c r="L99" s="8"/>
      <c r="M99" s="8"/>
      <c r="N99" s="8"/>
      <c r="O99" s="20">
        <f t="shared" si="31"/>
        <v>0</v>
      </c>
      <c r="P99" s="2">
        <v>0</v>
      </c>
      <c r="Q99" s="39">
        <f t="shared" si="32"/>
        <v>0</v>
      </c>
    </row>
    <row r="100" spans="1:17" ht="13.5" thickBot="1" x14ac:dyDescent="0.25">
      <c r="A100" s="131"/>
      <c r="B100" s="135"/>
      <c r="C100" s="78" t="s">
        <v>50</v>
      </c>
      <c r="D100" s="73">
        <v>0</v>
      </c>
      <c r="E100" s="73">
        <f t="shared" ref="E100:Q100" si="33">SUM(E92:E99)</f>
        <v>0</v>
      </c>
      <c r="F100" s="73">
        <f t="shared" si="33"/>
        <v>0</v>
      </c>
      <c r="G100" s="73">
        <f t="shared" si="33"/>
        <v>0</v>
      </c>
      <c r="H100" s="73">
        <f t="shared" ref="H100" si="34">SUM(H92:H99)</f>
        <v>0</v>
      </c>
      <c r="I100" s="73">
        <f t="shared" si="33"/>
        <v>0</v>
      </c>
      <c r="J100" s="73">
        <f t="shared" si="33"/>
        <v>0</v>
      </c>
      <c r="K100" s="73">
        <f t="shared" si="33"/>
        <v>0</v>
      </c>
      <c r="L100" s="73">
        <f t="shared" si="33"/>
        <v>0</v>
      </c>
      <c r="M100" s="73">
        <f t="shared" si="33"/>
        <v>0</v>
      </c>
      <c r="N100" s="73">
        <f t="shared" si="33"/>
        <v>0</v>
      </c>
      <c r="O100" s="73">
        <f t="shared" si="33"/>
        <v>0</v>
      </c>
      <c r="P100" s="73">
        <f t="shared" si="33"/>
        <v>0</v>
      </c>
      <c r="Q100" s="73">
        <f t="shared" si="33"/>
        <v>0</v>
      </c>
    </row>
    <row r="101" spans="1:17" ht="13.5" thickTop="1" x14ac:dyDescent="0.2">
      <c r="A101" s="130" t="s">
        <v>31</v>
      </c>
      <c r="B101" s="140" t="s">
        <v>6</v>
      </c>
      <c r="C101" s="15" t="s">
        <v>19</v>
      </c>
      <c r="D101" s="18">
        <v>154300</v>
      </c>
      <c r="E101" s="20"/>
      <c r="F101" s="16"/>
      <c r="G101" s="16"/>
      <c r="H101" s="16"/>
      <c r="I101" s="16"/>
      <c r="J101" s="16"/>
      <c r="K101" s="56"/>
      <c r="L101" s="56"/>
      <c r="M101" s="56"/>
      <c r="N101" s="56"/>
      <c r="O101" s="20">
        <f t="shared" ref="O101:O106" si="35">D101+E101+F101+K101+N101</f>
        <v>154300</v>
      </c>
      <c r="P101" s="20">
        <v>90500</v>
      </c>
      <c r="Q101" s="39">
        <f t="shared" ref="Q101:Q106" si="36">O101-P101</f>
        <v>63800</v>
      </c>
    </row>
    <row r="102" spans="1:17" ht="13.5" thickBot="1" x14ac:dyDescent="0.25">
      <c r="A102" s="131"/>
      <c r="B102" s="135"/>
      <c r="C102" s="26" t="s">
        <v>16</v>
      </c>
      <c r="D102" s="27">
        <v>27003</v>
      </c>
      <c r="E102" s="28"/>
      <c r="F102" s="29"/>
      <c r="G102" s="29"/>
      <c r="H102" s="29"/>
      <c r="I102" s="29"/>
      <c r="J102" s="29"/>
      <c r="K102" s="87"/>
      <c r="L102" s="87"/>
      <c r="M102" s="87"/>
      <c r="N102" s="87"/>
      <c r="O102" s="22">
        <f t="shared" si="35"/>
        <v>27003</v>
      </c>
      <c r="P102" s="28">
        <v>15633</v>
      </c>
      <c r="Q102" s="41">
        <f t="shared" si="36"/>
        <v>11370</v>
      </c>
    </row>
    <row r="103" spans="1:17" ht="13.5" thickTop="1" x14ac:dyDescent="0.2">
      <c r="A103" s="133" t="s">
        <v>32</v>
      </c>
      <c r="B103" s="134" t="s">
        <v>6</v>
      </c>
      <c r="C103" s="15" t="s">
        <v>14</v>
      </c>
      <c r="D103" s="18">
        <v>46218</v>
      </c>
      <c r="E103" s="20"/>
      <c r="F103" s="16"/>
      <c r="G103" s="16"/>
      <c r="H103" s="16"/>
      <c r="I103" s="16"/>
      <c r="J103" s="16"/>
      <c r="K103" s="56"/>
      <c r="L103" s="56"/>
      <c r="M103" s="56"/>
      <c r="N103" s="56"/>
      <c r="O103" s="20">
        <f t="shared" si="35"/>
        <v>46218</v>
      </c>
      <c r="P103" s="20">
        <v>46218</v>
      </c>
      <c r="Q103" s="84">
        <f t="shared" si="36"/>
        <v>0</v>
      </c>
    </row>
    <row r="104" spans="1:17" ht="13.5" thickBot="1" x14ac:dyDescent="0.25">
      <c r="A104" s="131"/>
      <c r="B104" s="135"/>
      <c r="C104" s="25" t="s">
        <v>16</v>
      </c>
      <c r="D104" s="21">
        <v>8088</v>
      </c>
      <c r="E104" s="22"/>
      <c r="F104" s="23"/>
      <c r="G104" s="23"/>
      <c r="H104" s="23"/>
      <c r="I104" s="23"/>
      <c r="J104" s="23"/>
      <c r="K104" s="57"/>
      <c r="L104" s="57"/>
      <c r="M104" s="57"/>
      <c r="N104" s="57"/>
      <c r="O104" s="22">
        <f t="shared" si="35"/>
        <v>8088</v>
      </c>
      <c r="P104" s="22">
        <v>8088</v>
      </c>
      <c r="Q104" s="85">
        <f t="shared" si="36"/>
        <v>0</v>
      </c>
    </row>
    <row r="105" spans="1:17" ht="13.5" thickTop="1" x14ac:dyDescent="0.2">
      <c r="A105" s="133" t="s">
        <v>32</v>
      </c>
      <c r="B105" s="134" t="s">
        <v>10</v>
      </c>
      <c r="C105" s="15" t="s">
        <v>14</v>
      </c>
      <c r="D105" s="18">
        <v>524554</v>
      </c>
      <c r="E105" s="20"/>
      <c r="F105" s="16"/>
      <c r="G105" s="16"/>
      <c r="H105" s="16"/>
      <c r="I105" s="16"/>
      <c r="J105" s="16"/>
      <c r="K105" s="17"/>
      <c r="L105" s="17"/>
      <c r="M105" s="17"/>
      <c r="N105" s="56"/>
      <c r="O105" s="20">
        <f t="shared" si="35"/>
        <v>524554</v>
      </c>
      <c r="P105" s="20">
        <v>338231</v>
      </c>
      <c r="Q105" s="40">
        <f t="shared" si="36"/>
        <v>186323</v>
      </c>
    </row>
    <row r="106" spans="1:17" ht="13.5" thickBot="1" x14ac:dyDescent="0.25">
      <c r="A106" s="131"/>
      <c r="B106" s="135"/>
      <c r="C106" s="25" t="s">
        <v>16</v>
      </c>
      <c r="D106" s="21">
        <v>87228</v>
      </c>
      <c r="E106" s="22"/>
      <c r="F106" s="23"/>
      <c r="G106" s="23"/>
      <c r="H106" s="23"/>
      <c r="I106" s="23"/>
      <c r="J106" s="23"/>
      <c r="K106" s="24"/>
      <c r="L106" s="24"/>
      <c r="M106" s="24"/>
      <c r="N106" s="57"/>
      <c r="O106" s="22">
        <f t="shared" si="35"/>
        <v>87228</v>
      </c>
      <c r="P106" s="22">
        <v>58275</v>
      </c>
      <c r="Q106" s="41">
        <f t="shared" si="36"/>
        <v>28953</v>
      </c>
    </row>
    <row r="107" spans="1:17" ht="24.75" customHeight="1" thickTop="1" x14ac:dyDescent="0.2">
      <c r="A107" s="136" t="s">
        <v>58</v>
      </c>
      <c r="B107" s="137"/>
      <c r="C107" s="138"/>
      <c r="D107" s="125">
        <f>SUM(D31+D32+D41+D42+D57+D60+D66+D67+D80+D84+D87+D90+D91+D100+D101+D102+D103+D104+D105+D106)</f>
        <v>103183379</v>
      </c>
      <c r="E107" s="126">
        <f t="shared" ref="E107:Q107" si="37">SUM(E31+E32+E41+E42+E57+E60+E66+E67+E80+E84+E87+E90+E91+E100+E101+E102+E103+E104+E105+E106)</f>
        <v>0</v>
      </c>
      <c r="F107" s="126">
        <f t="shared" si="37"/>
        <v>4985400</v>
      </c>
      <c r="G107" s="126">
        <f t="shared" si="37"/>
        <v>321728</v>
      </c>
      <c r="H107" s="126">
        <f t="shared" ref="H107" si="38">SUM(H31+H32+H41+H42+H57+H60+H66+H67+H80+H84+H87+H90+H91+H100+H101+H102+H103+H104+H105+H106)</f>
        <v>-5307128</v>
      </c>
      <c r="I107" s="126">
        <f t="shared" si="37"/>
        <v>1542350</v>
      </c>
      <c r="J107" s="126">
        <f t="shared" si="37"/>
        <v>6600300</v>
      </c>
      <c r="K107" s="126">
        <f t="shared" si="37"/>
        <v>-4530000</v>
      </c>
      <c r="L107" s="126">
        <f t="shared" si="37"/>
        <v>-2070300</v>
      </c>
      <c r="M107" s="126">
        <f t="shared" si="37"/>
        <v>0</v>
      </c>
      <c r="N107" s="126">
        <f t="shared" si="37"/>
        <v>0</v>
      </c>
      <c r="O107" s="126">
        <f>SUM(O31+O32+O41+O42+O57+O60+O66+O67+O80+O84+O87+O90+O91+O100+O101+O102+O103+O104+O105+O106)</f>
        <v>104725729</v>
      </c>
      <c r="P107" s="126">
        <f>SUM(P31+P32+P41+P42+P57+P60+P66+P67+P80+P84+P87+P90+P91+P100+P101+P102+P103+P104+P105+P106)</f>
        <v>61253912</v>
      </c>
      <c r="Q107" s="126">
        <f t="shared" si="37"/>
        <v>43471817</v>
      </c>
    </row>
    <row r="108" spans="1:17" ht="24.75" customHeight="1" x14ac:dyDescent="0.2">
      <c r="A108" s="51"/>
      <c r="B108" s="51"/>
      <c r="C108" s="51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</row>
    <row r="109" spans="1:17" ht="24.75" customHeight="1" x14ac:dyDescent="0.2">
      <c r="A109" s="51"/>
      <c r="B109" s="51"/>
      <c r="C109" s="51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</row>
    <row r="110" spans="1:17" ht="24.75" customHeight="1" x14ac:dyDescent="0.2">
      <c r="A110" s="51"/>
      <c r="B110" s="51"/>
      <c r="C110" s="51"/>
      <c r="D110" s="50"/>
      <c r="E110" s="50"/>
      <c r="F110" s="70"/>
      <c r="G110" s="70"/>
      <c r="H110" s="70"/>
      <c r="I110" s="70"/>
      <c r="J110" s="70"/>
      <c r="K110" s="50"/>
      <c r="L110" s="50"/>
      <c r="M110" s="50"/>
      <c r="N110" s="50"/>
      <c r="O110" s="50"/>
      <c r="P110" s="50"/>
      <c r="Q110" s="50"/>
    </row>
    <row r="111" spans="1:17" ht="15" x14ac:dyDescent="0.2">
      <c r="A111" s="139" t="s">
        <v>60</v>
      </c>
      <c r="B111" s="139"/>
      <c r="C111" s="139"/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139"/>
      <c r="Q111" s="37"/>
    </row>
    <row r="112" spans="1:17" s="53" customFormat="1" ht="93.75" customHeight="1" x14ac:dyDescent="0.2">
      <c r="A112" s="132" t="s">
        <v>59</v>
      </c>
      <c r="B112" s="132"/>
      <c r="C112" s="127" t="s">
        <v>34</v>
      </c>
      <c r="D112" s="128" t="s">
        <v>104</v>
      </c>
      <c r="E112" s="122" t="s">
        <v>35</v>
      </c>
      <c r="F112" s="122" t="s">
        <v>106</v>
      </c>
      <c r="G112" s="122" t="s">
        <v>107</v>
      </c>
      <c r="H112" s="122" t="s">
        <v>116</v>
      </c>
      <c r="I112" s="123" t="s">
        <v>108</v>
      </c>
      <c r="J112" s="123" t="s">
        <v>109</v>
      </c>
      <c r="K112" s="123" t="s">
        <v>110</v>
      </c>
      <c r="L112" s="123" t="s">
        <v>111</v>
      </c>
      <c r="M112" s="123" t="s">
        <v>113</v>
      </c>
      <c r="N112" s="123" t="s">
        <v>112</v>
      </c>
      <c r="O112" s="128" t="s">
        <v>105</v>
      </c>
      <c r="P112" s="128" t="s">
        <v>69</v>
      </c>
      <c r="Q112" s="52"/>
    </row>
    <row r="113" spans="1:17" x14ac:dyDescent="0.2">
      <c r="A113" s="132"/>
      <c r="B113" s="132"/>
      <c r="C113" s="5" t="s">
        <v>1</v>
      </c>
      <c r="D113" s="13">
        <f t="shared" ref="D113:P116" si="39">SUM(D6)</f>
        <v>17343530</v>
      </c>
      <c r="E113" s="13">
        <f t="shared" si="39"/>
        <v>0</v>
      </c>
      <c r="F113" s="13">
        <f t="shared" si="39"/>
        <v>0</v>
      </c>
      <c r="G113" s="13">
        <f t="shared" ref="G113:J113" si="40">SUM(G6)</f>
        <v>0</v>
      </c>
      <c r="H113" s="13">
        <f t="shared" ref="H113" si="41">SUM(H6)</f>
        <v>-5307128</v>
      </c>
      <c r="I113" s="13">
        <f t="shared" si="40"/>
        <v>0</v>
      </c>
      <c r="J113" s="13">
        <f t="shared" si="40"/>
        <v>0</v>
      </c>
      <c r="K113" s="13">
        <f t="shared" si="39"/>
        <v>0</v>
      </c>
      <c r="L113" s="13">
        <f t="shared" ref="L113" si="42">SUM(L6)</f>
        <v>-2070300</v>
      </c>
      <c r="M113" s="13">
        <f t="shared" ref="M113" si="43">SUM(M6)</f>
        <v>0</v>
      </c>
      <c r="N113" s="13">
        <f t="shared" si="39"/>
        <v>-2346363</v>
      </c>
      <c r="O113" s="13">
        <f t="shared" si="39"/>
        <v>7619739</v>
      </c>
      <c r="P113" s="13">
        <f t="shared" si="39"/>
        <v>11268871</v>
      </c>
      <c r="Q113" s="37"/>
    </row>
    <row r="114" spans="1:17" x14ac:dyDescent="0.2">
      <c r="A114" s="132"/>
      <c r="B114" s="132"/>
      <c r="C114" s="5" t="s">
        <v>3</v>
      </c>
      <c r="D114" s="13">
        <f t="shared" si="39"/>
        <v>16777089</v>
      </c>
      <c r="E114" s="13">
        <f t="shared" si="39"/>
        <v>0</v>
      </c>
      <c r="F114" s="13">
        <f t="shared" si="39"/>
        <v>0</v>
      </c>
      <c r="G114" s="13">
        <f t="shared" ref="G114:J114" si="44">SUM(G7)</f>
        <v>0</v>
      </c>
      <c r="H114" s="13">
        <f t="shared" ref="H114" si="45">SUM(H7)</f>
        <v>0</v>
      </c>
      <c r="I114" s="13">
        <f t="shared" si="44"/>
        <v>0</v>
      </c>
      <c r="J114" s="13">
        <f t="shared" si="44"/>
        <v>0</v>
      </c>
      <c r="K114" s="13">
        <f t="shared" si="39"/>
        <v>0</v>
      </c>
      <c r="L114" s="13">
        <f t="shared" ref="L114" si="46">SUM(L7)</f>
        <v>0</v>
      </c>
      <c r="M114" s="13">
        <f t="shared" ref="M114" si="47">SUM(M7)</f>
        <v>0</v>
      </c>
      <c r="N114" s="13">
        <f t="shared" si="39"/>
        <v>0</v>
      </c>
      <c r="O114" s="13">
        <f t="shared" si="39"/>
        <v>16777089</v>
      </c>
      <c r="P114" s="13">
        <f t="shared" si="39"/>
        <v>16777089</v>
      </c>
      <c r="Q114" s="37"/>
    </row>
    <row r="115" spans="1:17" x14ac:dyDescent="0.2">
      <c r="A115" s="132"/>
      <c r="B115" s="132"/>
      <c r="C115" s="5" t="s">
        <v>4</v>
      </c>
      <c r="D115" s="13">
        <f t="shared" si="39"/>
        <v>65931868</v>
      </c>
      <c r="E115" s="13">
        <f t="shared" si="39"/>
        <v>0</v>
      </c>
      <c r="F115" s="13">
        <f t="shared" si="39"/>
        <v>4985400</v>
      </c>
      <c r="G115" s="13">
        <f t="shared" ref="G115:J115" si="48">SUM(G8)</f>
        <v>321728</v>
      </c>
      <c r="H115" s="13">
        <f t="shared" ref="H115" si="49">SUM(H8)</f>
        <v>0</v>
      </c>
      <c r="I115" s="13">
        <f t="shared" si="48"/>
        <v>1542350</v>
      </c>
      <c r="J115" s="13">
        <f t="shared" si="48"/>
        <v>6600300</v>
      </c>
      <c r="K115" s="13">
        <f t="shared" si="39"/>
        <v>-4530000</v>
      </c>
      <c r="L115" s="13">
        <f t="shared" ref="L115" si="50">SUM(L8)</f>
        <v>0</v>
      </c>
      <c r="M115" s="13">
        <f t="shared" ref="M115" si="51">SUM(M8)</f>
        <v>0</v>
      </c>
      <c r="N115" s="13">
        <f t="shared" si="39"/>
        <v>2346363</v>
      </c>
      <c r="O115" s="13">
        <f t="shared" si="39"/>
        <v>77198009</v>
      </c>
      <c r="P115" s="13">
        <f t="shared" si="39"/>
        <v>37070146</v>
      </c>
      <c r="Q115" s="37"/>
    </row>
    <row r="116" spans="1:17" x14ac:dyDescent="0.2">
      <c r="A116" s="132"/>
      <c r="B116" s="132"/>
      <c r="C116" s="6" t="s">
        <v>53</v>
      </c>
      <c r="D116" s="13">
        <f t="shared" si="39"/>
        <v>100000</v>
      </c>
      <c r="E116" s="13">
        <f t="shared" si="39"/>
        <v>0</v>
      </c>
      <c r="F116" s="13">
        <f t="shared" si="39"/>
        <v>0</v>
      </c>
      <c r="G116" s="13">
        <f t="shared" ref="G116:J116" si="52">SUM(G9)</f>
        <v>0</v>
      </c>
      <c r="H116" s="13">
        <f t="shared" ref="H116" si="53">SUM(H9)</f>
        <v>0</v>
      </c>
      <c r="I116" s="13">
        <f t="shared" si="52"/>
        <v>0</v>
      </c>
      <c r="J116" s="13">
        <f t="shared" si="52"/>
        <v>0</v>
      </c>
      <c r="K116" s="13">
        <f t="shared" si="39"/>
        <v>0</v>
      </c>
      <c r="L116" s="13">
        <f t="shared" ref="L116" si="54">SUM(L9)</f>
        <v>0</v>
      </c>
      <c r="M116" s="13">
        <f t="shared" ref="M116" si="55">SUM(M9)</f>
        <v>0</v>
      </c>
      <c r="N116" s="13">
        <f t="shared" si="39"/>
        <v>0</v>
      </c>
      <c r="O116" s="13">
        <f t="shared" si="39"/>
        <v>100000</v>
      </c>
      <c r="P116" s="13">
        <f t="shared" si="39"/>
        <v>0</v>
      </c>
      <c r="Q116" s="37"/>
    </row>
    <row r="117" spans="1:17" x14ac:dyDescent="0.2">
      <c r="A117" s="132"/>
      <c r="B117" s="132"/>
      <c r="C117" s="6" t="s">
        <v>12</v>
      </c>
      <c r="D117" s="13">
        <f>SUM(D10+D23)</f>
        <v>0</v>
      </c>
      <c r="E117" s="13">
        <f>SUM(E10+E23)</f>
        <v>0</v>
      </c>
      <c r="F117" s="13">
        <f t="shared" ref="F117:N117" si="56">SUM(F10+F23)</f>
        <v>0</v>
      </c>
      <c r="G117" s="13">
        <f t="shared" ref="G117:J117" si="57">SUM(G10+G23)</f>
        <v>0</v>
      </c>
      <c r="H117" s="13">
        <f t="shared" ref="H117" si="58">SUM(H10+H23)</f>
        <v>0</v>
      </c>
      <c r="I117" s="13">
        <f t="shared" si="57"/>
        <v>0</v>
      </c>
      <c r="J117" s="13">
        <f t="shared" si="57"/>
        <v>0</v>
      </c>
      <c r="K117" s="13">
        <f t="shared" si="56"/>
        <v>0</v>
      </c>
      <c r="L117" s="13">
        <f t="shared" ref="L117" si="59">SUM(L10+L23)</f>
        <v>0</v>
      </c>
      <c r="M117" s="13">
        <f t="shared" ref="M117" si="60">SUM(M10+M23)</f>
        <v>0</v>
      </c>
      <c r="N117" s="13">
        <f t="shared" si="56"/>
        <v>0</v>
      </c>
      <c r="O117" s="13">
        <f>SUM(O10+O23)</f>
        <v>0</v>
      </c>
      <c r="P117" s="13">
        <f>SUM(P10+P23)</f>
        <v>0</v>
      </c>
      <c r="Q117" s="37"/>
    </row>
    <row r="118" spans="1:17" x14ac:dyDescent="0.2">
      <c r="A118" s="132"/>
      <c r="B118" s="132"/>
      <c r="C118" s="6" t="s">
        <v>44</v>
      </c>
      <c r="D118" s="13">
        <f>SUM(D11)</f>
        <v>14840</v>
      </c>
      <c r="E118" s="13">
        <f>SUM(E11)</f>
        <v>0</v>
      </c>
      <c r="F118" s="13">
        <f t="shared" ref="F118:N118" si="61">SUM(F11)</f>
        <v>0</v>
      </c>
      <c r="G118" s="13">
        <f t="shared" ref="G118:J118" si="62">SUM(G11)</f>
        <v>0</v>
      </c>
      <c r="H118" s="13">
        <f t="shared" ref="H118" si="63">SUM(H11)</f>
        <v>0</v>
      </c>
      <c r="I118" s="13">
        <f t="shared" si="62"/>
        <v>0</v>
      </c>
      <c r="J118" s="13">
        <f t="shared" si="62"/>
        <v>0</v>
      </c>
      <c r="K118" s="13">
        <f t="shared" si="61"/>
        <v>0</v>
      </c>
      <c r="L118" s="13">
        <f t="shared" ref="L118" si="64">SUM(L11)</f>
        <v>0</v>
      </c>
      <c r="M118" s="13">
        <f t="shared" ref="M118" si="65">SUM(M11)</f>
        <v>0</v>
      </c>
      <c r="N118" s="13">
        <f t="shared" si="61"/>
        <v>0</v>
      </c>
      <c r="O118" s="81">
        <f>SUM(O11)</f>
        <v>14840</v>
      </c>
      <c r="P118" s="13">
        <f>SUM(P11)</f>
        <v>5483</v>
      </c>
      <c r="Q118" s="37"/>
    </row>
    <row r="119" spans="1:17" x14ac:dyDescent="0.2">
      <c r="A119" s="132"/>
      <c r="B119" s="132"/>
      <c r="C119" s="5" t="s">
        <v>5</v>
      </c>
      <c r="D119" s="13">
        <f>SUM(D12+D17)</f>
        <v>2317402</v>
      </c>
      <c r="E119" s="13">
        <f>SUM(E12+E17)</f>
        <v>-18000</v>
      </c>
      <c r="F119" s="13">
        <f t="shared" ref="F119:N119" si="66">SUM(F12+F17)</f>
        <v>0</v>
      </c>
      <c r="G119" s="13">
        <f t="shared" ref="G119:J119" si="67">SUM(G12+G17)</f>
        <v>0</v>
      </c>
      <c r="H119" s="13">
        <f t="shared" ref="H119" si="68">SUM(H12+H17)</f>
        <v>0</v>
      </c>
      <c r="I119" s="13">
        <f t="shared" si="67"/>
        <v>0</v>
      </c>
      <c r="J119" s="13">
        <f t="shared" si="67"/>
        <v>0</v>
      </c>
      <c r="K119" s="13">
        <f t="shared" si="66"/>
        <v>0</v>
      </c>
      <c r="L119" s="13">
        <f t="shared" ref="L119" si="69">SUM(L12+L17)</f>
        <v>0</v>
      </c>
      <c r="M119" s="13">
        <f t="shared" ref="M119" si="70">SUM(M12+M17)</f>
        <v>0</v>
      </c>
      <c r="N119" s="13">
        <f t="shared" si="66"/>
        <v>0</v>
      </c>
      <c r="O119" s="81">
        <f>SUM(O12+O17)</f>
        <v>2299402</v>
      </c>
      <c r="P119" s="13">
        <f>SUM(P12+P17)</f>
        <v>1382444</v>
      </c>
      <c r="Q119" s="37"/>
    </row>
    <row r="120" spans="1:17" x14ac:dyDescent="0.2">
      <c r="A120" s="132"/>
      <c r="B120" s="132"/>
      <c r="C120" s="5" t="s">
        <v>7</v>
      </c>
      <c r="D120" s="13">
        <f>SUM(D13+D18+D24)</f>
        <v>237552</v>
      </c>
      <c r="E120" s="13">
        <f>SUM(E13+E18+E24)</f>
        <v>0</v>
      </c>
      <c r="F120" s="13">
        <f t="shared" ref="F120:N120" si="71">SUM(F13+F18+F24)</f>
        <v>0</v>
      </c>
      <c r="G120" s="13">
        <f t="shared" ref="G120:J120" si="72">SUM(G13+G18+G24)</f>
        <v>0</v>
      </c>
      <c r="H120" s="13">
        <f t="shared" ref="H120" si="73">SUM(H13+H18+H24)</f>
        <v>0</v>
      </c>
      <c r="I120" s="13">
        <f t="shared" si="72"/>
        <v>0</v>
      </c>
      <c r="J120" s="13">
        <f t="shared" si="72"/>
        <v>0</v>
      </c>
      <c r="K120" s="13">
        <f t="shared" si="71"/>
        <v>0</v>
      </c>
      <c r="L120" s="13">
        <f t="shared" ref="L120" si="74">SUM(L13+L18+L24)</f>
        <v>0</v>
      </c>
      <c r="M120" s="13">
        <f t="shared" ref="M120" si="75">SUM(M13+M18+M24)</f>
        <v>0</v>
      </c>
      <c r="N120" s="13">
        <f t="shared" si="71"/>
        <v>0</v>
      </c>
      <c r="O120" s="81">
        <f>SUM(O13+O18+O24)</f>
        <v>237552</v>
      </c>
      <c r="P120" s="13">
        <f>SUM(P13+P18+P24)</f>
        <v>110148</v>
      </c>
      <c r="Q120" s="37"/>
    </row>
    <row r="121" spans="1:17" x14ac:dyDescent="0.2">
      <c r="A121" s="132"/>
      <c r="B121" s="132"/>
      <c r="C121" s="6" t="s">
        <v>11</v>
      </c>
      <c r="D121" s="13">
        <f>SUM(D19)</f>
        <v>398000</v>
      </c>
      <c r="E121" s="13">
        <f>SUM(E19)</f>
        <v>0</v>
      </c>
      <c r="F121" s="13">
        <f t="shared" ref="F121:N121" si="76">SUM(F19)</f>
        <v>0</v>
      </c>
      <c r="G121" s="13">
        <f t="shared" ref="G121:J121" si="77">SUM(G19)</f>
        <v>0</v>
      </c>
      <c r="H121" s="13">
        <f t="shared" ref="H121" si="78">SUM(H19)</f>
        <v>0</v>
      </c>
      <c r="I121" s="13">
        <f t="shared" si="77"/>
        <v>0</v>
      </c>
      <c r="J121" s="13">
        <f t="shared" si="77"/>
        <v>0</v>
      </c>
      <c r="K121" s="13">
        <f t="shared" si="76"/>
        <v>0</v>
      </c>
      <c r="L121" s="13">
        <f t="shared" ref="L121" si="79">SUM(L19)</f>
        <v>0</v>
      </c>
      <c r="M121" s="13">
        <f t="shared" ref="M121" si="80">SUM(M19)</f>
        <v>0</v>
      </c>
      <c r="N121" s="13">
        <f t="shared" si="76"/>
        <v>0</v>
      </c>
      <c r="O121" s="81">
        <f>SUM(O19)</f>
        <v>398000</v>
      </c>
      <c r="P121" s="13">
        <f>SUM(P19)</f>
        <v>398000</v>
      </c>
      <c r="Q121" s="37"/>
    </row>
    <row r="122" spans="1:17" x14ac:dyDescent="0.2">
      <c r="A122" s="132"/>
      <c r="B122" s="132"/>
      <c r="C122" s="5" t="s">
        <v>8</v>
      </c>
      <c r="D122" s="13">
        <f>SUM(D14)</f>
        <v>1459</v>
      </c>
      <c r="E122" s="13">
        <f>SUM(E14)</f>
        <v>0</v>
      </c>
      <c r="F122" s="13">
        <f t="shared" ref="F122:N122" si="81">SUM(F14)</f>
        <v>0</v>
      </c>
      <c r="G122" s="13">
        <f t="shared" ref="G122:J122" si="82">SUM(G14)</f>
        <v>0</v>
      </c>
      <c r="H122" s="13">
        <f t="shared" ref="H122" si="83">SUM(H14)</f>
        <v>0</v>
      </c>
      <c r="I122" s="13">
        <f t="shared" si="82"/>
        <v>0</v>
      </c>
      <c r="J122" s="13">
        <f t="shared" si="82"/>
        <v>0</v>
      </c>
      <c r="K122" s="13">
        <f t="shared" si="81"/>
        <v>0</v>
      </c>
      <c r="L122" s="13">
        <f t="shared" ref="L122" si="84">SUM(L14)</f>
        <v>0</v>
      </c>
      <c r="M122" s="13">
        <f t="shared" ref="M122" si="85">SUM(M14)</f>
        <v>0</v>
      </c>
      <c r="N122" s="13">
        <f t="shared" si="81"/>
        <v>0</v>
      </c>
      <c r="O122" s="13">
        <f>SUM(O14)</f>
        <v>1459</v>
      </c>
      <c r="P122" s="13">
        <f>SUM(P14)</f>
        <v>743</v>
      </c>
      <c r="Q122" s="37"/>
    </row>
    <row r="123" spans="1:17" x14ac:dyDescent="0.2">
      <c r="A123" s="132"/>
      <c r="B123" s="132"/>
      <c r="C123" s="6" t="s">
        <v>9</v>
      </c>
      <c r="D123" s="13">
        <f>SUM(D20+D26+D15)</f>
        <v>61639</v>
      </c>
      <c r="E123" s="13">
        <f>SUM(E20+E26+E15)</f>
        <v>18000</v>
      </c>
      <c r="F123" s="13">
        <f t="shared" ref="F123:N123" si="86">SUM(F20+F26+F15)</f>
        <v>0</v>
      </c>
      <c r="G123" s="13">
        <f t="shared" ref="G123:J123" si="87">SUM(G20+G26+G15)</f>
        <v>0</v>
      </c>
      <c r="H123" s="13">
        <f t="shared" ref="H123" si="88">SUM(H20+H26+H15)</f>
        <v>0</v>
      </c>
      <c r="I123" s="13">
        <f t="shared" si="87"/>
        <v>0</v>
      </c>
      <c r="J123" s="13">
        <f t="shared" si="87"/>
        <v>0</v>
      </c>
      <c r="K123" s="13">
        <f t="shared" si="86"/>
        <v>0</v>
      </c>
      <c r="L123" s="13">
        <f t="shared" ref="L123" si="89">SUM(L20+L26+L15)</f>
        <v>0</v>
      </c>
      <c r="M123" s="13">
        <f t="shared" ref="M123" si="90">SUM(M20+M26+M15)</f>
        <v>0</v>
      </c>
      <c r="N123" s="13">
        <f t="shared" si="86"/>
        <v>0</v>
      </c>
      <c r="O123" s="13">
        <f>SUM(O20+O26+O15)</f>
        <v>79639</v>
      </c>
      <c r="P123" s="13">
        <f>SUM(P20+P26+P15)</f>
        <v>52542</v>
      </c>
      <c r="Q123" s="37"/>
    </row>
    <row r="124" spans="1:17" x14ac:dyDescent="0.2">
      <c r="A124" s="132"/>
      <c r="B124" s="132"/>
      <c r="C124" s="6" t="s">
        <v>64</v>
      </c>
      <c r="D124" s="13">
        <f t="shared" ref="D124:P124" si="91">D21</f>
        <v>0</v>
      </c>
      <c r="E124" s="13">
        <f t="shared" si="91"/>
        <v>0</v>
      </c>
      <c r="F124" s="13">
        <f t="shared" si="91"/>
        <v>0</v>
      </c>
      <c r="G124" s="13">
        <f t="shared" ref="G124:J124" si="92">G21</f>
        <v>0</v>
      </c>
      <c r="H124" s="13">
        <f t="shared" ref="H124" si="93">H21</f>
        <v>0</v>
      </c>
      <c r="I124" s="13">
        <f t="shared" si="92"/>
        <v>0</v>
      </c>
      <c r="J124" s="13">
        <f t="shared" si="92"/>
        <v>0</v>
      </c>
      <c r="K124" s="13">
        <f t="shared" si="91"/>
        <v>0</v>
      </c>
      <c r="L124" s="13">
        <f t="shared" ref="L124" si="94">L21</f>
        <v>0</v>
      </c>
      <c r="M124" s="13">
        <f t="shared" ref="M124" si="95">M21</f>
        <v>0</v>
      </c>
      <c r="N124" s="13">
        <f t="shared" si="91"/>
        <v>0</v>
      </c>
      <c r="O124" s="13">
        <f t="shared" si="91"/>
        <v>0</v>
      </c>
      <c r="P124" s="13">
        <f t="shared" si="91"/>
        <v>0</v>
      </c>
      <c r="Q124" s="37"/>
    </row>
    <row r="125" spans="1:17" x14ac:dyDescent="0.2">
      <c r="A125" s="132"/>
      <c r="B125" s="132"/>
      <c r="C125" s="42" t="s">
        <v>56</v>
      </c>
      <c r="D125" s="43">
        <f>SUM(D16+D22)</f>
        <v>3030892</v>
      </c>
      <c r="E125" s="43">
        <f t="shared" ref="E125:P125" si="96">SUM(E16+E22)</f>
        <v>0</v>
      </c>
      <c r="F125" s="43">
        <f t="shared" si="96"/>
        <v>0</v>
      </c>
      <c r="G125" s="43">
        <f t="shared" ref="G125:J125" si="97">SUM(G16+G22)</f>
        <v>0</v>
      </c>
      <c r="H125" s="43">
        <f t="shared" ref="H125" si="98">SUM(H16+H22)</f>
        <v>0</v>
      </c>
      <c r="I125" s="43">
        <f t="shared" si="97"/>
        <v>0</v>
      </c>
      <c r="J125" s="43">
        <f t="shared" si="97"/>
        <v>0</v>
      </c>
      <c r="K125" s="43">
        <f t="shared" si="96"/>
        <v>0</v>
      </c>
      <c r="L125" s="43">
        <f t="shared" ref="L125" si="99">SUM(L16+L22)</f>
        <v>0</v>
      </c>
      <c r="M125" s="43">
        <f t="shared" si="96"/>
        <v>0</v>
      </c>
      <c r="N125" s="43">
        <f t="shared" si="96"/>
        <v>0</v>
      </c>
      <c r="O125" s="43">
        <f t="shared" si="96"/>
        <v>3030892</v>
      </c>
      <c r="P125" s="43">
        <f t="shared" si="96"/>
        <v>1949360</v>
      </c>
      <c r="Q125" s="37"/>
    </row>
    <row r="126" spans="1:17" x14ac:dyDescent="0.2">
      <c r="A126" s="132"/>
      <c r="B126" s="132"/>
      <c r="C126" s="42" t="s">
        <v>61</v>
      </c>
      <c r="D126" s="43">
        <f t="shared" ref="D126:P126" si="100">SUM(D113:D124)</f>
        <v>103183379</v>
      </c>
      <c r="E126" s="43">
        <f t="shared" si="100"/>
        <v>0</v>
      </c>
      <c r="F126" s="43">
        <f t="shared" si="100"/>
        <v>4985400</v>
      </c>
      <c r="G126" s="43">
        <f t="shared" ref="G126:J126" si="101">SUM(G113:G124)</f>
        <v>321728</v>
      </c>
      <c r="H126" s="43">
        <f t="shared" ref="H126" si="102">SUM(H113:H124)</f>
        <v>-5307128</v>
      </c>
      <c r="I126" s="43">
        <f t="shared" si="101"/>
        <v>1542350</v>
      </c>
      <c r="J126" s="43">
        <f t="shared" si="101"/>
        <v>6600300</v>
      </c>
      <c r="K126" s="43">
        <f t="shared" si="100"/>
        <v>-4530000</v>
      </c>
      <c r="L126" s="43">
        <f t="shared" ref="L126" si="103">SUM(L113:L124)</f>
        <v>-2070300</v>
      </c>
      <c r="M126" s="43">
        <f t="shared" si="100"/>
        <v>0</v>
      </c>
      <c r="N126" s="43">
        <f t="shared" si="100"/>
        <v>0</v>
      </c>
      <c r="O126" s="43">
        <f t="shared" si="100"/>
        <v>104725729</v>
      </c>
      <c r="P126" s="43">
        <f t="shared" si="100"/>
        <v>67065466</v>
      </c>
      <c r="Q126" s="37"/>
    </row>
    <row r="127" spans="1:17" x14ac:dyDescent="0.2">
      <c r="A127" s="132"/>
      <c r="B127" s="132"/>
      <c r="C127" s="5" t="s">
        <v>14</v>
      </c>
      <c r="D127" s="13">
        <f>SUM(D29+D33+D61+D88+D103+D105)</f>
        <v>61632002</v>
      </c>
      <c r="E127" s="13">
        <f>SUM(E29+E33+E61+E88+E103+E105)</f>
        <v>0</v>
      </c>
      <c r="F127" s="13">
        <f t="shared" ref="F127:N127" si="104">SUM(F29+F33+F61+F88+F103+F105)</f>
        <v>0</v>
      </c>
      <c r="G127" s="13">
        <f t="shared" ref="G127:J127" si="105">SUM(G29+G33+G61+G88+G103+G105)</f>
        <v>273811</v>
      </c>
      <c r="H127" s="13">
        <f t="shared" ref="H127" si="106">SUM(H29+H33+H61+H88+H103+H105)</f>
        <v>-273811</v>
      </c>
      <c r="I127" s="13">
        <f t="shared" si="105"/>
        <v>1312638</v>
      </c>
      <c r="J127" s="13">
        <f t="shared" si="105"/>
        <v>5617277</v>
      </c>
      <c r="K127" s="13">
        <f t="shared" si="104"/>
        <v>-3922078</v>
      </c>
      <c r="L127" s="13">
        <f t="shared" ref="L127" si="107">SUM(L29+L33+L61+L88+L103+L105)</f>
        <v>-1695199</v>
      </c>
      <c r="M127" s="13">
        <f t="shared" ref="M127" si="108">SUM(M29+M33+M61+M88+M103+M105)</f>
        <v>0</v>
      </c>
      <c r="N127" s="13">
        <f t="shared" si="104"/>
        <v>0</v>
      </c>
      <c r="O127" s="13">
        <f>SUM(O29+O33+O61+O88+O103+O105)</f>
        <v>62944640</v>
      </c>
      <c r="P127" s="13">
        <f>SUM(P29+P33+P61+P88+P103+P105)</f>
        <v>41078643</v>
      </c>
      <c r="Q127" s="37"/>
    </row>
    <row r="128" spans="1:17" x14ac:dyDescent="0.2">
      <c r="A128" s="132"/>
      <c r="B128" s="132"/>
      <c r="C128" s="5" t="s">
        <v>17</v>
      </c>
      <c r="D128" s="13">
        <f>SUM(D34)</f>
        <v>1517000</v>
      </c>
      <c r="E128" s="13">
        <f>SUM(E34)</f>
        <v>0</v>
      </c>
      <c r="F128" s="13">
        <f t="shared" ref="F128:N128" si="109">SUM(F34)</f>
        <v>0</v>
      </c>
      <c r="G128" s="13">
        <f t="shared" ref="G128:J128" si="110">SUM(G34)</f>
        <v>0</v>
      </c>
      <c r="H128" s="13">
        <f t="shared" ref="H128" si="111">SUM(H34)</f>
        <v>0</v>
      </c>
      <c r="I128" s="13">
        <f t="shared" si="110"/>
        <v>0</v>
      </c>
      <c r="J128" s="13">
        <f t="shared" si="110"/>
        <v>0</v>
      </c>
      <c r="K128" s="13">
        <f t="shared" si="109"/>
        <v>0</v>
      </c>
      <c r="L128" s="13">
        <f t="shared" ref="L128" si="112">SUM(L34)</f>
        <v>0</v>
      </c>
      <c r="M128" s="13">
        <f t="shared" ref="M128" si="113">SUM(M34)</f>
        <v>0</v>
      </c>
      <c r="N128" s="13">
        <f t="shared" si="109"/>
        <v>0</v>
      </c>
      <c r="O128" s="13">
        <f>SUM(O34)</f>
        <v>1517000</v>
      </c>
      <c r="P128" s="13">
        <f>SUM(P34)</f>
        <v>1517000</v>
      </c>
      <c r="Q128" s="37"/>
    </row>
    <row r="129" spans="1:17" x14ac:dyDescent="0.2">
      <c r="A129" s="132"/>
      <c r="B129" s="132"/>
      <c r="C129" s="6" t="s">
        <v>36</v>
      </c>
      <c r="D129" s="13">
        <f t="shared" ref="D129:P130" si="114">SUM(D35+D62)</f>
        <v>1880000</v>
      </c>
      <c r="E129" s="13">
        <f t="shared" si="114"/>
        <v>0</v>
      </c>
      <c r="F129" s="13">
        <f t="shared" si="114"/>
        <v>0</v>
      </c>
      <c r="G129" s="13">
        <f t="shared" ref="G129:J129" si="115">SUM(G35+G62)</f>
        <v>0</v>
      </c>
      <c r="H129" s="13">
        <f t="shared" ref="H129" si="116">SUM(H35+H62)</f>
        <v>0</v>
      </c>
      <c r="I129" s="13">
        <f t="shared" si="115"/>
        <v>0</v>
      </c>
      <c r="J129" s="13">
        <f t="shared" si="115"/>
        <v>0</v>
      </c>
      <c r="K129" s="13">
        <f t="shared" si="114"/>
        <v>0</v>
      </c>
      <c r="L129" s="13">
        <f t="shared" ref="L129" si="117">SUM(L35+L62)</f>
        <v>0</v>
      </c>
      <c r="M129" s="13">
        <f t="shared" ref="M129" si="118">SUM(M35+M62)</f>
        <v>0</v>
      </c>
      <c r="N129" s="13">
        <f t="shared" si="114"/>
        <v>0</v>
      </c>
      <c r="O129" s="13">
        <f t="shared" si="114"/>
        <v>1880000</v>
      </c>
      <c r="P129" s="13">
        <f t="shared" si="114"/>
        <v>1813300</v>
      </c>
      <c r="Q129" s="37"/>
    </row>
    <row r="130" spans="1:17" x14ac:dyDescent="0.2">
      <c r="A130" s="132"/>
      <c r="B130" s="132"/>
      <c r="C130" s="6" t="s">
        <v>37</v>
      </c>
      <c r="D130" s="13">
        <f t="shared" si="114"/>
        <v>445000</v>
      </c>
      <c r="E130" s="13">
        <f t="shared" si="114"/>
        <v>0</v>
      </c>
      <c r="F130" s="13">
        <f t="shared" si="114"/>
        <v>0</v>
      </c>
      <c r="G130" s="13">
        <f t="shared" ref="G130:J130" si="119">SUM(G36+G63)</f>
        <v>0</v>
      </c>
      <c r="H130" s="13">
        <f t="shared" ref="H130" si="120">SUM(H36+H63)</f>
        <v>0</v>
      </c>
      <c r="I130" s="13">
        <f t="shared" si="119"/>
        <v>0</v>
      </c>
      <c r="J130" s="13">
        <f t="shared" si="119"/>
        <v>0</v>
      </c>
      <c r="K130" s="13">
        <f t="shared" si="114"/>
        <v>0</v>
      </c>
      <c r="L130" s="13">
        <f t="shared" ref="L130" si="121">SUM(L36+L63)</f>
        <v>0</v>
      </c>
      <c r="M130" s="13">
        <f t="shared" ref="M130" si="122">SUM(M36+M63)</f>
        <v>0</v>
      </c>
      <c r="N130" s="13">
        <f t="shared" si="114"/>
        <v>0</v>
      </c>
      <c r="O130" s="13">
        <f t="shared" si="114"/>
        <v>445000</v>
      </c>
      <c r="P130" s="13">
        <f t="shared" si="114"/>
        <v>0</v>
      </c>
      <c r="Q130" s="37"/>
    </row>
    <row r="131" spans="1:17" x14ac:dyDescent="0.2">
      <c r="A131" s="132"/>
      <c r="B131" s="132"/>
      <c r="C131" s="5" t="s">
        <v>18</v>
      </c>
      <c r="D131" s="13">
        <f>SUM(D37)</f>
        <v>0</v>
      </c>
      <c r="E131" s="13">
        <f>SUM(E37)</f>
        <v>0</v>
      </c>
      <c r="F131" s="13">
        <f t="shared" ref="F131:N131" si="123">SUM(F37)</f>
        <v>0</v>
      </c>
      <c r="G131" s="13">
        <f t="shared" ref="G131:J131" si="124">SUM(G37)</f>
        <v>0</v>
      </c>
      <c r="H131" s="13">
        <f t="shared" ref="H131" si="125">SUM(H37)</f>
        <v>0</v>
      </c>
      <c r="I131" s="13">
        <f t="shared" si="124"/>
        <v>0</v>
      </c>
      <c r="J131" s="13">
        <f t="shared" si="124"/>
        <v>0</v>
      </c>
      <c r="K131" s="13">
        <f t="shared" si="123"/>
        <v>0</v>
      </c>
      <c r="L131" s="13">
        <f t="shared" ref="L131" si="126">SUM(L37)</f>
        <v>0</v>
      </c>
      <c r="M131" s="13">
        <f t="shared" ref="M131" si="127">SUM(M37)</f>
        <v>0</v>
      </c>
      <c r="N131" s="13">
        <f t="shared" si="123"/>
        <v>0</v>
      </c>
      <c r="O131" s="13">
        <f>SUM(O37)</f>
        <v>0</v>
      </c>
      <c r="P131" s="13">
        <f>SUM(P37)</f>
        <v>0</v>
      </c>
      <c r="Q131" s="37"/>
    </row>
    <row r="132" spans="1:17" x14ac:dyDescent="0.2">
      <c r="A132" s="132"/>
      <c r="B132" s="132"/>
      <c r="C132" s="6" t="s">
        <v>41</v>
      </c>
      <c r="D132" s="13">
        <f>SUM(D38+D64)</f>
        <v>214000</v>
      </c>
      <c r="E132" s="13">
        <f>SUM(E38+E64)</f>
        <v>0</v>
      </c>
      <c r="F132" s="13">
        <f t="shared" ref="F132:N132" si="128">SUM(F38+F64)</f>
        <v>0</v>
      </c>
      <c r="G132" s="13">
        <f t="shared" ref="G132:J132" si="129">SUM(G38+G64)</f>
        <v>0</v>
      </c>
      <c r="H132" s="13">
        <f t="shared" ref="H132" si="130">SUM(H38+H64)</f>
        <v>0</v>
      </c>
      <c r="I132" s="13">
        <f t="shared" si="129"/>
        <v>0</v>
      </c>
      <c r="J132" s="13">
        <f t="shared" si="129"/>
        <v>0</v>
      </c>
      <c r="K132" s="13">
        <f t="shared" si="128"/>
        <v>0</v>
      </c>
      <c r="L132" s="13">
        <f t="shared" ref="L132" si="131">SUM(L38+L64)</f>
        <v>0</v>
      </c>
      <c r="M132" s="13">
        <f t="shared" ref="M132" si="132">SUM(M38+M64)</f>
        <v>0</v>
      </c>
      <c r="N132" s="13">
        <f t="shared" si="128"/>
        <v>0</v>
      </c>
      <c r="O132" s="13">
        <f>SUM(O38+O64)</f>
        <v>214000</v>
      </c>
      <c r="P132" s="13">
        <f>SUM(P38+P64)</f>
        <v>106000</v>
      </c>
      <c r="Q132" s="37"/>
    </row>
    <row r="133" spans="1:17" x14ac:dyDescent="0.2">
      <c r="A133" s="132"/>
      <c r="B133" s="132"/>
      <c r="C133" s="5" t="s">
        <v>19</v>
      </c>
      <c r="D133" s="13">
        <f>SUM(D39+D65+D101)</f>
        <v>837025</v>
      </c>
      <c r="E133" s="13">
        <f>SUM(E39+E65+E101)</f>
        <v>0</v>
      </c>
      <c r="F133" s="13">
        <f t="shared" ref="F133:N133" si="133">SUM(F39+F65+F101)</f>
        <v>0</v>
      </c>
      <c r="G133" s="13">
        <f t="shared" ref="G133:J133" si="134">SUM(G39+G65+G101)</f>
        <v>0</v>
      </c>
      <c r="H133" s="13">
        <f t="shared" ref="H133" si="135">SUM(H39+H65+H101)</f>
        <v>0</v>
      </c>
      <c r="I133" s="13">
        <f t="shared" si="134"/>
        <v>0</v>
      </c>
      <c r="J133" s="13">
        <f t="shared" si="134"/>
        <v>0</v>
      </c>
      <c r="K133" s="13">
        <f t="shared" si="133"/>
        <v>0</v>
      </c>
      <c r="L133" s="13">
        <f t="shared" ref="L133" si="136">SUM(L39+L65+L101)</f>
        <v>0</v>
      </c>
      <c r="M133" s="13">
        <f t="shared" ref="M133" si="137">SUM(M39+M65+M101)</f>
        <v>0</v>
      </c>
      <c r="N133" s="13">
        <f t="shared" si="133"/>
        <v>0</v>
      </c>
      <c r="O133" s="13">
        <f>SUM(O39+O65+O101)</f>
        <v>837025</v>
      </c>
      <c r="P133" s="13">
        <f>SUM(P39+P65+P101)</f>
        <v>519053</v>
      </c>
      <c r="Q133" s="37"/>
    </row>
    <row r="134" spans="1:17" x14ac:dyDescent="0.2">
      <c r="A134" s="132"/>
      <c r="B134" s="132"/>
      <c r="C134" s="6" t="s">
        <v>38</v>
      </c>
      <c r="D134" s="13">
        <f>SUM(D40)</f>
        <v>150000</v>
      </c>
      <c r="E134" s="13">
        <f>SUM(E40)</f>
        <v>0</v>
      </c>
      <c r="F134" s="13">
        <f t="shared" ref="F134:N134" si="138">SUM(F40)</f>
        <v>0</v>
      </c>
      <c r="G134" s="13">
        <f t="shared" ref="G134:J134" si="139">SUM(G40)</f>
        <v>0</v>
      </c>
      <c r="H134" s="13">
        <f t="shared" ref="H134" si="140">SUM(H40)</f>
        <v>0</v>
      </c>
      <c r="I134" s="13">
        <f t="shared" si="139"/>
        <v>0</v>
      </c>
      <c r="J134" s="13">
        <f t="shared" si="139"/>
        <v>0</v>
      </c>
      <c r="K134" s="13">
        <f t="shared" si="138"/>
        <v>0</v>
      </c>
      <c r="L134" s="13">
        <f t="shared" ref="L134" si="141">SUM(L40)</f>
        <v>0</v>
      </c>
      <c r="M134" s="13">
        <f t="shared" ref="M134" si="142">SUM(M40)</f>
        <v>0</v>
      </c>
      <c r="N134" s="13">
        <f t="shared" si="138"/>
        <v>0</v>
      </c>
      <c r="O134" s="13">
        <f>SUM(O40)</f>
        <v>150000</v>
      </c>
      <c r="P134" s="13">
        <f>SUM(P40)</f>
        <v>0</v>
      </c>
      <c r="Q134" s="37"/>
    </row>
    <row r="135" spans="1:17" x14ac:dyDescent="0.2">
      <c r="A135" s="132"/>
      <c r="B135" s="132"/>
      <c r="C135" s="42" t="s">
        <v>51</v>
      </c>
      <c r="D135" s="43">
        <f>SUM(D31+D41+D66+D90+D103+D105+D101)</f>
        <v>66675027</v>
      </c>
      <c r="E135" s="43">
        <f t="shared" ref="E135:N135" si="143">SUM(E31+E41+E66+E90+E103+E105)</f>
        <v>0</v>
      </c>
      <c r="F135" s="43">
        <f t="shared" si="143"/>
        <v>0</v>
      </c>
      <c r="G135" s="43">
        <f t="shared" ref="G135:J135" si="144">SUM(G31+G41+G66+G90+G103+G105)</f>
        <v>273811</v>
      </c>
      <c r="H135" s="43">
        <f t="shared" ref="H135" si="145">SUM(H31+H41+H66+H90+H103+H105)</f>
        <v>-273811</v>
      </c>
      <c r="I135" s="43">
        <f t="shared" si="144"/>
        <v>1312638</v>
      </c>
      <c r="J135" s="43">
        <f t="shared" si="144"/>
        <v>5617277</v>
      </c>
      <c r="K135" s="43">
        <f t="shared" si="143"/>
        <v>-3922078</v>
      </c>
      <c r="L135" s="43">
        <f t="shared" ref="L135" si="146">SUM(L31+L41+L66+L90+L103+L105)</f>
        <v>-1695199</v>
      </c>
      <c r="M135" s="43">
        <f t="shared" si="143"/>
        <v>0</v>
      </c>
      <c r="N135" s="43">
        <f t="shared" si="143"/>
        <v>0</v>
      </c>
      <c r="O135" s="43">
        <f>SUM(O31+O41+O66+O90+O103+O105+O101)</f>
        <v>67987665</v>
      </c>
      <c r="P135" s="43">
        <f>SUM(P31+P41+P66+P90+P103+P105+P101)</f>
        <v>45033996</v>
      </c>
      <c r="Q135" s="37"/>
    </row>
    <row r="136" spans="1:17" x14ac:dyDescent="0.2">
      <c r="A136" s="132"/>
      <c r="B136" s="132"/>
      <c r="C136" s="44" t="s">
        <v>16</v>
      </c>
      <c r="D136" s="43">
        <f>SUM(D32+D42+D67+D91+D102+D104+D106)</f>
        <v>11941103</v>
      </c>
      <c r="E136" s="43">
        <f>SUM(E32+E42+E67+E91+E102+E104+E106)</f>
        <v>0</v>
      </c>
      <c r="F136" s="43">
        <f t="shared" ref="F136:P136" si="147">SUM(F32+F42+F67+F91+F102+F104+F106)</f>
        <v>0</v>
      </c>
      <c r="G136" s="43">
        <f t="shared" ref="G136:J136" si="148">SUM(G32+G42+G67+G91+G102+G104+G106)</f>
        <v>47917</v>
      </c>
      <c r="H136" s="43">
        <f t="shared" ref="H136" si="149">SUM(H32+H42+H67+H91+H102+H104+H106)</f>
        <v>-47917</v>
      </c>
      <c r="I136" s="43">
        <f t="shared" si="148"/>
        <v>229712</v>
      </c>
      <c r="J136" s="43">
        <f t="shared" si="148"/>
        <v>983023</v>
      </c>
      <c r="K136" s="43">
        <f t="shared" si="147"/>
        <v>-607922</v>
      </c>
      <c r="L136" s="43">
        <f t="shared" ref="L136" si="150">SUM(L32+L42+L67+L91+L102+L104+L106)</f>
        <v>-375101</v>
      </c>
      <c r="M136" s="43">
        <f t="shared" si="147"/>
        <v>0</v>
      </c>
      <c r="N136" s="43">
        <f t="shared" si="147"/>
        <v>0</v>
      </c>
      <c r="O136" s="43">
        <f t="shared" si="147"/>
        <v>12170815</v>
      </c>
      <c r="P136" s="43">
        <f t="shared" si="147"/>
        <v>7741735</v>
      </c>
      <c r="Q136" s="37"/>
    </row>
    <row r="137" spans="1:17" x14ac:dyDescent="0.2">
      <c r="A137" s="132"/>
      <c r="B137" s="132"/>
      <c r="C137" s="5" t="s">
        <v>20</v>
      </c>
      <c r="D137" s="13">
        <f t="shared" ref="D137:P138" si="151">SUM(D43+D68+D92)</f>
        <v>625000</v>
      </c>
      <c r="E137" s="13">
        <f t="shared" si="151"/>
        <v>0</v>
      </c>
      <c r="F137" s="13">
        <f t="shared" si="151"/>
        <v>0</v>
      </c>
      <c r="G137" s="13">
        <f t="shared" ref="G137:J137" si="152">SUM(G43+G68+G92)</f>
        <v>0</v>
      </c>
      <c r="H137" s="13">
        <f t="shared" ref="H137" si="153">SUM(H43+H68+H92)</f>
        <v>0</v>
      </c>
      <c r="I137" s="13">
        <f t="shared" si="152"/>
        <v>0</v>
      </c>
      <c r="J137" s="13">
        <f t="shared" si="152"/>
        <v>0</v>
      </c>
      <c r="K137" s="13">
        <f t="shared" si="151"/>
        <v>0</v>
      </c>
      <c r="L137" s="13">
        <f t="shared" ref="L137" si="154">SUM(L43+L68+L92)</f>
        <v>0</v>
      </c>
      <c r="M137" s="13">
        <f t="shared" ref="M137" si="155">SUM(M43+M68+M92)</f>
        <v>0</v>
      </c>
      <c r="N137" s="13">
        <f t="shared" si="151"/>
        <v>0</v>
      </c>
      <c r="O137" s="13">
        <f t="shared" si="151"/>
        <v>625000</v>
      </c>
      <c r="P137" s="13">
        <f t="shared" si="151"/>
        <v>25124</v>
      </c>
      <c r="Q137" s="37"/>
    </row>
    <row r="138" spans="1:17" x14ac:dyDescent="0.2">
      <c r="A138" s="132"/>
      <c r="B138" s="132"/>
      <c r="C138" s="6" t="s">
        <v>39</v>
      </c>
      <c r="D138" s="13">
        <f t="shared" si="151"/>
        <v>1100000</v>
      </c>
      <c r="E138" s="13">
        <f t="shared" si="151"/>
        <v>0</v>
      </c>
      <c r="F138" s="13">
        <f t="shared" si="151"/>
        <v>0</v>
      </c>
      <c r="G138" s="13">
        <f t="shared" ref="G138:J138" si="156">SUM(G44+G69+G93)</f>
        <v>0</v>
      </c>
      <c r="H138" s="13">
        <f t="shared" ref="H138" si="157">SUM(H44+H69+H93)</f>
        <v>0</v>
      </c>
      <c r="I138" s="13">
        <f t="shared" si="156"/>
        <v>0</v>
      </c>
      <c r="J138" s="13">
        <f t="shared" si="156"/>
        <v>0</v>
      </c>
      <c r="K138" s="13">
        <f t="shared" si="151"/>
        <v>0</v>
      </c>
      <c r="L138" s="13">
        <f t="shared" ref="L138" si="158">SUM(L44+L69+L93)</f>
        <v>0</v>
      </c>
      <c r="M138" s="13">
        <f t="shared" ref="M138" si="159">SUM(M44+M69+M93)</f>
        <v>0</v>
      </c>
      <c r="N138" s="13">
        <f t="shared" si="151"/>
        <v>0</v>
      </c>
      <c r="O138" s="81">
        <f t="shared" si="151"/>
        <v>1100000</v>
      </c>
      <c r="P138" s="13">
        <f t="shared" si="151"/>
        <v>120</v>
      </c>
      <c r="Q138" s="37"/>
    </row>
    <row r="139" spans="1:17" x14ac:dyDescent="0.2">
      <c r="A139" s="132"/>
      <c r="B139" s="132"/>
      <c r="C139" s="5" t="s">
        <v>21</v>
      </c>
      <c r="D139" s="13">
        <f t="shared" ref="D139:P141" si="160">SUM(D70+D45)</f>
        <v>128262</v>
      </c>
      <c r="E139" s="13">
        <f t="shared" si="160"/>
        <v>30938</v>
      </c>
      <c r="F139" s="13">
        <f t="shared" si="160"/>
        <v>0</v>
      </c>
      <c r="G139" s="13">
        <f t="shared" ref="G139:J139" si="161">SUM(G70+G45)</f>
        <v>0</v>
      </c>
      <c r="H139" s="13">
        <f t="shared" ref="H139" si="162">SUM(H70+H45)</f>
        <v>0</v>
      </c>
      <c r="I139" s="13">
        <f t="shared" si="161"/>
        <v>0</v>
      </c>
      <c r="J139" s="13">
        <f t="shared" si="161"/>
        <v>0</v>
      </c>
      <c r="K139" s="13">
        <f t="shared" si="160"/>
        <v>0</v>
      </c>
      <c r="L139" s="13">
        <f t="shared" ref="L139" si="163">SUM(L70+L45)</f>
        <v>0</v>
      </c>
      <c r="M139" s="13">
        <f t="shared" ref="M139" si="164">SUM(M70+M45)</f>
        <v>0</v>
      </c>
      <c r="N139" s="13">
        <f t="shared" si="160"/>
        <v>0</v>
      </c>
      <c r="O139" s="13">
        <f t="shared" si="160"/>
        <v>159200</v>
      </c>
      <c r="P139" s="13">
        <f t="shared" si="160"/>
        <v>96887</v>
      </c>
      <c r="Q139" s="37"/>
    </row>
    <row r="140" spans="1:17" x14ac:dyDescent="0.2">
      <c r="A140" s="132"/>
      <c r="B140" s="132"/>
      <c r="C140" s="5" t="s">
        <v>22</v>
      </c>
      <c r="D140" s="13">
        <f t="shared" si="160"/>
        <v>211778</v>
      </c>
      <c r="E140" s="13">
        <f t="shared" si="160"/>
        <v>-2100</v>
      </c>
      <c r="F140" s="13">
        <f t="shared" si="160"/>
        <v>0</v>
      </c>
      <c r="G140" s="13">
        <f t="shared" ref="G140:J140" si="165">SUM(G71+G46)</f>
        <v>0</v>
      </c>
      <c r="H140" s="13">
        <f t="shared" ref="H140" si="166">SUM(H71+H46)</f>
        <v>0</v>
      </c>
      <c r="I140" s="13">
        <f t="shared" si="165"/>
        <v>0</v>
      </c>
      <c r="J140" s="13">
        <f t="shared" si="165"/>
        <v>0</v>
      </c>
      <c r="K140" s="13">
        <f t="shared" si="160"/>
        <v>0</v>
      </c>
      <c r="L140" s="13">
        <f t="shared" ref="L140" si="167">SUM(L71+L46)</f>
        <v>0</v>
      </c>
      <c r="M140" s="13">
        <f t="shared" ref="M140" si="168">SUM(M71+M46)</f>
        <v>0</v>
      </c>
      <c r="N140" s="13">
        <f t="shared" si="160"/>
        <v>0</v>
      </c>
      <c r="O140" s="13">
        <f t="shared" si="160"/>
        <v>209678</v>
      </c>
      <c r="P140" s="13">
        <f t="shared" si="160"/>
        <v>81109</v>
      </c>
      <c r="Q140" s="37"/>
    </row>
    <row r="141" spans="1:17" x14ac:dyDescent="0.2">
      <c r="A141" s="132"/>
      <c r="B141" s="132"/>
      <c r="C141" s="5" t="s">
        <v>23</v>
      </c>
      <c r="D141" s="13">
        <f t="shared" si="160"/>
        <v>3419730</v>
      </c>
      <c r="E141" s="13">
        <f t="shared" si="160"/>
        <v>0</v>
      </c>
      <c r="F141" s="13">
        <f t="shared" si="160"/>
        <v>0</v>
      </c>
      <c r="G141" s="13">
        <f t="shared" ref="G141:J141" si="169">SUM(G72+G47)</f>
        <v>0</v>
      </c>
      <c r="H141" s="13">
        <f t="shared" ref="H141" si="170">SUM(H72+H47)</f>
        <v>0</v>
      </c>
      <c r="I141" s="13">
        <f t="shared" si="169"/>
        <v>0</v>
      </c>
      <c r="J141" s="13">
        <f t="shared" si="169"/>
        <v>0</v>
      </c>
      <c r="K141" s="13">
        <f t="shared" si="160"/>
        <v>0</v>
      </c>
      <c r="L141" s="13">
        <f t="shared" ref="L141" si="171">SUM(L72+L47)</f>
        <v>0</v>
      </c>
      <c r="M141" s="13">
        <f t="shared" ref="M141" si="172">SUM(M72+M47)</f>
        <v>0</v>
      </c>
      <c r="N141" s="13">
        <f t="shared" si="160"/>
        <v>0</v>
      </c>
      <c r="O141" s="13">
        <f t="shared" si="160"/>
        <v>3419730</v>
      </c>
      <c r="P141" s="13">
        <f t="shared" si="160"/>
        <v>1969101</v>
      </c>
      <c r="Q141" s="37"/>
    </row>
    <row r="142" spans="1:17" x14ac:dyDescent="0.2">
      <c r="A142" s="132"/>
      <c r="B142" s="132"/>
      <c r="C142" s="6" t="s">
        <v>29</v>
      </c>
      <c r="D142" s="13">
        <f>SUM(D73)</f>
        <v>9112980</v>
      </c>
      <c r="E142" s="13">
        <f>SUM(E73)</f>
        <v>0</v>
      </c>
      <c r="F142" s="13">
        <f t="shared" ref="F142:N142" si="173">SUM(F73)</f>
        <v>0</v>
      </c>
      <c r="G142" s="13">
        <f t="shared" ref="G142:J142" si="174">SUM(G73)</f>
        <v>0</v>
      </c>
      <c r="H142" s="13">
        <f t="shared" ref="H142" si="175">SUM(H73)</f>
        <v>0</v>
      </c>
      <c r="I142" s="13">
        <f t="shared" si="174"/>
        <v>0</v>
      </c>
      <c r="J142" s="13">
        <f t="shared" si="174"/>
        <v>0</v>
      </c>
      <c r="K142" s="13">
        <f t="shared" si="173"/>
        <v>0</v>
      </c>
      <c r="L142" s="13">
        <f t="shared" ref="L142" si="176">SUM(L73)</f>
        <v>0</v>
      </c>
      <c r="M142" s="13">
        <f t="shared" ref="M142" si="177">SUM(M73)</f>
        <v>0</v>
      </c>
      <c r="N142" s="13">
        <f t="shared" si="173"/>
        <v>0</v>
      </c>
      <c r="O142" s="81">
        <f>SUM(O73)</f>
        <v>9112980</v>
      </c>
      <c r="P142" s="13">
        <f>SUM(P73)</f>
        <v>3919223</v>
      </c>
      <c r="Q142" s="37"/>
    </row>
    <row r="143" spans="1:17" x14ac:dyDescent="0.2">
      <c r="A143" s="132"/>
      <c r="B143" s="132"/>
      <c r="C143" s="5" t="s">
        <v>24</v>
      </c>
      <c r="D143" s="13">
        <f>SUM(D74+D48)</f>
        <v>640000</v>
      </c>
      <c r="E143" s="13">
        <f>SUM(E74+E48)</f>
        <v>0</v>
      </c>
      <c r="F143" s="13">
        <f t="shared" ref="F143:N143" si="178">SUM(F74+F48)</f>
        <v>0</v>
      </c>
      <c r="G143" s="13">
        <f t="shared" ref="G143:J143" si="179">SUM(G74+G48)</f>
        <v>0</v>
      </c>
      <c r="H143" s="13">
        <f t="shared" ref="H143" si="180">SUM(H74+H48)</f>
        <v>0</v>
      </c>
      <c r="I143" s="13">
        <f t="shared" si="179"/>
        <v>0</v>
      </c>
      <c r="J143" s="13">
        <f t="shared" si="179"/>
        <v>0</v>
      </c>
      <c r="K143" s="13">
        <f t="shared" si="178"/>
        <v>0</v>
      </c>
      <c r="L143" s="13">
        <f t="shared" ref="L143" si="181">SUM(L74+L48)</f>
        <v>0</v>
      </c>
      <c r="M143" s="13">
        <f t="shared" ref="M143" si="182">SUM(M74+M48)</f>
        <v>0</v>
      </c>
      <c r="N143" s="13">
        <f t="shared" si="178"/>
        <v>0</v>
      </c>
      <c r="O143" s="81">
        <f>SUM(O74+O48)</f>
        <v>640000</v>
      </c>
      <c r="P143" s="13">
        <f>SUM(P74+P48)</f>
        <v>20403</v>
      </c>
      <c r="Q143" s="37"/>
    </row>
    <row r="144" spans="1:17" x14ac:dyDescent="0.2">
      <c r="A144" s="132"/>
      <c r="B144" s="132"/>
      <c r="C144" s="5" t="s">
        <v>45</v>
      </c>
      <c r="D144" s="13">
        <f t="shared" ref="D144:P145" si="183">SUM(D49)</f>
        <v>14840</v>
      </c>
      <c r="E144" s="13">
        <f t="shared" si="183"/>
        <v>0</v>
      </c>
      <c r="F144" s="13">
        <f t="shared" si="183"/>
        <v>0</v>
      </c>
      <c r="G144" s="13">
        <f t="shared" ref="G144:J144" si="184">SUM(G49)</f>
        <v>0</v>
      </c>
      <c r="H144" s="13">
        <f t="shared" ref="H144" si="185">SUM(H49)</f>
        <v>0</v>
      </c>
      <c r="I144" s="13">
        <f t="shared" si="184"/>
        <v>0</v>
      </c>
      <c r="J144" s="13">
        <f t="shared" si="184"/>
        <v>0</v>
      </c>
      <c r="K144" s="13">
        <f t="shared" si="183"/>
        <v>0</v>
      </c>
      <c r="L144" s="13">
        <f t="shared" ref="L144" si="186">SUM(L49)</f>
        <v>0</v>
      </c>
      <c r="M144" s="13">
        <f t="shared" ref="M144" si="187">SUM(M49)</f>
        <v>0</v>
      </c>
      <c r="N144" s="13">
        <f t="shared" si="183"/>
        <v>0</v>
      </c>
      <c r="O144" s="81">
        <f t="shared" si="183"/>
        <v>14840</v>
      </c>
      <c r="P144" s="13">
        <f t="shared" si="183"/>
        <v>5483</v>
      </c>
      <c r="Q144" s="37"/>
    </row>
    <row r="145" spans="1:17" x14ac:dyDescent="0.2">
      <c r="A145" s="132"/>
      <c r="B145" s="132"/>
      <c r="C145" s="9" t="s">
        <v>25</v>
      </c>
      <c r="D145" s="13">
        <f t="shared" si="183"/>
        <v>614000</v>
      </c>
      <c r="E145" s="13">
        <f t="shared" si="183"/>
        <v>0</v>
      </c>
      <c r="F145" s="13">
        <f t="shared" si="183"/>
        <v>0</v>
      </c>
      <c r="G145" s="13">
        <f t="shared" ref="G145:J145" si="188">SUM(G50)</f>
        <v>0</v>
      </c>
      <c r="H145" s="13">
        <f t="shared" ref="H145" si="189">SUM(H50)</f>
        <v>0</v>
      </c>
      <c r="I145" s="13">
        <f t="shared" si="188"/>
        <v>0</v>
      </c>
      <c r="J145" s="13">
        <f t="shared" si="188"/>
        <v>0</v>
      </c>
      <c r="K145" s="13">
        <f t="shared" si="183"/>
        <v>0</v>
      </c>
      <c r="L145" s="13">
        <f t="shared" ref="L145" si="190">SUM(L50)</f>
        <v>0</v>
      </c>
      <c r="M145" s="13">
        <f t="shared" ref="M145" si="191">SUM(M50)</f>
        <v>0</v>
      </c>
      <c r="N145" s="13">
        <f t="shared" si="183"/>
        <v>0</v>
      </c>
      <c r="O145" s="81">
        <f t="shared" si="183"/>
        <v>614000</v>
      </c>
      <c r="P145" s="13">
        <f t="shared" si="183"/>
        <v>400000</v>
      </c>
      <c r="Q145" s="37"/>
    </row>
    <row r="146" spans="1:17" x14ac:dyDescent="0.2">
      <c r="A146" s="132"/>
      <c r="B146" s="132"/>
      <c r="C146" s="5" t="s">
        <v>26</v>
      </c>
      <c r="D146" s="13">
        <f t="shared" ref="D146:P147" si="192">SUM(D76+D51)</f>
        <v>4068063</v>
      </c>
      <c r="E146" s="13">
        <f t="shared" si="192"/>
        <v>-208199</v>
      </c>
      <c r="F146" s="13">
        <f t="shared" si="192"/>
        <v>3925512</v>
      </c>
      <c r="G146" s="13">
        <f t="shared" ref="G146:J146" si="193">SUM(G76+G51)</f>
        <v>0</v>
      </c>
      <c r="H146" s="13">
        <f t="shared" ref="H146" si="194">SUM(H76+H51)</f>
        <v>-3925512</v>
      </c>
      <c r="I146" s="13">
        <f t="shared" si="193"/>
        <v>0</v>
      </c>
      <c r="J146" s="13">
        <f t="shared" si="193"/>
        <v>0</v>
      </c>
      <c r="K146" s="13">
        <f t="shared" si="192"/>
        <v>0</v>
      </c>
      <c r="L146" s="13">
        <f t="shared" ref="L146" si="195">SUM(L76+L51)</f>
        <v>0</v>
      </c>
      <c r="M146" s="13">
        <f t="shared" ref="M146" si="196">SUM(M76+M51)</f>
        <v>0</v>
      </c>
      <c r="N146" s="13">
        <f t="shared" si="192"/>
        <v>0</v>
      </c>
      <c r="O146" s="81">
        <f>SUM(O76+O51+O98)</f>
        <v>3859864</v>
      </c>
      <c r="P146" s="81">
        <f>SUM(P76+P51+P98)</f>
        <v>422423</v>
      </c>
      <c r="Q146" s="37"/>
    </row>
    <row r="147" spans="1:17" x14ac:dyDescent="0.2">
      <c r="A147" s="132"/>
      <c r="B147" s="132"/>
      <c r="C147" s="6" t="s">
        <v>40</v>
      </c>
      <c r="D147" s="13">
        <f t="shared" si="192"/>
        <v>75000</v>
      </c>
      <c r="E147" s="13">
        <f t="shared" si="192"/>
        <v>0</v>
      </c>
      <c r="F147" s="13">
        <f t="shared" si="192"/>
        <v>0</v>
      </c>
      <c r="G147" s="13">
        <f t="shared" ref="G147:J147" si="197">SUM(G77+G52)</f>
        <v>0</v>
      </c>
      <c r="H147" s="13">
        <f t="shared" ref="H147" si="198">SUM(H77+H52)</f>
        <v>0</v>
      </c>
      <c r="I147" s="13">
        <f t="shared" si="197"/>
        <v>0</v>
      </c>
      <c r="J147" s="13">
        <f t="shared" si="197"/>
        <v>0</v>
      </c>
      <c r="K147" s="13">
        <f t="shared" si="192"/>
        <v>0</v>
      </c>
      <c r="L147" s="13">
        <f t="shared" ref="L147" si="199">SUM(L77+L52)</f>
        <v>0</v>
      </c>
      <c r="M147" s="13">
        <f t="shared" ref="M147" si="200">SUM(M77+M52)</f>
        <v>0</v>
      </c>
      <c r="N147" s="13">
        <f t="shared" si="192"/>
        <v>0</v>
      </c>
      <c r="O147" s="81">
        <f t="shared" si="192"/>
        <v>75000</v>
      </c>
      <c r="P147" s="13">
        <f t="shared" si="192"/>
        <v>0</v>
      </c>
      <c r="Q147" s="37"/>
    </row>
    <row r="148" spans="1:17" x14ac:dyDescent="0.2">
      <c r="A148" s="132"/>
      <c r="B148" s="132"/>
      <c r="C148" s="6" t="s">
        <v>62</v>
      </c>
      <c r="D148" s="13">
        <f t="shared" ref="D148:P148" si="201">SUM(D53)</f>
        <v>0</v>
      </c>
      <c r="E148" s="13">
        <f t="shared" si="201"/>
        <v>0</v>
      </c>
      <c r="F148" s="13">
        <f t="shared" si="201"/>
        <v>0</v>
      </c>
      <c r="G148" s="13">
        <f t="shared" ref="G148:J148" si="202">SUM(G53)</f>
        <v>0</v>
      </c>
      <c r="H148" s="13">
        <f t="shared" ref="H148" si="203">SUM(H53)</f>
        <v>0</v>
      </c>
      <c r="I148" s="13">
        <f t="shared" si="202"/>
        <v>0</v>
      </c>
      <c r="J148" s="13">
        <f t="shared" si="202"/>
        <v>0</v>
      </c>
      <c r="K148" s="13">
        <f t="shared" si="201"/>
        <v>0</v>
      </c>
      <c r="L148" s="13">
        <f t="shared" ref="L148" si="204">SUM(L53)</f>
        <v>0</v>
      </c>
      <c r="M148" s="13">
        <f t="shared" ref="M148" si="205">SUM(M53)</f>
        <v>0</v>
      </c>
      <c r="N148" s="13">
        <f t="shared" si="201"/>
        <v>0</v>
      </c>
      <c r="O148" s="81">
        <f t="shared" si="201"/>
        <v>0</v>
      </c>
      <c r="P148" s="13">
        <f t="shared" si="201"/>
        <v>0</v>
      </c>
      <c r="Q148" s="37"/>
    </row>
    <row r="149" spans="1:17" x14ac:dyDescent="0.2">
      <c r="A149" s="132"/>
      <c r="B149" s="132"/>
      <c r="C149" s="5" t="s">
        <v>27</v>
      </c>
      <c r="D149" s="13">
        <f>SUM(D99+D78+D54)</f>
        <v>4420751</v>
      </c>
      <c r="E149" s="13">
        <f>SUM(E99+E78+E54)</f>
        <v>-29060</v>
      </c>
      <c r="F149" s="13">
        <f t="shared" ref="F149:N149" si="206">SUM(F99+F78+F54)</f>
        <v>1059888</v>
      </c>
      <c r="G149" s="13">
        <f t="shared" ref="G149:J149" si="207">SUM(G99+G78+G54)</f>
        <v>0</v>
      </c>
      <c r="H149" s="13">
        <f t="shared" ref="H149" si="208">SUM(H99+H78+H54)</f>
        <v>-1059888</v>
      </c>
      <c r="I149" s="13">
        <f t="shared" si="207"/>
        <v>0</v>
      </c>
      <c r="J149" s="13">
        <f t="shared" si="207"/>
        <v>0</v>
      </c>
      <c r="K149" s="13">
        <f t="shared" si="206"/>
        <v>0</v>
      </c>
      <c r="L149" s="13">
        <f t="shared" ref="L149" si="209">SUM(L99+L78+L54)</f>
        <v>0</v>
      </c>
      <c r="M149" s="13">
        <f t="shared" ref="M149" si="210">SUM(M99+M78+M54)</f>
        <v>0</v>
      </c>
      <c r="N149" s="13">
        <f t="shared" si="206"/>
        <v>0</v>
      </c>
      <c r="O149" s="81">
        <f>SUM(O99+O78+O54)</f>
        <v>4391691</v>
      </c>
      <c r="P149" s="13">
        <f>SUM(P99+P78+P54)</f>
        <v>1319489</v>
      </c>
      <c r="Q149" s="37"/>
    </row>
    <row r="150" spans="1:17" x14ac:dyDescent="0.2">
      <c r="A150" s="132"/>
      <c r="B150" s="132"/>
      <c r="C150" s="6" t="s">
        <v>43</v>
      </c>
      <c r="D150" s="13">
        <f t="shared" ref="D150:P150" si="211">SUM(D55)</f>
        <v>0</v>
      </c>
      <c r="E150" s="13">
        <f t="shared" si="211"/>
        <v>0</v>
      </c>
      <c r="F150" s="13">
        <f t="shared" si="211"/>
        <v>0</v>
      </c>
      <c r="G150" s="13">
        <f t="shared" ref="G150:J150" si="212">SUM(G55)</f>
        <v>0</v>
      </c>
      <c r="H150" s="13">
        <f t="shared" ref="H150" si="213">SUM(H55)</f>
        <v>0</v>
      </c>
      <c r="I150" s="13">
        <f t="shared" si="212"/>
        <v>0</v>
      </c>
      <c r="J150" s="13">
        <f t="shared" si="212"/>
        <v>0</v>
      </c>
      <c r="K150" s="13">
        <f t="shared" si="211"/>
        <v>0</v>
      </c>
      <c r="L150" s="13">
        <f t="shared" ref="L150" si="214">SUM(L55)</f>
        <v>0</v>
      </c>
      <c r="M150" s="13">
        <f t="shared" ref="M150" si="215">SUM(M55)</f>
        <v>0</v>
      </c>
      <c r="N150" s="13">
        <f t="shared" si="211"/>
        <v>0</v>
      </c>
      <c r="O150" s="13">
        <f t="shared" si="211"/>
        <v>0</v>
      </c>
      <c r="P150" s="13">
        <f t="shared" si="211"/>
        <v>0</v>
      </c>
      <c r="Q150" s="37"/>
    </row>
    <row r="151" spans="1:17" x14ac:dyDescent="0.2">
      <c r="A151" s="132"/>
      <c r="B151" s="132"/>
      <c r="C151" s="14" t="s">
        <v>28</v>
      </c>
      <c r="D151" s="13">
        <f t="shared" ref="D151:P151" si="216">SUM(D56,D79)</f>
        <v>26599</v>
      </c>
      <c r="E151" s="13">
        <f t="shared" si="216"/>
        <v>5221</v>
      </c>
      <c r="F151" s="13">
        <f t="shared" si="216"/>
        <v>0</v>
      </c>
      <c r="G151" s="13">
        <f t="shared" ref="G151:J151" si="217">SUM(G56,G79)</f>
        <v>0</v>
      </c>
      <c r="H151" s="13">
        <f t="shared" ref="H151" si="218">SUM(H56,H79)</f>
        <v>0</v>
      </c>
      <c r="I151" s="13">
        <f t="shared" si="217"/>
        <v>0</v>
      </c>
      <c r="J151" s="13">
        <f t="shared" si="217"/>
        <v>0</v>
      </c>
      <c r="K151" s="13">
        <f t="shared" si="216"/>
        <v>0</v>
      </c>
      <c r="L151" s="13">
        <f t="shared" ref="L151" si="219">SUM(L56,L79)</f>
        <v>0</v>
      </c>
      <c r="M151" s="13">
        <f t="shared" ref="M151" si="220">SUM(M56,M79)</f>
        <v>0</v>
      </c>
      <c r="N151" s="13">
        <f t="shared" si="216"/>
        <v>0</v>
      </c>
      <c r="O151" s="13">
        <f t="shared" si="216"/>
        <v>31820</v>
      </c>
      <c r="P151" s="13">
        <f t="shared" si="216"/>
        <v>15619</v>
      </c>
      <c r="Q151" s="37"/>
    </row>
    <row r="152" spans="1:17" x14ac:dyDescent="0.2">
      <c r="A152" s="132"/>
      <c r="B152" s="132"/>
      <c r="C152" s="42" t="s">
        <v>50</v>
      </c>
      <c r="D152" s="43">
        <f>SUM(D57+D80+D100)</f>
        <v>24457003</v>
      </c>
      <c r="E152" s="43">
        <f>SUM(E57+E80+E100)</f>
        <v>-203200</v>
      </c>
      <c r="F152" s="43">
        <f t="shared" ref="F152:O152" si="221">SUM(F57+F80+F100)</f>
        <v>4985400</v>
      </c>
      <c r="G152" s="43">
        <f t="shared" ref="G152:J152" si="222">SUM(G57+G80+G100)</f>
        <v>0</v>
      </c>
      <c r="H152" s="43">
        <f t="shared" ref="H152" si="223">SUM(H57+H80+H100)</f>
        <v>-4985400</v>
      </c>
      <c r="I152" s="43">
        <f t="shared" si="222"/>
        <v>0</v>
      </c>
      <c r="J152" s="43">
        <f t="shared" si="222"/>
        <v>0</v>
      </c>
      <c r="K152" s="43">
        <f t="shared" si="221"/>
        <v>0</v>
      </c>
      <c r="L152" s="43">
        <f t="shared" ref="L152" si="224">SUM(L57+L80+L100)</f>
        <v>0</v>
      </c>
      <c r="M152" s="43">
        <f t="shared" si="221"/>
        <v>0</v>
      </c>
      <c r="N152" s="43">
        <f t="shared" si="221"/>
        <v>0</v>
      </c>
      <c r="O152" s="43">
        <f t="shared" si="221"/>
        <v>24253803</v>
      </c>
      <c r="P152" s="43">
        <f>SUM(P57+P80+P100)</f>
        <v>8274981</v>
      </c>
      <c r="Q152" s="37"/>
    </row>
    <row r="153" spans="1:17" s="91" customFormat="1" x14ac:dyDescent="0.2">
      <c r="A153" s="132"/>
      <c r="B153" s="132"/>
      <c r="C153" s="90" t="s">
        <v>68</v>
      </c>
      <c r="D153" s="81">
        <f>SUM(D81)</f>
        <v>0</v>
      </c>
      <c r="E153" s="81">
        <f t="shared" ref="E153:P153" si="225">SUM(E81)</f>
        <v>160000</v>
      </c>
      <c r="F153" s="81">
        <f t="shared" si="225"/>
        <v>0</v>
      </c>
      <c r="G153" s="81">
        <f t="shared" si="225"/>
        <v>0</v>
      </c>
      <c r="H153" s="81">
        <f t="shared" ref="H153" si="226">SUM(H81)</f>
        <v>0</v>
      </c>
      <c r="I153" s="81">
        <f t="shared" si="225"/>
        <v>0</v>
      </c>
      <c r="J153" s="81">
        <f t="shared" si="225"/>
        <v>0</v>
      </c>
      <c r="K153" s="81">
        <f t="shared" si="225"/>
        <v>0</v>
      </c>
      <c r="L153" s="81">
        <f t="shared" ref="L153" si="227">SUM(L81)</f>
        <v>0</v>
      </c>
      <c r="M153" s="81">
        <f t="shared" ref="M153" si="228">SUM(M81)</f>
        <v>0</v>
      </c>
      <c r="N153" s="81">
        <f t="shared" si="225"/>
        <v>0</v>
      </c>
      <c r="O153" s="81">
        <f t="shared" si="225"/>
        <v>160000</v>
      </c>
      <c r="P153" s="81">
        <f t="shared" si="225"/>
        <v>160000</v>
      </c>
      <c r="Q153" s="37"/>
    </row>
    <row r="154" spans="1:17" x14ac:dyDescent="0.2">
      <c r="A154" s="132"/>
      <c r="B154" s="132"/>
      <c r="C154" s="34" t="s">
        <v>46</v>
      </c>
      <c r="D154" s="13">
        <f>SUM(D58)</f>
        <v>86808</v>
      </c>
      <c r="E154" s="13">
        <f>SUM(E58)</f>
        <v>0</v>
      </c>
      <c r="F154" s="13">
        <f t="shared" ref="F154:N154" si="229">SUM(F58)</f>
        <v>0</v>
      </c>
      <c r="G154" s="13">
        <f t="shared" ref="G154:J154" si="230">SUM(G58)</f>
        <v>0</v>
      </c>
      <c r="H154" s="13">
        <f t="shared" ref="H154" si="231">SUM(H58)</f>
        <v>0</v>
      </c>
      <c r="I154" s="13">
        <f t="shared" si="230"/>
        <v>0</v>
      </c>
      <c r="J154" s="13">
        <f t="shared" si="230"/>
        <v>0</v>
      </c>
      <c r="K154" s="13">
        <f t="shared" si="229"/>
        <v>0</v>
      </c>
      <c r="L154" s="13">
        <f t="shared" ref="L154" si="232">SUM(L58)</f>
        <v>0</v>
      </c>
      <c r="M154" s="13">
        <f t="shared" ref="M154" si="233">SUM(M58)</f>
        <v>0</v>
      </c>
      <c r="N154" s="13">
        <f t="shared" si="229"/>
        <v>0</v>
      </c>
      <c r="O154" s="13">
        <f>SUM(O58)</f>
        <v>86808</v>
      </c>
      <c r="P154" s="13">
        <f>SUM(P58)</f>
        <v>0</v>
      </c>
      <c r="Q154" s="37"/>
    </row>
    <row r="155" spans="1:17" x14ac:dyDescent="0.2">
      <c r="A155" s="132"/>
      <c r="B155" s="132"/>
      <c r="C155" s="14" t="s">
        <v>47</v>
      </c>
      <c r="D155" s="13">
        <f>SUM(D83+D59)</f>
        <v>23438</v>
      </c>
      <c r="E155" s="13">
        <f>SUM(E83+E59)</f>
        <v>43200</v>
      </c>
      <c r="F155" s="13">
        <f t="shared" ref="F155:N155" si="234">SUM(F83+F59)</f>
        <v>0</v>
      </c>
      <c r="G155" s="13">
        <f t="shared" ref="G155:J155" si="235">SUM(G83+G59)</f>
        <v>0</v>
      </c>
      <c r="H155" s="13">
        <f t="shared" ref="H155" si="236">SUM(H83+H59)</f>
        <v>0</v>
      </c>
      <c r="I155" s="13">
        <f t="shared" si="235"/>
        <v>0</v>
      </c>
      <c r="J155" s="13">
        <f t="shared" si="235"/>
        <v>0</v>
      </c>
      <c r="K155" s="13">
        <f t="shared" si="234"/>
        <v>0</v>
      </c>
      <c r="L155" s="13">
        <f t="shared" ref="L155" si="237">SUM(L83+L59)</f>
        <v>0</v>
      </c>
      <c r="M155" s="13">
        <f t="shared" ref="M155" si="238">SUM(M83+M59)</f>
        <v>0</v>
      </c>
      <c r="N155" s="13">
        <f t="shared" si="234"/>
        <v>0</v>
      </c>
      <c r="O155" s="13">
        <f>SUM(O83+O59)</f>
        <v>66638</v>
      </c>
      <c r="P155" s="13">
        <f>SUM(P83+P59)</f>
        <v>43200</v>
      </c>
      <c r="Q155" s="37"/>
    </row>
    <row r="156" spans="1:17" x14ac:dyDescent="0.2">
      <c r="A156" s="132"/>
      <c r="B156" s="132"/>
      <c r="C156" s="42" t="s">
        <v>54</v>
      </c>
      <c r="D156" s="45">
        <f t="shared" ref="D156:O156" si="239">SUM(D60,D84)</f>
        <v>110246</v>
      </c>
      <c r="E156" s="45">
        <f t="shared" si="239"/>
        <v>203200</v>
      </c>
      <c r="F156" s="45">
        <f t="shared" si="239"/>
        <v>0</v>
      </c>
      <c r="G156" s="45">
        <f t="shared" si="239"/>
        <v>0</v>
      </c>
      <c r="H156" s="45">
        <f t="shared" ref="H156" si="240">SUM(H60,H84)</f>
        <v>0</v>
      </c>
      <c r="I156" s="45">
        <f t="shared" si="239"/>
        <v>0</v>
      </c>
      <c r="J156" s="45">
        <f t="shared" si="239"/>
        <v>0</v>
      </c>
      <c r="K156" s="45">
        <f t="shared" si="239"/>
        <v>0</v>
      </c>
      <c r="L156" s="45">
        <f t="shared" ref="L156" si="241">SUM(L60,L84)</f>
        <v>0</v>
      </c>
      <c r="M156" s="45">
        <f t="shared" si="239"/>
        <v>0</v>
      </c>
      <c r="N156" s="45">
        <f t="shared" si="239"/>
        <v>0</v>
      </c>
      <c r="O156" s="45">
        <f t="shared" si="239"/>
        <v>313446</v>
      </c>
      <c r="P156" s="45">
        <f>SUM(P60,P84)</f>
        <v>203200</v>
      </c>
    </row>
    <row r="157" spans="1:17" x14ac:dyDescent="0.2">
      <c r="A157" s="132"/>
      <c r="B157" s="132"/>
      <c r="C157" s="34" t="s">
        <v>48</v>
      </c>
      <c r="D157" s="39">
        <f t="shared" ref="D157:F159" si="242">SUM(D85)</f>
        <v>0</v>
      </c>
      <c r="E157" s="39">
        <f t="shared" si="242"/>
        <v>0</v>
      </c>
      <c r="F157" s="39">
        <f t="shared" si="242"/>
        <v>0</v>
      </c>
      <c r="G157" s="39">
        <f t="shared" ref="G157:J157" si="243">SUM(G85)</f>
        <v>0</v>
      </c>
      <c r="H157" s="39">
        <f t="shared" ref="H157" si="244">SUM(H85)</f>
        <v>0</v>
      </c>
      <c r="I157" s="39">
        <f t="shared" si="243"/>
        <v>0</v>
      </c>
      <c r="J157" s="39">
        <f t="shared" si="243"/>
        <v>0</v>
      </c>
      <c r="K157" s="39">
        <f t="shared" ref="K157:M158" si="245">SUM(K85)</f>
        <v>0</v>
      </c>
      <c r="L157" s="39">
        <f t="shared" si="245"/>
        <v>0</v>
      </c>
      <c r="M157" s="39">
        <f t="shared" si="245"/>
        <v>0</v>
      </c>
      <c r="N157" s="39">
        <f t="shared" ref="K157:P159" si="246">SUM(N85)</f>
        <v>0</v>
      </c>
      <c r="O157" s="39">
        <f t="shared" si="246"/>
        <v>0</v>
      </c>
      <c r="P157" s="39">
        <f t="shared" si="246"/>
        <v>0</v>
      </c>
    </row>
    <row r="158" spans="1:17" x14ac:dyDescent="0.2">
      <c r="A158" s="132"/>
      <c r="B158" s="132"/>
      <c r="C158" s="34" t="s">
        <v>49</v>
      </c>
      <c r="D158" s="39">
        <f t="shared" si="242"/>
        <v>0</v>
      </c>
      <c r="E158" s="39">
        <f t="shared" si="242"/>
        <v>0</v>
      </c>
      <c r="F158" s="39">
        <f t="shared" si="242"/>
        <v>0</v>
      </c>
      <c r="G158" s="39">
        <f t="shared" ref="G158:J158" si="247">SUM(G86)</f>
        <v>0</v>
      </c>
      <c r="H158" s="39">
        <f t="shared" ref="H158" si="248">SUM(H86)</f>
        <v>0</v>
      </c>
      <c r="I158" s="39">
        <f t="shared" si="247"/>
        <v>0</v>
      </c>
      <c r="J158" s="39">
        <f t="shared" si="247"/>
        <v>0</v>
      </c>
      <c r="K158" s="39">
        <f t="shared" si="245"/>
        <v>0</v>
      </c>
      <c r="L158" s="39">
        <f t="shared" si="245"/>
        <v>0</v>
      </c>
      <c r="M158" s="39">
        <f t="shared" si="245"/>
        <v>0</v>
      </c>
      <c r="N158" s="39">
        <f t="shared" si="246"/>
        <v>0</v>
      </c>
      <c r="O158" s="39">
        <f t="shared" si="246"/>
        <v>0</v>
      </c>
      <c r="P158" s="39">
        <f t="shared" si="246"/>
        <v>0</v>
      </c>
    </row>
    <row r="159" spans="1:17" x14ac:dyDescent="0.2">
      <c r="A159" s="132"/>
      <c r="B159" s="132"/>
      <c r="C159" s="42" t="s">
        <v>55</v>
      </c>
      <c r="D159" s="45">
        <f t="shared" si="242"/>
        <v>0</v>
      </c>
      <c r="E159" s="45">
        <f t="shared" si="242"/>
        <v>0</v>
      </c>
      <c r="F159" s="45">
        <f t="shared" si="242"/>
        <v>0</v>
      </c>
      <c r="G159" s="45">
        <f t="shared" ref="G159:J159" si="249">SUM(G87)</f>
        <v>0</v>
      </c>
      <c r="H159" s="45">
        <f t="shared" ref="H159" si="250">SUM(H87)</f>
        <v>0</v>
      </c>
      <c r="I159" s="45">
        <f t="shared" si="249"/>
        <v>0</v>
      </c>
      <c r="J159" s="45">
        <f t="shared" si="249"/>
        <v>0</v>
      </c>
      <c r="K159" s="45">
        <f t="shared" si="246"/>
        <v>0</v>
      </c>
      <c r="L159" s="45">
        <f t="shared" ref="L159" si="251">SUM(L87)</f>
        <v>0</v>
      </c>
      <c r="M159" s="45">
        <f t="shared" si="246"/>
        <v>0</v>
      </c>
      <c r="N159" s="45">
        <f t="shared" si="246"/>
        <v>0</v>
      </c>
      <c r="O159" s="45">
        <f t="shared" si="246"/>
        <v>0</v>
      </c>
      <c r="P159" s="45">
        <f t="shared" si="246"/>
        <v>0</v>
      </c>
    </row>
    <row r="160" spans="1:17" x14ac:dyDescent="0.2">
      <c r="A160" s="132"/>
      <c r="B160" s="132"/>
      <c r="C160" s="46" t="s">
        <v>63</v>
      </c>
      <c r="D160" s="47">
        <f>SUM(D127:D134,D137:D151,D154:D155,D157:D158,D136)</f>
        <v>103183379</v>
      </c>
      <c r="E160" s="47">
        <f>SUM(E127:E134,E137:E151,E154:E155,E157:E158,E136,E153)</f>
        <v>0</v>
      </c>
      <c r="F160" s="47">
        <f t="shared" ref="F160:N160" si="252">SUM(F127:F134,F137:F151,F154:F155,F157:F158,F136)</f>
        <v>4985400</v>
      </c>
      <c r="G160" s="47">
        <f t="shared" ref="G160:J160" si="253">SUM(G127:G134,G137:G151,G154:G155,G157:G158,G136)</f>
        <v>321728</v>
      </c>
      <c r="H160" s="47">
        <f t="shared" ref="H160" si="254">SUM(H127:H134,H137:H151,H154:H155,H157:H158,H136)</f>
        <v>-5307128</v>
      </c>
      <c r="I160" s="47">
        <f t="shared" si="253"/>
        <v>1542350</v>
      </c>
      <c r="J160" s="47">
        <f t="shared" si="253"/>
        <v>6600300</v>
      </c>
      <c r="K160" s="47">
        <f>SUM(K127:K134,K137:K151,K154:K155,K157:K158,K136)</f>
        <v>-4530000</v>
      </c>
      <c r="L160" s="47">
        <f>SUM(L127:L134,L137:L151,L154:L155,L157:L158,L136)</f>
        <v>-2070300</v>
      </c>
      <c r="M160" s="47">
        <f>SUM(M127:M134,M137:M151,M154:M155,M157:M158,M136)</f>
        <v>0</v>
      </c>
      <c r="N160" s="47">
        <f t="shared" si="252"/>
        <v>0</v>
      </c>
      <c r="O160" s="47">
        <f>SUM(O127:O134,O137:O151,O154:O155,O157:O158,O136,O153)</f>
        <v>104725729</v>
      </c>
      <c r="P160" s="47">
        <f>SUM(P127:P134,P137:P151,P154:P155,P157:P158,P136,P153)</f>
        <v>61253912</v>
      </c>
    </row>
    <row r="161" spans="1:16" x14ac:dyDescent="0.2">
      <c r="C161" s="38"/>
      <c r="D161" s="1"/>
      <c r="E161" s="1"/>
      <c r="F161" s="1"/>
      <c r="G161" s="1"/>
      <c r="H161" s="1"/>
      <c r="I161" s="1"/>
      <c r="J161" s="1"/>
      <c r="K161" s="7"/>
      <c r="L161" s="7"/>
      <c r="M161" s="7"/>
      <c r="N161" s="7"/>
      <c r="O161" s="1"/>
      <c r="P161" s="1"/>
    </row>
    <row r="162" spans="1:16" x14ac:dyDescent="0.2">
      <c r="C162" s="38"/>
      <c r="D162" s="1"/>
      <c r="E162" s="1"/>
      <c r="F162" s="1"/>
      <c r="G162" s="1"/>
      <c r="H162" s="1"/>
      <c r="I162" s="1"/>
      <c r="J162" s="1"/>
      <c r="K162" s="7"/>
      <c r="L162" s="7"/>
      <c r="M162" s="7"/>
      <c r="N162" s="7"/>
      <c r="O162" s="1"/>
      <c r="P162" s="1"/>
    </row>
    <row r="166" spans="1:16" x14ac:dyDescent="0.2">
      <c r="A166" s="96" t="s">
        <v>70</v>
      </c>
      <c r="B166" s="96"/>
      <c r="C166" s="96"/>
      <c r="D166" s="96"/>
      <c r="E166" s="96"/>
      <c r="F166" s="96"/>
    </row>
    <row r="167" spans="1:16" x14ac:dyDescent="0.2">
      <c r="A167" s="97"/>
      <c r="B167" s="97"/>
      <c r="C167" s="97"/>
      <c r="D167" s="98"/>
      <c r="E167" s="98"/>
      <c r="F167" s="99"/>
    </row>
    <row r="168" spans="1:16" x14ac:dyDescent="0.2">
      <c r="A168" s="96" t="s">
        <v>71</v>
      </c>
      <c r="B168" s="96"/>
      <c r="C168" s="96"/>
      <c r="D168" s="96"/>
      <c r="E168" s="100"/>
      <c r="F168" s="99">
        <f>F11</f>
        <v>0</v>
      </c>
    </row>
    <row r="169" spans="1:16" x14ac:dyDescent="0.2">
      <c r="A169" s="96" t="s">
        <v>72</v>
      </c>
      <c r="B169" s="96"/>
      <c r="C169" s="96"/>
      <c r="D169" s="96"/>
      <c r="E169" s="100"/>
      <c r="F169" s="99">
        <f>I8+F8+G8+J8+K8</f>
        <v>8919778</v>
      </c>
    </row>
    <row r="170" spans="1:16" x14ac:dyDescent="0.2">
      <c r="A170" s="96" t="s">
        <v>73</v>
      </c>
      <c r="B170" s="96"/>
      <c r="C170" s="96"/>
      <c r="D170" s="96"/>
      <c r="E170" s="100"/>
      <c r="F170" s="99">
        <f>H6+L6</f>
        <v>-7377428</v>
      </c>
    </row>
    <row r="171" spans="1:16" x14ac:dyDescent="0.2">
      <c r="A171" s="169" t="s">
        <v>74</v>
      </c>
      <c r="B171" s="169"/>
      <c r="C171" s="169"/>
      <c r="D171" s="169"/>
      <c r="E171" s="100"/>
      <c r="F171" s="99">
        <v>0</v>
      </c>
    </row>
    <row r="172" spans="1:16" x14ac:dyDescent="0.2">
      <c r="A172" s="169" t="s">
        <v>75</v>
      </c>
      <c r="B172" s="169"/>
      <c r="C172" s="169"/>
      <c r="D172" s="169"/>
      <c r="E172" s="100"/>
      <c r="F172" s="99">
        <v>0</v>
      </c>
    </row>
    <row r="173" spans="1:16" x14ac:dyDescent="0.2">
      <c r="A173" s="96" t="s">
        <v>76</v>
      </c>
      <c r="B173" s="96"/>
      <c r="C173" s="96"/>
      <c r="D173" s="96"/>
      <c r="E173" s="100"/>
      <c r="F173" s="99">
        <v>0</v>
      </c>
    </row>
    <row r="174" spans="1:16" x14ac:dyDescent="0.2">
      <c r="A174" s="100" t="s">
        <v>77</v>
      </c>
      <c r="B174" s="100"/>
      <c r="C174" s="100"/>
      <c r="D174" s="100"/>
      <c r="E174" s="100"/>
      <c r="F174" s="99">
        <v>0</v>
      </c>
    </row>
    <row r="175" spans="1:16" x14ac:dyDescent="0.2">
      <c r="A175" s="169" t="s">
        <v>78</v>
      </c>
      <c r="B175" s="169"/>
      <c r="C175" s="169"/>
      <c r="D175" s="169"/>
      <c r="E175" s="100"/>
      <c r="F175" s="99">
        <v>0</v>
      </c>
    </row>
    <row r="176" spans="1:16" x14ac:dyDescent="0.2">
      <c r="A176" s="101" t="s">
        <v>79</v>
      </c>
      <c r="B176" s="101"/>
      <c r="C176" s="101"/>
      <c r="D176" s="101"/>
      <c r="E176" s="101"/>
      <c r="F176" s="102">
        <v>0</v>
      </c>
    </row>
    <row r="177" spans="1:6" x14ac:dyDescent="0.2">
      <c r="A177" s="169" t="s">
        <v>80</v>
      </c>
      <c r="B177" s="169"/>
      <c r="C177" s="169"/>
      <c r="D177" s="169"/>
      <c r="E177" s="100"/>
      <c r="F177" s="99">
        <f>SUM(F168:F176)</f>
        <v>1542350</v>
      </c>
    </row>
    <row r="178" spans="1:6" x14ac:dyDescent="0.2">
      <c r="A178" s="170"/>
      <c r="B178" s="170"/>
      <c r="C178" s="170"/>
      <c r="D178" s="170"/>
      <c r="E178" s="170"/>
      <c r="F178" s="170"/>
    </row>
    <row r="179" spans="1:6" x14ac:dyDescent="0.2">
      <c r="A179" s="170"/>
      <c r="B179" s="170"/>
      <c r="C179" s="170"/>
      <c r="D179" s="170"/>
      <c r="E179" s="170"/>
      <c r="F179" s="170"/>
    </row>
    <row r="180" spans="1:6" x14ac:dyDescent="0.2">
      <c r="A180" s="170"/>
      <c r="B180" s="170"/>
      <c r="C180" s="170"/>
      <c r="D180" s="170"/>
      <c r="E180" s="170"/>
      <c r="F180" s="170"/>
    </row>
    <row r="181" spans="1:6" x14ac:dyDescent="0.2">
      <c r="A181" s="169" t="s">
        <v>81</v>
      </c>
      <c r="B181" s="169"/>
      <c r="C181" s="169"/>
      <c r="D181" s="169"/>
      <c r="E181" s="169"/>
      <c r="F181" s="169"/>
    </row>
    <row r="182" spans="1:6" x14ac:dyDescent="0.2">
      <c r="A182" s="170"/>
      <c r="B182" s="170"/>
      <c r="C182" s="170"/>
      <c r="D182" s="170"/>
      <c r="E182" s="170"/>
      <c r="F182" s="170"/>
    </row>
    <row r="183" spans="1:6" x14ac:dyDescent="0.2">
      <c r="A183" s="169" t="s">
        <v>82</v>
      </c>
      <c r="B183" s="169"/>
      <c r="C183" s="169"/>
      <c r="D183" s="169"/>
      <c r="E183" s="100"/>
      <c r="F183" s="99">
        <v>0</v>
      </c>
    </row>
    <row r="184" spans="1:6" x14ac:dyDescent="0.2">
      <c r="A184" s="100" t="s">
        <v>83</v>
      </c>
      <c r="B184" s="100"/>
      <c r="C184" s="100"/>
      <c r="D184" s="100"/>
      <c r="E184" s="100"/>
      <c r="F184" s="99">
        <v>0</v>
      </c>
    </row>
    <row r="185" spans="1:6" x14ac:dyDescent="0.2">
      <c r="A185" s="169" t="s">
        <v>84</v>
      </c>
      <c r="B185" s="169"/>
      <c r="C185" s="169"/>
      <c r="D185" s="169"/>
      <c r="E185" s="100"/>
      <c r="F185" s="99">
        <f>I41+G66+H66+J41+K41+L41</f>
        <v>1312638</v>
      </c>
    </row>
    <row r="186" spans="1:6" x14ac:dyDescent="0.2">
      <c r="A186" s="169" t="s">
        <v>85</v>
      </c>
      <c r="B186" s="169"/>
      <c r="C186" s="169"/>
      <c r="D186" s="169"/>
      <c r="E186" s="100"/>
      <c r="F186" s="99">
        <f>I42+G67+H67+J42+K42+L42</f>
        <v>229712</v>
      </c>
    </row>
    <row r="187" spans="1:6" x14ac:dyDescent="0.2">
      <c r="A187" s="169" t="s">
        <v>86</v>
      </c>
      <c r="B187" s="169"/>
      <c r="C187" s="169"/>
      <c r="D187" s="169"/>
      <c r="E187" s="100"/>
      <c r="F187" s="99">
        <f>F57+H57</f>
        <v>0</v>
      </c>
    </row>
    <row r="188" spans="1:6" x14ac:dyDescent="0.2">
      <c r="A188" s="100" t="s">
        <v>87</v>
      </c>
      <c r="B188" s="100"/>
      <c r="C188" s="100"/>
      <c r="D188" s="100"/>
      <c r="E188" s="100"/>
      <c r="F188" s="99">
        <v>0</v>
      </c>
    </row>
    <row r="189" spans="1:6" x14ac:dyDescent="0.2">
      <c r="A189" s="100" t="s">
        <v>88</v>
      </c>
      <c r="B189" s="100"/>
      <c r="C189" s="100"/>
      <c r="D189" s="100"/>
      <c r="E189" s="100"/>
      <c r="F189" s="99">
        <v>0</v>
      </c>
    </row>
    <row r="190" spans="1:6" x14ac:dyDescent="0.2">
      <c r="A190" s="103" t="s">
        <v>89</v>
      </c>
      <c r="B190" s="103"/>
      <c r="C190" s="103"/>
      <c r="D190" s="104"/>
      <c r="E190" s="104"/>
      <c r="F190" s="105">
        <v>0</v>
      </c>
    </row>
    <row r="191" spans="1:6" x14ac:dyDescent="0.2">
      <c r="A191" s="171" t="s">
        <v>80</v>
      </c>
      <c r="B191" s="171"/>
      <c r="C191" s="171"/>
      <c r="D191" s="171"/>
      <c r="E191" s="100"/>
      <c r="F191" s="99">
        <f>SUM(F183:F190)</f>
        <v>1542350</v>
      </c>
    </row>
    <row r="192" spans="1:6" x14ac:dyDescent="0.2">
      <c r="A192" s="100"/>
      <c r="B192" s="96"/>
      <c r="C192" s="106"/>
      <c r="D192" s="98"/>
      <c r="E192" s="98"/>
      <c r="F192" s="99"/>
    </row>
    <row r="193" spans="1:6" x14ac:dyDescent="0.2">
      <c r="A193" s="169" t="s">
        <v>90</v>
      </c>
      <c r="B193" s="169"/>
      <c r="C193" s="169"/>
      <c r="D193" s="169"/>
      <c r="E193" s="169"/>
      <c r="F193" s="169"/>
    </row>
    <row r="194" spans="1:6" x14ac:dyDescent="0.2">
      <c r="A194" s="97"/>
      <c r="B194" s="97"/>
      <c r="C194" s="97"/>
      <c r="D194" s="98"/>
      <c r="E194" s="98"/>
      <c r="F194" s="99"/>
    </row>
    <row r="195" spans="1:6" x14ac:dyDescent="0.2">
      <c r="A195" s="96" t="s">
        <v>91</v>
      </c>
      <c r="B195" s="96"/>
      <c r="C195" s="96"/>
      <c r="D195" s="96"/>
      <c r="E195" s="100"/>
      <c r="F195" s="99">
        <v>0</v>
      </c>
    </row>
    <row r="196" spans="1:6" x14ac:dyDescent="0.2">
      <c r="A196" s="169" t="s">
        <v>72</v>
      </c>
      <c r="B196" s="169"/>
      <c r="C196" s="169"/>
      <c r="D196" s="169"/>
      <c r="E196" s="100"/>
      <c r="F196" s="99">
        <f>N8</f>
        <v>2346363</v>
      </c>
    </row>
    <row r="197" spans="1:6" x14ac:dyDescent="0.2">
      <c r="A197" s="96" t="s">
        <v>73</v>
      </c>
      <c r="B197" s="100"/>
      <c r="C197" s="100"/>
      <c r="D197" s="100"/>
      <c r="E197" s="100"/>
      <c r="F197" s="99">
        <f>N6</f>
        <v>-2346363</v>
      </c>
    </row>
    <row r="198" spans="1:6" x14ac:dyDescent="0.2">
      <c r="A198" s="169" t="s">
        <v>92</v>
      </c>
      <c r="B198" s="169"/>
      <c r="C198" s="169"/>
      <c r="D198" s="169"/>
      <c r="E198" s="100"/>
      <c r="F198" s="99">
        <v>0</v>
      </c>
    </row>
    <row r="199" spans="1:6" x14ac:dyDescent="0.2">
      <c r="A199" s="169" t="s">
        <v>93</v>
      </c>
      <c r="B199" s="169"/>
      <c r="C199" s="169"/>
      <c r="D199" s="169"/>
      <c r="E199" s="100"/>
      <c r="F199" s="99">
        <v>0</v>
      </c>
    </row>
    <row r="200" spans="1:6" x14ac:dyDescent="0.2">
      <c r="A200" s="96" t="s">
        <v>94</v>
      </c>
      <c r="B200" s="96"/>
      <c r="C200" s="96"/>
      <c r="D200" s="96"/>
      <c r="E200" s="100"/>
      <c r="F200" s="99">
        <v>0</v>
      </c>
    </row>
    <row r="201" spans="1:6" x14ac:dyDescent="0.2">
      <c r="A201" s="100" t="s">
        <v>77</v>
      </c>
      <c r="B201" s="100"/>
      <c r="C201" s="100"/>
      <c r="D201" s="100"/>
      <c r="E201" s="100"/>
      <c r="F201" s="99">
        <v>0</v>
      </c>
    </row>
    <row r="202" spans="1:6" x14ac:dyDescent="0.2">
      <c r="A202" s="172" t="s">
        <v>78</v>
      </c>
      <c r="B202" s="172"/>
      <c r="C202" s="172"/>
      <c r="D202" s="172"/>
      <c r="E202" s="101"/>
      <c r="F202" s="102">
        <v>0</v>
      </c>
    </row>
    <row r="203" spans="1:6" x14ac:dyDescent="0.2">
      <c r="A203" s="171" t="s">
        <v>80</v>
      </c>
      <c r="B203" s="171"/>
      <c r="C203" s="171"/>
      <c r="D203" s="171"/>
      <c r="E203" s="100"/>
      <c r="F203" s="99">
        <f>SUM(F195:F202)</f>
        <v>0</v>
      </c>
    </row>
    <row r="204" spans="1:6" x14ac:dyDescent="0.2">
      <c r="A204" s="170"/>
      <c r="B204" s="170"/>
      <c r="C204" s="170"/>
      <c r="D204" s="170"/>
      <c r="E204" s="170"/>
      <c r="F204" s="170"/>
    </row>
    <row r="205" spans="1:6" x14ac:dyDescent="0.2">
      <c r="A205" s="170"/>
      <c r="B205" s="170"/>
      <c r="C205" s="170"/>
      <c r="D205" s="170"/>
      <c r="E205" s="170"/>
      <c r="F205" s="170"/>
    </row>
    <row r="206" spans="1:6" x14ac:dyDescent="0.2">
      <c r="A206" s="170"/>
      <c r="B206" s="170"/>
      <c r="C206" s="170"/>
      <c r="D206" s="170"/>
      <c r="E206" s="170"/>
      <c r="F206" s="170"/>
    </row>
    <row r="207" spans="1:6" x14ac:dyDescent="0.2">
      <c r="A207" s="169" t="s">
        <v>95</v>
      </c>
      <c r="B207" s="169"/>
      <c r="C207" s="169"/>
      <c r="D207" s="169"/>
      <c r="E207" s="169"/>
      <c r="F207" s="169"/>
    </row>
    <row r="208" spans="1:6" x14ac:dyDescent="0.2">
      <c r="A208" s="170"/>
      <c r="B208" s="170"/>
      <c r="C208" s="170"/>
      <c r="D208" s="170"/>
      <c r="E208" s="170"/>
      <c r="F208" s="170"/>
    </row>
    <row r="209" spans="1:6" x14ac:dyDescent="0.2">
      <c r="A209" s="169" t="s">
        <v>82</v>
      </c>
      <c r="B209" s="169"/>
      <c r="C209" s="169"/>
      <c r="D209" s="169"/>
      <c r="E209" s="100"/>
      <c r="F209" s="99">
        <v>0</v>
      </c>
    </row>
    <row r="210" spans="1:6" x14ac:dyDescent="0.2">
      <c r="A210" s="100" t="s">
        <v>83</v>
      </c>
      <c r="B210" s="100"/>
      <c r="C210" s="100"/>
      <c r="D210" s="100"/>
      <c r="E210" s="100"/>
      <c r="F210" s="99">
        <v>0</v>
      </c>
    </row>
    <row r="211" spans="1:6" x14ac:dyDescent="0.2">
      <c r="A211" s="169" t="s">
        <v>84</v>
      </c>
      <c r="B211" s="169"/>
      <c r="C211" s="169"/>
      <c r="D211" s="169"/>
      <c r="E211" s="100"/>
      <c r="F211" s="99">
        <f>SUM(J41,K41,L41,G66,H66)</f>
        <v>0</v>
      </c>
    </row>
    <row r="212" spans="1:6" x14ac:dyDescent="0.2">
      <c r="A212" s="169" t="s">
        <v>85</v>
      </c>
      <c r="B212" s="169"/>
      <c r="C212" s="169"/>
      <c r="D212" s="169"/>
      <c r="E212" s="100"/>
      <c r="F212" s="99">
        <f>SUM(J42,K42,L42,G67,H67)</f>
        <v>0</v>
      </c>
    </row>
    <row r="213" spans="1:6" x14ac:dyDescent="0.2">
      <c r="A213" s="169" t="s">
        <v>86</v>
      </c>
      <c r="B213" s="169"/>
      <c r="C213" s="169"/>
      <c r="D213" s="169"/>
      <c r="E213" s="100"/>
      <c r="F213" s="99">
        <f>E80+E57</f>
        <v>-203200</v>
      </c>
    </row>
    <row r="214" spans="1:6" x14ac:dyDescent="0.2">
      <c r="A214" s="100" t="s">
        <v>96</v>
      </c>
      <c r="B214" s="100"/>
      <c r="C214" s="100"/>
      <c r="D214" s="100"/>
      <c r="E214" s="100"/>
      <c r="F214" s="99">
        <f>E83+E81</f>
        <v>203200</v>
      </c>
    </row>
    <row r="215" spans="1:6" x14ac:dyDescent="0.2">
      <c r="A215" s="100" t="s">
        <v>97</v>
      </c>
      <c r="B215" s="100"/>
      <c r="C215" s="100"/>
      <c r="D215" s="100"/>
      <c r="E215" s="100"/>
      <c r="F215" s="99">
        <v>0</v>
      </c>
    </row>
    <row r="216" spans="1:6" x14ac:dyDescent="0.2">
      <c r="A216" s="103" t="s">
        <v>89</v>
      </c>
      <c r="B216" s="103"/>
      <c r="C216" s="103"/>
      <c r="D216" s="104"/>
      <c r="E216" s="104"/>
      <c r="F216" s="105">
        <v>0</v>
      </c>
    </row>
    <row r="217" spans="1:6" x14ac:dyDescent="0.2">
      <c r="A217" s="171" t="s">
        <v>80</v>
      </c>
      <c r="B217" s="171"/>
      <c r="C217" s="171"/>
      <c r="D217" s="171"/>
      <c r="E217" s="100"/>
      <c r="F217" s="99">
        <f>SUM(F209:F216)</f>
        <v>0</v>
      </c>
    </row>
    <row r="218" spans="1:6" x14ac:dyDescent="0.2">
      <c r="A218" s="107"/>
      <c r="B218" s="108"/>
      <c r="C218" s="109"/>
      <c r="D218" s="110"/>
      <c r="E218" s="110"/>
      <c r="F218" s="111"/>
    </row>
    <row r="219" spans="1:6" x14ac:dyDescent="0.2">
      <c r="A219" s="107"/>
      <c r="B219" s="108"/>
      <c r="C219" s="109"/>
      <c r="D219" s="110"/>
      <c r="E219" s="110"/>
      <c r="F219" s="111"/>
    </row>
    <row r="220" spans="1:6" x14ac:dyDescent="0.2">
      <c r="A220" s="173" t="s">
        <v>98</v>
      </c>
      <c r="B220" s="173"/>
      <c r="C220" s="173"/>
      <c r="D220" s="173"/>
      <c r="E220" s="173"/>
      <c r="F220" s="173"/>
    </row>
    <row r="221" spans="1:6" x14ac:dyDescent="0.2">
      <c r="A221" s="177"/>
      <c r="B221" s="177"/>
      <c r="C221" s="177"/>
      <c r="D221" s="177"/>
      <c r="E221" s="177"/>
      <c r="F221" s="177"/>
    </row>
    <row r="222" spans="1:6" x14ac:dyDescent="0.2">
      <c r="A222" s="112"/>
      <c r="B222" s="112"/>
      <c r="C222" s="112"/>
      <c r="D222" s="113"/>
      <c r="E222" s="113"/>
      <c r="F222" s="114"/>
    </row>
    <row r="223" spans="1:6" x14ac:dyDescent="0.2">
      <c r="A223" s="115" t="s">
        <v>99</v>
      </c>
      <c r="B223" s="116"/>
      <c r="C223" s="116"/>
      <c r="D223" s="116"/>
      <c r="E223" s="116"/>
      <c r="F223" s="114">
        <f>SUM(F168,F195)</f>
        <v>0</v>
      </c>
    </row>
    <row r="224" spans="1:6" x14ac:dyDescent="0.2">
      <c r="A224" s="115" t="s">
        <v>72</v>
      </c>
      <c r="B224" s="116"/>
      <c r="C224" s="116"/>
      <c r="D224" s="116"/>
      <c r="E224" s="115"/>
      <c r="F224" s="114">
        <f>SUM(F169,F196)</f>
        <v>11266141</v>
      </c>
    </row>
    <row r="225" spans="1:6" x14ac:dyDescent="0.2">
      <c r="A225" s="173" t="s">
        <v>100</v>
      </c>
      <c r="B225" s="173"/>
      <c r="C225" s="173"/>
      <c r="D225" s="173"/>
      <c r="E225" s="115"/>
      <c r="F225" s="114">
        <f>SUM(F170,F197)</f>
        <v>-9723791</v>
      </c>
    </row>
    <row r="226" spans="1:6" x14ac:dyDescent="0.2">
      <c r="A226" s="173" t="s">
        <v>101</v>
      </c>
      <c r="B226" s="173"/>
      <c r="C226" s="173"/>
      <c r="D226" s="173"/>
      <c r="E226" s="115"/>
      <c r="F226" s="114">
        <v>0</v>
      </c>
    </row>
    <row r="227" spans="1:6" x14ac:dyDescent="0.2">
      <c r="A227" s="173" t="s">
        <v>102</v>
      </c>
      <c r="B227" s="173"/>
      <c r="C227" s="173"/>
      <c r="D227" s="173"/>
      <c r="E227" s="115"/>
      <c r="F227" s="114">
        <f>F172+F199</f>
        <v>0</v>
      </c>
    </row>
    <row r="228" spans="1:6" x14ac:dyDescent="0.2">
      <c r="A228" s="116" t="s">
        <v>94</v>
      </c>
      <c r="B228" s="116"/>
      <c r="C228" s="116"/>
      <c r="D228" s="116"/>
      <c r="E228" s="115"/>
      <c r="F228" s="114">
        <f>SUM(F200,F173)</f>
        <v>0</v>
      </c>
    </row>
    <row r="229" spans="1:6" x14ac:dyDescent="0.2">
      <c r="A229" s="115" t="s">
        <v>77</v>
      </c>
      <c r="B229" s="115"/>
      <c r="C229" s="115"/>
      <c r="D229" s="115"/>
      <c r="E229" s="115"/>
      <c r="F229" s="114">
        <f>F201+F174</f>
        <v>0</v>
      </c>
    </row>
    <row r="230" spans="1:6" x14ac:dyDescent="0.2">
      <c r="A230" s="173" t="s">
        <v>78</v>
      </c>
      <c r="B230" s="173"/>
      <c r="C230" s="173"/>
      <c r="D230" s="173"/>
      <c r="E230" s="115"/>
      <c r="F230" s="114">
        <f>F202+F175</f>
        <v>0</v>
      </c>
    </row>
    <row r="231" spans="1:6" x14ac:dyDescent="0.2">
      <c r="A231" s="117" t="s">
        <v>79</v>
      </c>
      <c r="B231" s="117"/>
      <c r="C231" s="117"/>
      <c r="D231" s="117"/>
      <c r="E231" s="117"/>
      <c r="F231" s="118">
        <f>F176</f>
        <v>0</v>
      </c>
    </row>
    <row r="232" spans="1:6" x14ac:dyDescent="0.2">
      <c r="A232" s="173" t="s">
        <v>80</v>
      </c>
      <c r="B232" s="173"/>
      <c r="C232" s="173"/>
      <c r="D232" s="173"/>
      <c r="E232" s="115"/>
      <c r="F232" s="114">
        <f>SUM(F223:F231)</f>
        <v>1542350</v>
      </c>
    </row>
    <row r="233" spans="1:6" x14ac:dyDescent="0.2">
      <c r="A233" s="115"/>
      <c r="B233" s="115"/>
      <c r="C233" s="115"/>
      <c r="D233" s="115"/>
      <c r="E233" s="115"/>
      <c r="F233" s="114"/>
    </row>
    <row r="234" spans="1:6" x14ac:dyDescent="0.2">
      <c r="A234" s="115"/>
      <c r="B234" s="115"/>
      <c r="C234" s="115"/>
      <c r="D234" s="115"/>
      <c r="E234" s="115"/>
      <c r="F234" s="114"/>
    </row>
    <row r="235" spans="1:6" x14ac:dyDescent="0.2">
      <c r="A235" s="177"/>
      <c r="B235" s="177"/>
      <c r="C235" s="177"/>
      <c r="D235" s="177"/>
      <c r="E235" s="177"/>
      <c r="F235" s="177"/>
    </row>
    <row r="236" spans="1:6" x14ac:dyDescent="0.2">
      <c r="A236" s="173" t="s">
        <v>103</v>
      </c>
      <c r="B236" s="173"/>
      <c r="C236" s="173"/>
      <c r="D236" s="173"/>
      <c r="E236" s="173"/>
      <c r="F236" s="173"/>
    </row>
    <row r="237" spans="1:6" x14ac:dyDescent="0.2">
      <c r="A237" s="177"/>
      <c r="B237" s="177"/>
      <c r="C237" s="177"/>
      <c r="D237" s="177"/>
      <c r="E237" s="177"/>
      <c r="F237" s="177"/>
    </row>
    <row r="238" spans="1:6" x14ac:dyDescent="0.2">
      <c r="A238" s="173" t="s">
        <v>82</v>
      </c>
      <c r="B238" s="173"/>
      <c r="C238" s="173"/>
      <c r="D238" s="173"/>
      <c r="E238" s="115"/>
      <c r="F238" s="114">
        <v>0</v>
      </c>
    </row>
    <row r="239" spans="1:6" x14ac:dyDescent="0.2">
      <c r="A239" s="115" t="s">
        <v>83</v>
      </c>
      <c r="B239" s="115"/>
      <c r="C239" s="115"/>
      <c r="D239" s="115"/>
      <c r="E239" s="115"/>
      <c r="F239" s="114">
        <f>F210+F184</f>
        <v>0</v>
      </c>
    </row>
    <row r="240" spans="1:6" x14ac:dyDescent="0.2">
      <c r="A240" s="173" t="s">
        <v>84</v>
      </c>
      <c r="B240" s="173"/>
      <c r="C240" s="173"/>
      <c r="D240" s="173"/>
      <c r="E240" s="115"/>
      <c r="F240" s="114">
        <f>F211+F185</f>
        <v>1312638</v>
      </c>
    </row>
    <row r="241" spans="1:6" x14ac:dyDescent="0.2">
      <c r="A241" s="173" t="s">
        <v>85</v>
      </c>
      <c r="B241" s="173"/>
      <c r="C241" s="173"/>
      <c r="D241" s="173"/>
      <c r="E241" s="115"/>
      <c r="F241" s="114">
        <f>F212+F186</f>
        <v>229712</v>
      </c>
    </row>
    <row r="242" spans="1:6" x14ac:dyDescent="0.2">
      <c r="A242" s="173" t="s">
        <v>86</v>
      </c>
      <c r="B242" s="173"/>
      <c r="C242" s="173"/>
      <c r="D242" s="173"/>
      <c r="E242" s="115"/>
      <c r="F242" s="114">
        <f>F213+F187</f>
        <v>-203200</v>
      </c>
    </row>
    <row r="243" spans="1:6" x14ac:dyDescent="0.2">
      <c r="A243" s="115" t="s">
        <v>96</v>
      </c>
      <c r="B243" s="115"/>
      <c r="C243" s="115"/>
      <c r="D243" s="115"/>
      <c r="E243" s="115"/>
      <c r="F243" s="114">
        <f>SUM(F214,F188)</f>
        <v>203200</v>
      </c>
    </row>
    <row r="244" spans="1:6" x14ac:dyDescent="0.2">
      <c r="A244" s="115" t="s">
        <v>97</v>
      </c>
      <c r="B244" s="115"/>
      <c r="C244" s="115"/>
      <c r="D244" s="115"/>
      <c r="E244" s="115"/>
      <c r="F244" s="114">
        <f>SUM(F215)</f>
        <v>0</v>
      </c>
    </row>
    <row r="245" spans="1:6" x14ac:dyDescent="0.2">
      <c r="A245" s="119" t="s">
        <v>89</v>
      </c>
      <c r="B245" s="119"/>
      <c r="C245" s="119"/>
      <c r="D245" s="120"/>
      <c r="E245" s="120"/>
      <c r="F245" s="121">
        <f>F216+F190</f>
        <v>0</v>
      </c>
    </row>
    <row r="246" spans="1:6" x14ac:dyDescent="0.2">
      <c r="A246" s="176" t="s">
        <v>80</v>
      </c>
      <c r="B246" s="176"/>
      <c r="C246" s="176"/>
      <c r="D246" s="176"/>
      <c r="E246" s="115"/>
      <c r="F246" s="114">
        <f>SUM(F238:F245)</f>
        <v>1542350</v>
      </c>
    </row>
  </sheetData>
  <autoFilter ref="A5:Q5" xr:uid="{31FBC3C9-2F4B-4E3F-8ED5-9146864023F5}"/>
  <mergeCells count="81">
    <mergeCell ref="N4:N5"/>
    <mergeCell ref="J4:L4"/>
    <mergeCell ref="A246:D246"/>
    <mergeCell ref="A237:F237"/>
    <mergeCell ref="A238:D238"/>
    <mergeCell ref="A240:D240"/>
    <mergeCell ref="A241:D241"/>
    <mergeCell ref="A242:D242"/>
    <mergeCell ref="A227:D227"/>
    <mergeCell ref="A230:D230"/>
    <mergeCell ref="A232:D232"/>
    <mergeCell ref="A235:F235"/>
    <mergeCell ref="A236:F236"/>
    <mergeCell ref="A217:D217"/>
    <mergeCell ref="A220:F220"/>
    <mergeCell ref="A221:F221"/>
    <mergeCell ref="A225:D225"/>
    <mergeCell ref="A226:D226"/>
    <mergeCell ref="A208:F208"/>
    <mergeCell ref="A209:D209"/>
    <mergeCell ref="A211:D211"/>
    <mergeCell ref="A212:D212"/>
    <mergeCell ref="A213:D213"/>
    <mergeCell ref="A199:D199"/>
    <mergeCell ref="A202:D202"/>
    <mergeCell ref="A203:D203"/>
    <mergeCell ref="A204:F206"/>
    <mergeCell ref="A207:F207"/>
    <mergeCell ref="A187:D187"/>
    <mergeCell ref="A191:D191"/>
    <mergeCell ref="A193:F193"/>
    <mergeCell ref="A196:D196"/>
    <mergeCell ref="A198:D198"/>
    <mergeCell ref="A181:F181"/>
    <mergeCell ref="A182:F182"/>
    <mergeCell ref="A183:D183"/>
    <mergeCell ref="A185:D185"/>
    <mergeCell ref="A186:D186"/>
    <mergeCell ref="A171:D171"/>
    <mergeCell ref="A172:D172"/>
    <mergeCell ref="A175:D175"/>
    <mergeCell ref="A177:D177"/>
    <mergeCell ref="A178:F180"/>
    <mergeCell ref="A6:A9"/>
    <mergeCell ref="B6:B9"/>
    <mergeCell ref="A10:A16"/>
    <mergeCell ref="A1:Q1"/>
    <mergeCell ref="A3:A5"/>
    <mergeCell ref="B3:B5"/>
    <mergeCell ref="C3:C5"/>
    <mergeCell ref="D3:D5"/>
    <mergeCell ref="E3:N3"/>
    <mergeCell ref="O3:O5"/>
    <mergeCell ref="P3:P5"/>
    <mergeCell ref="Q3:Q5"/>
    <mergeCell ref="B10:B16"/>
    <mergeCell ref="E4:E5"/>
    <mergeCell ref="F4:H4"/>
    <mergeCell ref="I4:I5"/>
    <mergeCell ref="A17:A22"/>
    <mergeCell ref="B17:B22"/>
    <mergeCell ref="A23:A27"/>
    <mergeCell ref="B23:B27"/>
    <mergeCell ref="A28:C28"/>
    <mergeCell ref="A29:A32"/>
    <mergeCell ref="B29:B32"/>
    <mergeCell ref="A88:A100"/>
    <mergeCell ref="B88:B100"/>
    <mergeCell ref="A61:A87"/>
    <mergeCell ref="B61:B87"/>
    <mergeCell ref="A33:A60"/>
    <mergeCell ref="B33:B60"/>
    <mergeCell ref="A101:A102"/>
    <mergeCell ref="A112:B160"/>
    <mergeCell ref="A103:A104"/>
    <mergeCell ref="B103:B104"/>
    <mergeCell ref="A105:A106"/>
    <mergeCell ref="B105:B106"/>
    <mergeCell ref="A107:C107"/>
    <mergeCell ref="A111:P111"/>
    <mergeCell ref="B101:B102"/>
  </mergeCells>
  <pageMargins left="0.43307086614173229" right="0.23622047244094491" top="0.35433070866141736" bottom="0.35433070866141736" header="0.31496062992125984" footer="0.31496062992125984"/>
  <pageSetup paperSize="9" scale="44" orientation="portrait" r:id="rId1"/>
  <rowBreaks count="2" manualBreakCount="2">
    <brk id="108" max="16383" man="1"/>
    <brk id="1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2020.</vt:lpstr>
      <vt:lpstr>'2020.'!Nyomtatási_terület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Felhasználó</cp:lastModifiedBy>
  <cp:lastPrinted>2020-09-16T08:13:12Z</cp:lastPrinted>
  <dcterms:created xsi:type="dcterms:W3CDTF">2018-05-02T09:09:56Z</dcterms:created>
  <dcterms:modified xsi:type="dcterms:W3CDTF">2020-09-16T08:14:37Z</dcterms:modified>
  <cp:category/>
</cp:coreProperties>
</file>