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filterPrivacy="1"/>
  <xr:revisionPtr revIDLastSave="0" documentId="13_ncr:1_{B77E11EE-BF70-4D40-8DD9-2CD5B9D65FAE}" xr6:coauthVersionLast="45" xr6:coauthVersionMax="45" xr10:uidLastSave="{00000000-0000-0000-0000-000000000000}"/>
  <bookViews>
    <workbookView xWindow="-120" yWindow="-120" windowWidth="21840" windowHeight="13140" tabRatio="681" firstSheet="13" activeTab="13" xr2:uid="{00000000-000D-0000-FFFF-FFFF00000000}"/>
  </bookViews>
  <sheets>
    <sheet name="2019.03.31." sheetId="1" state="hidden" r:id="rId1"/>
    <sheet name="2019.04.30." sheetId="2" state="hidden" r:id="rId2"/>
    <sheet name="2019.05.31." sheetId="3" state="hidden" r:id="rId3"/>
    <sheet name="Előterjesztés-06.20." sheetId="4" state="hidden" r:id="rId4"/>
    <sheet name="2019.06.30." sheetId="5" state="hidden" r:id="rId5"/>
    <sheet name="2019.07.31." sheetId="6" state="hidden" r:id="rId6"/>
    <sheet name="2019.08.31." sheetId="7" state="hidden" r:id="rId7"/>
    <sheet name="Előterjesztés 09.26." sheetId="8" state="hidden" r:id="rId8"/>
    <sheet name="2019.09.30." sheetId="9" state="hidden" r:id="rId9"/>
    <sheet name="2019.10.31." sheetId="10" state="hidden" r:id="rId10"/>
    <sheet name="Előterjesztés 12.12." sheetId="11" state="hidden" r:id="rId11"/>
    <sheet name="2019.11.30." sheetId="12" state="hidden" r:id="rId12"/>
    <sheet name="2019.12.31." sheetId="13" state="hidden" r:id="rId13"/>
    <sheet name="2020" sheetId="14" r:id="rId14"/>
  </sheets>
  <definedNames>
    <definedName name="_xlnm._FilterDatabase" localSheetId="0" hidden="1">'2019.03.31.'!$A$4:$X$214</definedName>
    <definedName name="_xlnm._FilterDatabase" localSheetId="1" hidden="1">'2019.04.30.'!$A$4:$L$214</definedName>
    <definedName name="_xlnm._FilterDatabase" localSheetId="2" hidden="1">'2019.05.31.'!$A$4:$L$4</definedName>
    <definedName name="_xlnm._FilterDatabase" localSheetId="4" hidden="1">'2019.06.30.'!$A$4:$L$218</definedName>
    <definedName name="_xlnm._FilterDatabase" localSheetId="5" hidden="1">'2019.07.31.'!$A$4:$L$218</definedName>
    <definedName name="_xlnm._FilterDatabase" localSheetId="6" hidden="1">'2019.08.31.'!$A$4:$L$4</definedName>
    <definedName name="_xlnm._FilterDatabase" localSheetId="8" hidden="1">'2019.09.30.'!$A$4:$L$4</definedName>
    <definedName name="_xlnm._FilterDatabase" localSheetId="9" hidden="1">'2019.10.31.'!$A$4:$L$4</definedName>
    <definedName name="_xlnm._FilterDatabase" localSheetId="11" hidden="1">'2019.11.30.'!$A$4:$L$4</definedName>
    <definedName name="_xlnm._FilterDatabase" localSheetId="12" hidden="1">'2019.12.31.'!$A$4:$N$220</definedName>
    <definedName name="_xlnm._FilterDatabase" localSheetId="13" hidden="1">'2020'!$A$5:$L$222</definedName>
    <definedName name="_xlnm._FilterDatabase" localSheetId="7" hidden="1">'Előterjesztés 09.26.'!$A$4:$L$218</definedName>
    <definedName name="_xlnm._FilterDatabase" localSheetId="10" hidden="1">'Előterjesztés 12.12.'!$A$4:$N$219</definedName>
    <definedName name="_xlnm._FilterDatabase" localSheetId="3" hidden="1">'Előterjesztés-06.20.'!$A$4:$K$217</definedName>
    <definedName name="_xlnm.Print_Titles" localSheetId="1">'2019.04.30.'!$3:$4</definedName>
    <definedName name="_xlnm.Print_Titles" localSheetId="2">'2019.05.31.'!$3:$4</definedName>
    <definedName name="_xlnm.Print_Titles" localSheetId="11">'2019.11.30.'!$3:$4</definedName>
    <definedName name="_xlnm.Print_Titles" localSheetId="12">'2019.12.31.'!$3:$4</definedName>
    <definedName name="_xlnm.Print_Titles" localSheetId="13">'2020'!$3:$5</definedName>
    <definedName name="_xlnm.Print_Titles" localSheetId="10">'Előterjesztés 12.12.'!$3:$4</definedName>
    <definedName name="_xlnm.Print_Titles" localSheetId="3">'Előterjesztés-06.20.'!$3:$4</definedName>
    <definedName name="_xlnm.Print_Area" localSheetId="6">'2019.08.31.'!$A$1:$L$267</definedName>
    <definedName name="_xlnm.Print_Area" localSheetId="7">'Előterjesztés 09.26.'!$A$1:$L$350</definedName>
    <definedName name="_xlnm.Print_Area" localSheetId="10">'Előterjesztés 12.12.'!$A$1:$M$352</definedName>
    <definedName name="_xlnm.Print_Area" localSheetId="3">'Előterjesztés-06.20.'!$A$1:$J$267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3" i="14" l="1"/>
  <c r="F321" i="14"/>
  <c r="E241" i="14" l="1"/>
  <c r="E27" i="14"/>
  <c r="F280" i="14" l="1"/>
  <c r="F278" i="14" l="1"/>
  <c r="E213" i="14"/>
  <c r="E71" i="14"/>
  <c r="K265" i="14" l="1"/>
  <c r="D177" i="14"/>
  <c r="E177" i="14"/>
  <c r="F177" i="14"/>
  <c r="G177" i="14"/>
  <c r="H177" i="14"/>
  <c r="I177" i="14"/>
  <c r="K177" i="14"/>
  <c r="J176" i="14"/>
  <c r="L176" i="14" s="1"/>
  <c r="E236" i="14" l="1"/>
  <c r="F296" i="14" l="1"/>
  <c r="F295" i="14"/>
  <c r="F336" i="14"/>
  <c r="F279" i="14"/>
  <c r="F335" i="14" s="1"/>
  <c r="F334" i="14"/>
  <c r="F356" i="14"/>
  <c r="F355" i="14"/>
  <c r="F354" i="14"/>
  <c r="F350" i="14"/>
  <c r="F342" i="14"/>
  <c r="F340" i="14"/>
  <c r="F339" i="14"/>
  <c r="F338" i="14"/>
  <c r="F337" i="14"/>
  <c r="F312" i="14"/>
  <c r="F341" i="14" s="1"/>
  <c r="F287" i="14" l="1"/>
  <c r="F333" i="14"/>
  <c r="F343" i="14" s="1"/>
  <c r="F313" i="14"/>
  <c r="D7" i="14" l="1"/>
  <c r="D99" i="14" l="1"/>
  <c r="D166" i="14"/>
  <c r="D146" i="14"/>
  <c r="D123" i="14"/>
  <c r="D209" i="14"/>
  <c r="D64" i="14"/>
  <c r="D35" i="14"/>
  <c r="D163" i="14"/>
  <c r="D120" i="14"/>
  <c r="D61" i="14"/>
  <c r="D159" i="14"/>
  <c r="D138" i="14"/>
  <c r="D116" i="14"/>
  <c r="D202" i="14"/>
  <c r="D54" i="14"/>
  <c r="D46" i="14" l="1"/>
  <c r="D44" i="14"/>
  <c r="J209" i="14" l="1"/>
  <c r="J186" i="14"/>
  <c r="J166" i="14"/>
  <c r="J146" i="14"/>
  <c r="J123" i="14"/>
  <c r="J99" i="14"/>
  <c r="J64" i="14"/>
  <c r="J220" i="14"/>
  <c r="J219" i="14"/>
  <c r="J217" i="14"/>
  <c r="J216" i="14"/>
  <c r="J215" i="14"/>
  <c r="J214" i="14"/>
  <c r="J213" i="14"/>
  <c r="J212" i="14"/>
  <c r="J211" i="14"/>
  <c r="J210" i="14"/>
  <c r="J207" i="14"/>
  <c r="J206" i="14"/>
  <c r="J205" i="14"/>
  <c r="J204" i="14"/>
  <c r="J203" i="14"/>
  <c r="J202" i="14"/>
  <c r="J200" i="14"/>
  <c r="J198" i="14"/>
  <c r="J197" i="14"/>
  <c r="J196" i="14"/>
  <c r="J194" i="14"/>
  <c r="J193" i="14"/>
  <c r="J192" i="14"/>
  <c r="J191" i="14"/>
  <c r="J190" i="14"/>
  <c r="J189" i="14"/>
  <c r="J188" i="14"/>
  <c r="J187" i="14"/>
  <c r="J184" i="14"/>
  <c r="J183" i="14"/>
  <c r="J181" i="14"/>
  <c r="J180" i="14"/>
  <c r="J179" i="14"/>
  <c r="J178" i="14"/>
  <c r="J175" i="14"/>
  <c r="J174" i="14"/>
  <c r="J173" i="14"/>
  <c r="J172" i="14"/>
  <c r="J171" i="14"/>
  <c r="J170" i="14"/>
  <c r="J169" i="14"/>
  <c r="J168" i="14"/>
  <c r="J167" i="14"/>
  <c r="J164" i="14"/>
  <c r="J163" i="14"/>
  <c r="J162" i="14"/>
  <c r="J161" i="14"/>
  <c r="J160" i="14"/>
  <c r="J159" i="14"/>
  <c r="J157" i="14"/>
  <c r="J156" i="14"/>
  <c r="J154" i="14"/>
  <c r="J153" i="14"/>
  <c r="J152" i="14"/>
  <c r="J151" i="14"/>
  <c r="J150" i="14"/>
  <c r="J149" i="14"/>
  <c r="J148" i="14"/>
  <c r="J147" i="14"/>
  <c r="J144" i="14"/>
  <c r="J143" i="14"/>
  <c r="J142" i="14"/>
  <c r="J141" i="14"/>
  <c r="J140" i="14"/>
  <c r="J139" i="14"/>
  <c r="J138" i="14"/>
  <c r="J136" i="14"/>
  <c r="J135" i="14"/>
  <c r="J134" i="14"/>
  <c r="J133" i="14"/>
  <c r="J131" i="14"/>
  <c r="J130" i="14"/>
  <c r="J129" i="14"/>
  <c r="J128" i="14"/>
  <c r="J127" i="14"/>
  <c r="J126" i="14"/>
  <c r="J125" i="14"/>
  <c r="J124" i="14"/>
  <c r="J121" i="14"/>
  <c r="J120" i="14"/>
  <c r="J119" i="14"/>
  <c r="J118" i="14"/>
  <c r="J117" i="14"/>
  <c r="J116" i="14"/>
  <c r="J114" i="14"/>
  <c r="J113" i="14"/>
  <c r="J112" i="14"/>
  <c r="J111" i="14"/>
  <c r="J109" i="14"/>
  <c r="J108" i="14"/>
  <c r="J107" i="14"/>
  <c r="J106" i="14"/>
  <c r="J105" i="14"/>
  <c r="J104" i="14"/>
  <c r="J103" i="14"/>
  <c r="J102" i="14"/>
  <c r="J101" i="14"/>
  <c r="J100" i="14"/>
  <c r="J97" i="14"/>
  <c r="J96" i="14"/>
  <c r="J95" i="14"/>
  <c r="J94" i="14"/>
  <c r="J93" i="14"/>
  <c r="J92" i="14"/>
  <c r="J91" i="14"/>
  <c r="J89" i="14"/>
  <c r="J88" i="14"/>
  <c r="J87" i="14"/>
  <c r="J86" i="14"/>
  <c r="J85" i="14"/>
  <c r="J84" i="14"/>
  <c r="J83" i="14"/>
  <c r="J82" i="14"/>
  <c r="J80" i="14"/>
  <c r="J79" i="14"/>
  <c r="J77" i="14"/>
  <c r="J76" i="14"/>
  <c r="J75" i="14"/>
  <c r="J74" i="14"/>
  <c r="J73" i="14"/>
  <c r="J72" i="14"/>
  <c r="J71" i="14"/>
  <c r="J70" i="14"/>
  <c r="J69" i="14"/>
  <c r="J68" i="14"/>
  <c r="J67" i="14"/>
  <c r="J66" i="14"/>
  <c r="J65" i="14"/>
  <c r="J62" i="14"/>
  <c r="J61" i="14"/>
  <c r="J60" i="14"/>
  <c r="J59" i="14"/>
  <c r="J58" i="14"/>
  <c r="J57" i="14"/>
  <c r="J56" i="14"/>
  <c r="J55" i="14"/>
  <c r="J54" i="14"/>
  <c r="J52" i="14"/>
  <c r="J51" i="14"/>
  <c r="J49" i="14"/>
  <c r="J48" i="14"/>
  <c r="J47" i="14"/>
  <c r="J46" i="14"/>
  <c r="J45" i="14"/>
  <c r="J44" i="14"/>
  <c r="J43" i="14"/>
  <c r="J42" i="14"/>
  <c r="J41" i="14"/>
  <c r="J40" i="14"/>
  <c r="J39" i="14"/>
  <c r="J38" i="14"/>
  <c r="J37" i="14"/>
  <c r="J36" i="14"/>
  <c r="J35" i="14"/>
  <c r="J33" i="14"/>
  <c r="J32" i="14"/>
  <c r="J31" i="14"/>
  <c r="J30" i="14"/>
  <c r="J29" i="14"/>
  <c r="J28" i="14"/>
  <c r="J27" i="14"/>
  <c r="J7" i="14"/>
  <c r="J8" i="14"/>
  <c r="J9" i="14"/>
  <c r="J10" i="14"/>
  <c r="J11" i="14"/>
  <c r="J12" i="14"/>
  <c r="J13" i="14"/>
  <c r="J14" i="14"/>
  <c r="J15" i="14"/>
  <c r="J16" i="14"/>
  <c r="J17" i="14"/>
  <c r="J18" i="14"/>
  <c r="J19" i="14"/>
  <c r="J20" i="14"/>
  <c r="J21" i="14"/>
  <c r="J22" i="14"/>
  <c r="J23" i="14"/>
  <c r="J24" i="14"/>
  <c r="J25" i="14"/>
  <c r="J6" i="14"/>
  <c r="J177" i="14" l="1"/>
  <c r="J185" i="14"/>
  <c r="L10" i="14"/>
  <c r="L13" i="14"/>
  <c r="L14" i="14"/>
  <c r="L17" i="14"/>
  <c r="L18" i="14"/>
  <c r="L22" i="14"/>
  <c r="L25" i="14"/>
  <c r="K269" i="14"/>
  <c r="I269" i="14"/>
  <c r="H269" i="14"/>
  <c r="G269" i="14"/>
  <c r="F269" i="14"/>
  <c r="E269" i="14"/>
  <c r="D269" i="14"/>
  <c r="K268" i="14"/>
  <c r="I268" i="14"/>
  <c r="H268" i="14"/>
  <c r="G268" i="14"/>
  <c r="F268" i="14"/>
  <c r="E268" i="14"/>
  <c r="D268" i="14"/>
  <c r="K267" i="14"/>
  <c r="I267" i="14"/>
  <c r="H267" i="14"/>
  <c r="G267" i="14"/>
  <c r="F267" i="14"/>
  <c r="E267" i="14"/>
  <c r="D267" i="14"/>
  <c r="I265" i="14"/>
  <c r="H265" i="14"/>
  <c r="G265" i="14"/>
  <c r="F265" i="14"/>
  <c r="D265" i="14"/>
  <c r="K264" i="14"/>
  <c r="I264" i="14"/>
  <c r="H264" i="14"/>
  <c r="G264" i="14"/>
  <c r="F264" i="14"/>
  <c r="E264" i="14"/>
  <c r="D264" i="14"/>
  <c r="K263" i="14"/>
  <c r="I263" i="14"/>
  <c r="H263" i="14"/>
  <c r="G263" i="14"/>
  <c r="F263" i="14"/>
  <c r="E263" i="14"/>
  <c r="D263" i="14"/>
  <c r="K262" i="14"/>
  <c r="I262" i="14"/>
  <c r="H262" i="14"/>
  <c r="G262" i="14"/>
  <c r="F262" i="14"/>
  <c r="E262" i="14"/>
  <c r="D262" i="14"/>
  <c r="K261" i="14"/>
  <c r="I261" i="14"/>
  <c r="H261" i="14"/>
  <c r="G261" i="14"/>
  <c r="F261" i="14"/>
  <c r="D261" i="14"/>
  <c r="K260" i="14"/>
  <c r="I260" i="14"/>
  <c r="H260" i="14"/>
  <c r="G260" i="14"/>
  <c r="F260" i="14"/>
  <c r="D260" i="14"/>
  <c r="K259" i="14"/>
  <c r="I259" i="14"/>
  <c r="H259" i="14"/>
  <c r="G259" i="14"/>
  <c r="F259" i="14"/>
  <c r="E259" i="14"/>
  <c r="D259" i="14"/>
  <c r="K258" i="14"/>
  <c r="I258" i="14"/>
  <c r="H258" i="14"/>
  <c r="G258" i="14"/>
  <c r="F258" i="14"/>
  <c r="E258" i="14"/>
  <c r="D258" i="14"/>
  <c r="K257" i="14"/>
  <c r="I257" i="14"/>
  <c r="H257" i="14"/>
  <c r="G257" i="14"/>
  <c r="F257" i="14"/>
  <c r="E257" i="14"/>
  <c r="D257" i="14"/>
  <c r="K256" i="14"/>
  <c r="I256" i="14"/>
  <c r="H256" i="14"/>
  <c r="G256" i="14"/>
  <c r="F256" i="14"/>
  <c r="E256" i="14"/>
  <c r="D256" i="14"/>
  <c r="K255" i="14"/>
  <c r="I255" i="14"/>
  <c r="H255" i="14"/>
  <c r="G255" i="14"/>
  <c r="F255" i="14"/>
  <c r="E255" i="14"/>
  <c r="D255" i="14"/>
  <c r="K254" i="14"/>
  <c r="I254" i="14"/>
  <c r="H254" i="14"/>
  <c r="G254" i="14"/>
  <c r="F254" i="14"/>
  <c r="E254" i="14"/>
  <c r="D254" i="14"/>
  <c r="K253" i="14"/>
  <c r="I253" i="14"/>
  <c r="H253" i="14"/>
  <c r="G253" i="14"/>
  <c r="F253" i="14"/>
  <c r="E253" i="14"/>
  <c r="D253" i="14"/>
  <c r="K252" i="14"/>
  <c r="I252" i="14"/>
  <c r="H252" i="14"/>
  <c r="G252" i="14"/>
  <c r="F252" i="14"/>
  <c r="E252" i="14"/>
  <c r="D252" i="14"/>
  <c r="K251" i="14"/>
  <c r="I251" i="14"/>
  <c r="H251" i="14"/>
  <c r="G251" i="14"/>
  <c r="F251" i="14"/>
  <c r="E251" i="14"/>
  <c r="D251" i="14"/>
  <c r="K249" i="14"/>
  <c r="I249" i="14"/>
  <c r="H249" i="14"/>
  <c r="G249" i="14"/>
  <c r="F249" i="14"/>
  <c r="E249" i="14"/>
  <c r="D249" i="14"/>
  <c r="K248" i="14"/>
  <c r="I248" i="14"/>
  <c r="H248" i="14"/>
  <c r="G248" i="14"/>
  <c r="F248" i="14"/>
  <c r="D248" i="14"/>
  <c r="K247" i="14"/>
  <c r="I247" i="14"/>
  <c r="H247" i="14"/>
  <c r="G247" i="14"/>
  <c r="F247" i="14"/>
  <c r="E247" i="14"/>
  <c r="D247" i="14"/>
  <c r="K246" i="14"/>
  <c r="I246" i="14"/>
  <c r="H246" i="14"/>
  <c r="G246" i="14"/>
  <c r="F246" i="14"/>
  <c r="D246" i="14"/>
  <c r="K245" i="14"/>
  <c r="I245" i="14"/>
  <c r="H245" i="14"/>
  <c r="G245" i="14"/>
  <c r="F245" i="14"/>
  <c r="E245" i="14"/>
  <c r="D245" i="14"/>
  <c r="K244" i="14"/>
  <c r="I244" i="14"/>
  <c r="H244" i="14"/>
  <c r="G244" i="14"/>
  <c r="F244" i="14"/>
  <c r="D244" i="14"/>
  <c r="K243" i="14"/>
  <c r="I243" i="14"/>
  <c r="H243" i="14"/>
  <c r="G243" i="14"/>
  <c r="F243" i="14"/>
  <c r="E243" i="14"/>
  <c r="D243" i="14"/>
  <c r="K242" i="14"/>
  <c r="I242" i="14"/>
  <c r="H242" i="14"/>
  <c r="G242" i="14"/>
  <c r="F242" i="14"/>
  <c r="E242" i="14"/>
  <c r="D242" i="14"/>
  <c r="K241" i="14"/>
  <c r="I241" i="14"/>
  <c r="H241" i="14"/>
  <c r="G241" i="14"/>
  <c r="F241" i="14"/>
  <c r="D241" i="14"/>
  <c r="K239" i="14"/>
  <c r="I239" i="14"/>
  <c r="H239" i="14"/>
  <c r="G239" i="14"/>
  <c r="F239" i="14"/>
  <c r="E239" i="14"/>
  <c r="D239" i="14"/>
  <c r="K238" i="14"/>
  <c r="I238" i="14"/>
  <c r="H238" i="14"/>
  <c r="G238" i="14"/>
  <c r="F238" i="14"/>
  <c r="E238" i="14"/>
  <c r="D238" i="14"/>
  <c r="K237" i="14"/>
  <c r="I237" i="14"/>
  <c r="H237" i="14"/>
  <c r="G237" i="14"/>
  <c r="F237" i="14"/>
  <c r="E237" i="14"/>
  <c r="D237" i="14"/>
  <c r="K236" i="14"/>
  <c r="I236" i="14"/>
  <c r="H236" i="14"/>
  <c r="G236" i="14"/>
  <c r="F236" i="14"/>
  <c r="D236" i="14"/>
  <c r="K235" i="14"/>
  <c r="I235" i="14"/>
  <c r="H235" i="14"/>
  <c r="G235" i="14"/>
  <c r="F235" i="14"/>
  <c r="E235" i="14"/>
  <c r="D235" i="14"/>
  <c r="K234" i="14"/>
  <c r="I234" i="14"/>
  <c r="H234" i="14"/>
  <c r="G234" i="14"/>
  <c r="F234" i="14"/>
  <c r="E234" i="14"/>
  <c r="D234" i="14"/>
  <c r="K233" i="14"/>
  <c r="I233" i="14"/>
  <c r="H233" i="14"/>
  <c r="G233" i="14"/>
  <c r="F233" i="14"/>
  <c r="E233" i="14"/>
  <c r="D233" i="14"/>
  <c r="K232" i="14"/>
  <c r="I232" i="14"/>
  <c r="H232" i="14"/>
  <c r="G232" i="14"/>
  <c r="F232" i="14"/>
  <c r="E232" i="14"/>
  <c r="D232" i="14"/>
  <c r="K231" i="14"/>
  <c r="I231" i="14"/>
  <c r="H231" i="14"/>
  <c r="G231" i="14"/>
  <c r="F231" i="14"/>
  <c r="E231" i="14"/>
  <c r="D231" i="14"/>
  <c r="L220" i="14"/>
  <c r="K218" i="14"/>
  <c r="I218" i="14"/>
  <c r="H218" i="14"/>
  <c r="G218" i="14"/>
  <c r="F218" i="14"/>
  <c r="D218" i="14"/>
  <c r="E265" i="14"/>
  <c r="L216" i="14"/>
  <c r="L215" i="14"/>
  <c r="L214" i="14"/>
  <c r="L213" i="14"/>
  <c r="L212" i="14"/>
  <c r="L211" i="14"/>
  <c r="L210" i="14"/>
  <c r="L209" i="14"/>
  <c r="K208" i="14"/>
  <c r="I208" i="14"/>
  <c r="H208" i="14"/>
  <c r="G208" i="14"/>
  <c r="F208" i="14"/>
  <c r="D208" i="14"/>
  <c r="L205" i="14"/>
  <c r="E208" i="14"/>
  <c r="L202" i="14"/>
  <c r="J267" i="14"/>
  <c r="K199" i="14"/>
  <c r="I199" i="14"/>
  <c r="H199" i="14"/>
  <c r="G199" i="14"/>
  <c r="F199" i="14"/>
  <c r="E199" i="14"/>
  <c r="D199" i="14"/>
  <c r="J199" i="14"/>
  <c r="K195" i="14"/>
  <c r="I195" i="14"/>
  <c r="H195" i="14"/>
  <c r="G195" i="14"/>
  <c r="F195" i="14"/>
  <c r="E195" i="14"/>
  <c r="D195" i="14"/>
  <c r="L194" i="14"/>
  <c r="L193" i="14"/>
  <c r="L192" i="14"/>
  <c r="L191" i="14"/>
  <c r="L190" i="14"/>
  <c r="L188" i="14"/>
  <c r="L187" i="14"/>
  <c r="L186" i="14"/>
  <c r="K185" i="14"/>
  <c r="I185" i="14"/>
  <c r="H185" i="14"/>
  <c r="G185" i="14"/>
  <c r="F185" i="14"/>
  <c r="E185" i="14"/>
  <c r="D185" i="14"/>
  <c r="L184" i="14"/>
  <c r="L183" i="14"/>
  <c r="L181" i="14"/>
  <c r="L180" i="14"/>
  <c r="L179" i="14"/>
  <c r="L178" i="14"/>
  <c r="L175" i="14"/>
  <c r="L174" i="14"/>
  <c r="L173" i="14"/>
  <c r="L172" i="14"/>
  <c r="L171" i="14"/>
  <c r="L170" i="14"/>
  <c r="L169" i="14"/>
  <c r="L168" i="14"/>
  <c r="L167" i="14"/>
  <c r="L166" i="14"/>
  <c r="K165" i="14"/>
  <c r="I165" i="14"/>
  <c r="H165" i="14"/>
  <c r="H182" i="14" s="1"/>
  <c r="G165" i="14"/>
  <c r="G182" i="14" s="1"/>
  <c r="F165" i="14"/>
  <c r="F182" i="14" s="1"/>
  <c r="E165" i="14"/>
  <c r="D165" i="14"/>
  <c r="L163" i="14"/>
  <c r="L162" i="14"/>
  <c r="L161" i="14"/>
  <c r="L160" i="14"/>
  <c r="J165" i="14"/>
  <c r="L157" i="14"/>
  <c r="L156" i="14"/>
  <c r="K155" i="14"/>
  <c r="I155" i="14"/>
  <c r="H155" i="14"/>
  <c r="G155" i="14"/>
  <c r="F155" i="14"/>
  <c r="E155" i="14"/>
  <c r="D155" i="14"/>
  <c r="L154" i="14"/>
  <c r="L153" i="14"/>
  <c r="L152" i="14"/>
  <c r="L151" i="14"/>
  <c r="L150" i="14"/>
  <c r="L149" i="14"/>
  <c r="L148" i="14"/>
  <c r="L147" i="14"/>
  <c r="L146" i="14"/>
  <c r="K145" i="14"/>
  <c r="I145" i="14"/>
  <c r="H145" i="14"/>
  <c r="H158" i="14" s="1"/>
  <c r="G145" i="14"/>
  <c r="G158" i="14" s="1"/>
  <c r="F145" i="14"/>
  <c r="D145" i="14"/>
  <c r="L144" i="14"/>
  <c r="L143" i="14"/>
  <c r="L142" i="14"/>
  <c r="L141" i="14"/>
  <c r="L140" i="14"/>
  <c r="L139" i="14"/>
  <c r="E145" i="14"/>
  <c r="L136" i="14"/>
  <c r="L135" i="14"/>
  <c r="L134" i="14"/>
  <c r="L133" i="14"/>
  <c r="K132" i="14"/>
  <c r="I132" i="14"/>
  <c r="H132" i="14"/>
  <c r="G132" i="14"/>
  <c r="F132" i="14"/>
  <c r="E132" i="14"/>
  <c r="D132" i="14"/>
  <c r="L131" i="14"/>
  <c r="L130" i="14"/>
  <c r="L129" i="14"/>
  <c r="L128" i="14"/>
  <c r="L127" i="14"/>
  <c r="L125" i="14"/>
  <c r="J132" i="14"/>
  <c r="L123" i="14"/>
  <c r="K122" i="14"/>
  <c r="I122" i="14"/>
  <c r="H122" i="14"/>
  <c r="G122" i="14"/>
  <c r="F122" i="14"/>
  <c r="E122" i="14"/>
  <c r="D122" i="14"/>
  <c r="L121" i="14"/>
  <c r="L120" i="14"/>
  <c r="L119" i="14"/>
  <c r="L118" i="14"/>
  <c r="L117" i="14"/>
  <c r="L116" i="14"/>
  <c r="L114" i="14"/>
  <c r="L113" i="14"/>
  <c r="L112" i="14"/>
  <c r="L111" i="14"/>
  <c r="K110" i="14"/>
  <c r="I110" i="14"/>
  <c r="H110" i="14"/>
  <c r="G110" i="14"/>
  <c r="F110" i="14"/>
  <c r="D110" i="14"/>
  <c r="L109" i="14"/>
  <c r="L108" i="14"/>
  <c r="L107" i="14"/>
  <c r="L106" i="14"/>
  <c r="L105" i="14"/>
  <c r="L104" i="14"/>
  <c r="L103" i="14"/>
  <c r="L102" i="14"/>
  <c r="L101" i="14"/>
  <c r="L99" i="14"/>
  <c r="K98" i="14"/>
  <c r="I98" i="14"/>
  <c r="H98" i="14"/>
  <c r="H115" i="14" s="1"/>
  <c r="G98" i="14"/>
  <c r="F98" i="14"/>
  <c r="D98" i="14"/>
  <c r="L97" i="14"/>
  <c r="E98" i="14"/>
  <c r="L95" i="14"/>
  <c r="L93" i="14"/>
  <c r="L92" i="14"/>
  <c r="L91" i="14"/>
  <c r="L89" i="14"/>
  <c r="L88" i="14"/>
  <c r="L87" i="14"/>
  <c r="L86" i="14"/>
  <c r="L85" i="14"/>
  <c r="L84" i="14"/>
  <c r="L83" i="14"/>
  <c r="L82" i="14"/>
  <c r="K81" i="14"/>
  <c r="I81" i="14"/>
  <c r="H81" i="14"/>
  <c r="G81" i="14"/>
  <c r="F81" i="14"/>
  <c r="E81" i="14"/>
  <c r="D81" i="14"/>
  <c r="L80" i="14"/>
  <c r="L79" i="14"/>
  <c r="K78" i="14"/>
  <c r="I78" i="14"/>
  <c r="H78" i="14"/>
  <c r="G78" i="14"/>
  <c r="F78" i="14"/>
  <c r="D78" i="14"/>
  <c r="L77" i="14"/>
  <c r="L76" i="14"/>
  <c r="L75" i="14"/>
  <c r="L74" i="14"/>
  <c r="L73" i="14"/>
  <c r="E260" i="14"/>
  <c r="L71" i="14"/>
  <c r="L70" i="14"/>
  <c r="L68" i="14"/>
  <c r="L67" i="14"/>
  <c r="L66" i="14"/>
  <c r="J78" i="14"/>
  <c r="L64" i="14"/>
  <c r="K63" i="14"/>
  <c r="I63" i="14"/>
  <c r="H63" i="14"/>
  <c r="G63" i="14"/>
  <c r="F63" i="14"/>
  <c r="D63" i="14"/>
  <c r="L62" i="14"/>
  <c r="E63" i="14"/>
  <c r="L60" i="14"/>
  <c r="L59" i="14"/>
  <c r="L58" i="14"/>
  <c r="L57" i="14"/>
  <c r="J243" i="14"/>
  <c r="J242" i="14"/>
  <c r="L54" i="14"/>
  <c r="K53" i="14"/>
  <c r="I53" i="14"/>
  <c r="H53" i="14"/>
  <c r="G53" i="14"/>
  <c r="F53" i="14"/>
  <c r="E53" i="14"/>
  <c r="D53" i="14"/>
  <c r="L52" i="14"/>
  <c r="J53" i="14"/>
  <c r="K50" i="14"/>
  <c r="I50" i="14"/>
  <c r="H50" i="14"/>
  <c r="G50" i="14"/>
  <c r="F50" i="14"/>
  <c r="F297" i="14" s="1"/>
  <c r="F353" i="14" s="1"/>
  <c r="D50" i="14"/>
  <c r="L49" i="14"/>
  <c r="L48" i="14"/>
  <c r="L46" i="14"/>
  <c r="E50" i="14"/>
  <c r="L44" i="14"/>
  <c r="J259" i="14"/>
  <c r="L42" i="14"/>
  <c r="L41" i="14"/>
  <c r="L40" i="14"/>
  <c r="L39" i="14"/>
  <c r="L38" i="14"/>
  <c r="L37" i="14"/>
  <c r="J50" i="14"/>
  <c r="L35" i="14"/>
  <c r="K34" i="14"/>
  <c r="I34" i="14"/>
  <c r="H34" i="14"/>
  <c r="G34" i="14"/>
  <c r="F34" i="14"/>
  <c r="D34" i="14"/>
  <c r="L33" i="14"/>
  <c r="L32" i="14"/>
  <c r="L31" i="14"/>
  <c r="E246" i="14"/>
  <c r="L29" i="14"/>
  <c r="L28" i="14"/>
  <c r="K26" i="14"/>
  <c r="K240" i="14" s="1"/>
  <c r="I26" i="14"/>
  <c r="I240" i="14" s="1"/>
  <c r="H26" i="14"/>
  <c r="H240" i="14" s="1"/>
  <c r="G26" i="14"/>
  <c r="G240" i="14" s="1"/>
  <c r="F26" i="14"/>
  <c r="F240" i="14" s="1"/>
  <c r="E26" i="14"/>
  <c r="E240" i="14" s="1"/>
  <c r="D26" i="14"/>
  <c r="D240" i="14" s="1"/>
  <c r="L24" i="14"/>
  <c r="L23" i="14"/>
  <c r="L21" i="14"/>
  <c r="L20" i="14"/>
  <c r="L19" i="14"/>
  <c r="L16" i="14"/>
  <c r="L15" i="14"/>
  <c r="J235" i="14"/>
  <c r="J233" i="14"/>
  <c r="L8" i="14"/>
  <c r="L7" i="14"/>
  <c r="F158" i="14" l="1"/>
  <c r="F115" i="14"/>
  <c r="G115" i="14"/>
  <c r="L177" i="14"/>
  <c r="F352" i="14"/>
  <c r="F301" i="14"/>
  <c r="K115" i="14"/>
  <c r="F137" i="14"/>
  <c r="H137" i="14"/>
  <c r="K182" i="14"/>
  <c r="G137" i="14"/>
  <c r="E137" i="14"/>
  <c r="I137" i="14"/>
  <c r="D158" i="14"/>
  <c r="D137" i="14"/>
  <c r="D221" i="14"/>
  <c r="K221" i="14"/>
  <c r="K201" i="14"/>
  <c r="D182" i="14"/>
  <c r="K158" i="14"/>
  <c r="L122" i="14"/>
  <c r="G90" i="14"/>
  <c r="L45" i="14"/>
  <c r="L155" i="14"/>
  <c r="E218" i="14"/>
  <c r="E221" i="14" s="1"/>
  <c r="K266" i="14"/>
  <c r="I182" i="14"/>
  <c r="E201" i="14"/>
  <c r="I201" i="14"/>
  <c r="E34" i="14"/>
  <c r="E250" i="14" s="1"/>
  <c r="L30" i="14"/>
  <c r="J263" i="14"/>
  <c r="D115" i="14"/>
  <c r="H221" i="14"/>
  <c r="L43" i="14"/>
  <c r="D90" i="14"/>
  <c r="H90" i="14"/>
  <c r="J256" i="14"/>
  <c r="E78" i="14"/>
  <c r="H270" i="14"/>
  <c r="J246" i="14"/>
  <c r="E158" i="14"/>
  <c r="G201" i="14"/>
  <c r="L196" i="14"/>
  <c r="E270" i="14"/>
  <c r="I270" i="14"/>
  <c r="G250" i="14"/>
  <c r="J231" i="14"/>
  <c r="J232" i="14"/>
  <c r="L9" i="14"/>
  <c r="J237" i="14"/>
  <c r="J236" i="14"/>
  <c r="I90" i="14"/>
  <c r="L72" i="14"/>
  <c r="J254" i="14"/>
  <c r="H266" i="14"/>
  <c r="L138" i="14"/>
  <c r="L145" i="14" s="1"/>
  <c r="L159" i="14"/>
  <c r="D201" i="14"/>
  <c r="H201" i="14"/>
  <c r="E110" i="14"/>
  <c r="E115" i="14" s="1"/>
  <c r="L11" i="14"/>
  <c r="F90" i="14"/>
  <c r="K90" i="14"/>
  <c r="K270" i="14"/>
  <c r="L124" i="14"/>
  <c r="L126" i="14"/>
  <c r="E261" i="14"/>
  <c r="L203" i="14"/>
  <c r="L81" i="14"/>
  <c r="J145" i="14"/>
  <c r="J268" i="14"/>
  <c r="J208" i="14"/>
  <c r="J26" i="14"/>
  <c r="J240" i="14" s="1"/>
  <c r="L47" i="14"/>
  <c r="L51" i="14"/>
  <c r="L53" i="14" s="1"/>
  <c r="L61" i="14"/>
  <c r="J81" i="14"/>
  <c r="J270" i="14" s="1"/>
  <c r="L94" i="14"/>
  <c r="L96" i="14"/>
  <c r="J110" i="14"/>
  <c r="J269" i="14"/>
  <c r="F270" i="14"/>
  <c r="L200" i="14"/>
  <c r="L207" i="14"/>
  <c r="G266" i="14"/>
  <c r="J234" i="14"/>
  <c r="H250" i="14"/>
  <c r="J252" i="14"/>
  <c r="L6" i="14"/>
  <c r="L12" i="14"/>
  <c r="L36" i="14"/>
  <c r="L65" i="14"/>
  <c r="L69" i="14"/>
  <c r="I115" i="14"/>
  <c r="L100" i="14"/>
  <c r="L110" i="14" s="1"/>
  <c r="J122" i="14"/>
  <c r="J137" i="14" s="1"/>
  <c r="K137" i="14"/>
  <c r="J258" i="14"/>
  <c r="J257" i="14"/>
  <c r="L198" i="14"/>
  <c r="G270" i="14"/>
  <c r="F201" i="14"/>
  <c r="J247" i="14"/>
  <c r="L206" i="14"/>
  <c r="I250" i="14"/>
  <c r="J251" i="14"/>
  <c r="J264" i="14"/>
  <c r="D266" i="14"/>
  <c r="D250" i="14"/>
  <c r="J98" i="14"/>
  <c r="J155" i="14"/>
  <c r="J260" i="14"/>
  <c r="J195" i="14"/>
  <c r="J201" i="14" s="1"/>
  <c r="L55" i="14"/>
  <c r="J249" i="14"/>
  <c r="L164" i="14"/>
  <c r="J182" i="14"/>
  <c r="J261" i="14"/>
  <c r="J265" i="14"/>
  <c r="L217" i="14"/>
  <c r="L218" i="14" s="1"/>
  <c r="J239" i="14"/>
  <c r="L56" i="14"/>
  <c r="I158" i="14"/>
  <c r="L185" i="14"/>
  <c r="D270" i="14"/>
  <c r="J245" i="14"/>
  <c r="L204" i="14"/>
  <c r="F250" i="14"/>
  <c r="F221" i="14"/>
  <c r="I266" i="14"/>
  <c r="L219" i="14"/>
  <c r="G221" i="14"/>
  <c r="J238" i="14"/>
  <c r="K250" i="14"/>
  <c r="J262" i="14"/>
  <c r="F266" i="14"/>
  <c r="J218" i="14"/>
  <c r="I221" i="14"/>
  <c r="E244" i="14"/>
  <c r="E248" i="14"/>
  <c r="J253" i="14"/>
  <c r="J255" i="14"/>
  <c r="L189" i="14"/>
  <c r="L195" i="14" s="1"/>
  <c r="L197" i="14"/>
  <c r="F215" i="13"/>
  <c r="F351" i="14" l="1"/>
  <c r="F357" i="14" s="1"/>
  <c r="F327" i="14"/>
  <c r="K222" i="14"/>
  <c r="K271" i="14" s="1"/>
  <c r="J115" i="14"/>
  <c r="L98" i="14"/>
  <c r="L115" i="14" s="1"/>
  <c r="E266" i="14"/>
  <c r="L132" i="14"/>
  <c r="L137" i="14" s="1"/>
  <c r="E90" i="14"/>
  <c r="L208" i="14"/>
  <c r="L221" i="14" s="1"/>
  <c r="L199" i="14"/>
  <c r="L201" i="14" s="1"/>
  <c r="L165" i="14"/>
  <c r="L182" i="14" s="1"/>
  <c r="J158" i="14"/>
  <c r="L158" i="14"/>
  <c r="L63" i="14"/>
  <c r="L50" i="14"/>
  <c r="G222" i="14"/>
  <c r="G271" i="14" s="1"/>
  <c r="I222" i="14"/>
  <c r="I271" i="14" s="1"/>
  <c r="F222" i="14"/>
  <c r="F271" i="14" s="1"/>
  <c r="H222" i="14"/>
  <c r="H271" i="14" s="1"/>
  <c r="J244" i="14"/>
  <c r="D222" i="14"/>
  <c r="D271" i="14" s="1"/>
  <c r="J241" i="14"/>
  <c r="J248" i="14"/>
  <c r="J221" i="14"/>
  <c r="J63" i="14"/>
  <c r="E182" i="14"/>
  <c r="L26" i="14"/>
  <c r="J266" i="14"/>
  <c r="L78" i="14"/>
  <c r="J34" i="14"/>
  <c r="L27" i="14"/>
  <c r="L34" i="14" s="1"/>
  <c r="F44" i="13"/>
  <c r="E222" i="14" l="1"/>
  <c r="E271" i="14" s="1"/>
  <c r="J250" i="14"/>
  <c r="L90" i="14"/>
  <c r="L222" i="14" s="1"/>
  <c r="J90" i="14"/>
  <c r="F310" i="13"/>
  <c r="F295" i="13"/>
  <c r="F320" i="13"/>
  <c r="F294" i="13"/>
  <c r="F293" i="13"/>
  <c r="F283" i="13"/>
  <c r="F279" i="13"/>
  <c r="F334" i="13" s="1"/>
  <c r="F277" i="13"/>
  <c r="F332" i="13" s="1"/>
  <c r="F276" i="13"/>
  <c r="F353" i="13"/>
  <c r="F352" i="13"/>
  <c r="F351" i="13"/>
  <c r="F347" i="13"/>
  <c r="F339" i="13"/>
  <c r="F337" i="13"/>
  <c r="F336" i="13"/>
  <c r="F335" i="13"/>
  <c r="F333" i="13"/>
  <c r="F338" i="13" l="1"/>
  <c r="J222" i="14"/>
  <c r="J271" i="14" s="1"/>
  <c r="F285" i="13"/>
  <c r="F311" i="13"/>
  <c r="F331" i="13"/>
  <c r="F340" i="13" s="1"/>
  <c r="F31" i="13"/>
  <c r="F60" i="13"/>
  <c r="F172" i="13"/>
  <c r="F106" i="13"/>
  <c r="F95" i="13"/>
  <c r="F205" i="13" l="1"/>
  <c r="F201" i="13" l="1"/>
  <c r="J229" i="13" l="1"/>
  <c r="K229" i="13"/>
  <c r="J230" i="13"/>
  <c r="K230" i="13"/>
  <c r="J231" i="13"/>
  <c r="K231" i="13"/>
  <c r="J232" i="13"/>
  <c r="K232" i="13"/>
  <c r="J233" i="13"/>
  <c r="K233" i="13"/>
  <c r="J234" i="13"/>
  <c r="K234" i="13"/>
  <c r="J235" i="13"/>
  <c r="K235" i="13"/>
  <c r="J236" i="13"/>
  <c r="K236" i="13"/>
  <c r="J237" i="13"/>
  <c r="K237" i="13"/>
  <c r="J239" i="13"/>
  <c r="K239" i="13"/>
  <c r="J240" i="13"/>
  <c r="K240" i="13"/>
  <c r="J241" i="13"/>
  <c r="K241" i="13"/>
  <c r="J242" i="13"/>
  <c r="K242" i="13"/>
  <c r="J243" i="13"/>
  <c r="K243" i="13"/>
  <c r="J244" i="13"/>
  <c r="K244" i="13"/>
  <c r="J245" i="13"/>
  <c r="K245" i="13"/>
  <c r="J246" i="13"/>
  <c r="K246" i="13"/>
  <c r="J247" i="13"/>
  <c r="K247" i="13"/>
  <c r="J249" i="13"/>
  <c r="K249" i="13"/>
  <c r="J250" i="13"/>
  <c r="K250" i="13"/>
  <c r="J251" i="13"/>
  <c r="K251" i="13"/>
  <c r="J252" i="13"/>
  <c r="K252" i="13"/>
  <c r="J253" i="13"/>
  <c r="K253" i="13"/>
  <c r="J254" i="13"/>
  <c r="K254" i="13"/>
  <c r="J255" i="13"/>
  <c r="K255" i="13"/>
  <c r="J256" i="13"/>
  <c r="K256" i="13"/>
  <c r="J257" i="13"/>
  <c r="K257" i="13"/>
  <c r="J258" i="13"/>
  <c r="K258" i="13"/>
  <c r="J259" i="13"/>
  <c r="K259" i="13"/>
  <c r="J260" i="13"/>
  <c r="K260" i="13"/>
  <c r="J261" i="13"/>
  <c r="K261" i="13"/>
  <c r="J262" i="13"/>
  <c r="K262" i="13"/>
  <c r="J263" i="13"/>
  <c r="K263" i="13"/>
  <c r="J265" i="13"/>
  <c r="K265" i="13"/>
  <c r="J266" i="13"/>
  <c r="K266" i="13"/>
  <c r="J267" i="13"/>
  <c r="K267" i="13"/>
  <c r="L8" i="13" l="1"/>
  <c r="L111" i="13"/>
  <c r="L133" i="13"/>
  <c r="F25" i="13" l="1"/>
  <c r="F238" i="13" s="1"/>
  <c r="G25" i="13"/>
  <c r="G238" i="13" s="1"/>
  <c r="H25" i="13"/>
  <c r="H238" i="13" s="1"/>
  <c r="I25" i="13"/>
  <c r="I238" i="13" s="1"/>
  <c r="J25" i="13"/>
  <c r="J238" i="13" s="1"/>
  <c r="K25" i="13"/>
  <c r="K238" i="13" s="1"/>
  <c r="J33" i="13"/>
  <c r="K33" i="13"/>
  <c r="J52" i="13"/>
  <c r="K52" i="13"/>
  <c r="J49" i="13"/>
  <c r="K49" i="13"/>
  <c r="J62" i="13"/>
  <c r="K62" i="13"/>
  <c r="J77" i="13"/>
  <c r="K77" i="13"/>
  <c r="J80" i="13"/>
  <c r="K80" i="13"/>
  <c r="J89" i="13"/>
  <c r="J97" i="13"/>
  <c r="K97" i="13"/>
  <c r="J109" i="13"/>
  <c r="K109" i="13"/>
  <c r="K114" i="13" s="1"/>
  <c r="J121" i="13"/>
  <c r="K121" i="13"/>
  <c r="J131" i="13"/>
  <c r="K131" i="13"/>
  <c r="K136" i="13" s="1"/>
  <c r="J144" i="13"/>
  <c r="K144" i="13"/>
  <c r="J154" i="13"/>
  <c r="K154" i="13"/>
  <c r="J164" i="13"/>
  <c r="K164" i="13"/>
  <c r="J175" i="13"/>
  <c r="K175" i="13"/>
  <c r="K180" i="13" s="1"/>
  <c r="J183" i="13"/>
  <c r="K183" i="13"/>
  <c r="J193" i="13"/>
  <c r="K193" i="13"/>
  <c r="J197" i="13"/>
  <c r="K197" i="13"/>
  <c r="J206" i="13"/>
  <c r="K206" i="13"/>
  <c r="J216" i="13"/>
  <c r="K216" i="13"/>
  <c r="F29" i="13"/>
  <c r="F244" i="13" s="1"/>
  <c r="F71" i="13"/>
  <c r="L218" i="13"/>
  <c r="N218" i="13" s="1"/>
  <c r="L217" i="13"/>
  <c r="N217" i="13" s="1"/>
  <c r="L215" i="13"/>
  <c r="N215" i="13" s="1"/>
  <c r="L214" i="13"/>
  <c r="N214" i="13" s="1"/>
  <c r="L213" i="13"/>
  <c r="N213" i="13" s="1"/>
  <c r="L212" i="13"/>
  <c r="N212" i="13" s="1"/>
  <c r="L211" i="13"/>
  <c r="N211" i="13" s="1"/>
  <c r="L210" i="13"/>
  <c r="N210" i="13" s="1"/>
  <c r="L209" i="13"/>
  <c r="N209" i="13" s="1"/>
  <c r="L208" i="13"/>
  <c r="L207" i="13"/>
  <c r="N207" i="13" s="1"/>
  <c r="L204" i="13"/>
  <c r="N204" i="13" s="1"/>
  <c r="L203" i="13"/>
  <c r="N203" i="13" s="1"/>
  <c r="L202" i="13"/>
  <c r="N202" i="13" s="1"/>
  <c r="L200" i="13"/>
  <c r="L198" i="13"/>
  <c r="L196" i="13"/>
  <c r="L195" i="13"/>
  <c r="N195" i="13" s="1"/>
  <c r="L194" i="13"/>
  <c r="L192" i="13"/>
  <c r="L191" i="13"/>
  <c r="N191" i="13" s="1"/>
  <c r="L190" i="13"/>
  <c r="N190" i="13" s="1"/>
  <c r="L189" i="13"/>
  <c r="N189" i="13" s="1"/>
  <c r="L188" i="13"/>
  <c r="N188" i="13" s="1"/>
  <c r="L187" i="13"/>
  <c r="N187" i="13" s="1"/>
  <c r="L186" i="13"/>
  <c r="N186" i="13" s="1"/>
  <c r="L185" i="13"/>
  <c r="L184" i="13"/>
  <c r="L182" i="13"/>
  <c r="N182" i="13" s="1"/>
  <c r="L181" i="13"/>
  <c r="N181" i="13" s="1"/>
  <c r="L179" i="13"/>
  <c r="N179" i="13" s="1"/>
  <c r="L178" i="13"/>
  <c r="N178" i="13" s="1"/>
  <c r="L177" i="13"/>
  <c r="N177" i="13" s="1"/>
  <c r="L176" i="13"/>
  <c r="L174" i="13"/>
  <c r="N174" i="13" s="1"/>
  <c r="L173" i="13"/>
  <c r="N173" i="13" s="1"/>
  <c r="L172" i="13"/>
  <c r="N172" i="13" s="1"/>
  <c r="L171" i="13"/>
  <c r="N171" i="13" s="1"/>
  <c r="L170" i="13"/>
  <c r="L169" i="13"/>
  <c r="N169" i="13" s="1"/>
  <c r="L168" i="13"/>
  <c r="L167" i="13"/>
  <c r="N167" i="13" s="1"/>
  <c r="L166" i="13"/>
  <c r="L165" i="13"/>
  <c r="N165" i="13" s="1"/>
  <c r="L163" i="13"/>
  <c r="N163" i="13" s="1"/>
  <c r="L162" i="13"/>
  <c r="N162" i="13" s="1"/>
  <c r="L161" i="13"/>
  <c r="N161" i="13" s="1"/>
  <c r="L160" i="13"/>
  <c r="N160" i="13" s="1"/>
  <c r="L159" i="13"/>
  <c r="N159" i="13" s="1"/>
  <c r="L158" i="13"/>
  <c r="L156" i="13"/>
  <c r="N156" i="13" s="1"/>
  <c r="L155" i="13"/>
  <c r="N155" i="13" s="1"/>
  <c r="L153" i="13"/>
  <c r="N153" i="13" s="1"/>
  <c r="L152" i="13"/>
  <c r="N152" i="13" s="1"/>
  <c r="L151" i="13"/>
  <c r="N151" i="13" s="1"/>
  <c r="L150" i="13"/>
  <c r="L149" i="13"/>
  <c r="N149" i="13" s="1"/>
  <c r="L148" i="13"/>
  <c r="N148" i="13" s="1"/>
  <c r="L147" i="13"/>
  <c r="N147" i="13" s="1"/>
  <c r="L146" i="13"/>
  <c r="N146" i="13" s="1"/>
  <c r="L145" i="13"/>
  <c r="N145" i="13" s="1"/>
  <c r="L143" i="13"/>
  <c r="N143" i="13" s="1"/>
  <c r="L142" i="13"/>
  <c r="N142" i="13" s="1"/>
  <c r="L141" i="13"/>
  <c r="N141" i="13" s="1"/>
  <c r="L140" i="13"/>
  <c r="L139" i="13"/>
  <c r="N139" i="13" s="1"/>
  <c r="L138" i="13"/>
  <c r="L135" i="13"/>
  <c r="N135" i="13" s="1"/>
  <c r="L134" i="13"/>
  <c r="N133" i="13"/>
  <c r="L132" i="13"/>
  <c r="N132" i="13" s="1"/>
  <c r="L130" i="13"/>
  <c r="N130" i="13" s="1"/>
  <c r="L129" i="13"/>
  <c r="N129" i="13" s="1"/>
  <c r="L128" i="13"/>
  <c r="N128" i="13" s="1"/>
  <c r="L127" i="13"/>
  <c r="N127" i="13" s="1"/>
  <c r="L126" i="13"/>
  <c r="N126" i="13" s="1"/>
  <c r="L125" i="13"/>
  <c r="N125" i="13" s="1"/>
  <c r="L124" i="13"/>
  <c r="N124" i="13" s="1"/>
  <c r="L123" i="13"/>
  <c r="L122" i="13"/>
  <c r="N122" i="13" s="1"/>
  <c r="L120" i="13"/>
  <c r="L119" i="13"/>
  <c r="N119" i="13" s="1"/>
  <c r="L118" i="13"/>
  <c r="N118" i="13" s="1"/>
  <c r="L117" i="13"/>
  <c r="N117" i="13" s="1"/>
  <c r="L116" i="13"/>
  <c r="N116" i="13" s="1"/>
  <c r="L115" i="13"/>
  <c r="L113" i="13"/>
  <c r="N113" i="13" s="1"/>
  <c r="L112" i="13"/>
  <c r="N111" i="13"/>
  <c r="L110" i="13"/>
  <c r="L108" i="13"/>
  <c r="N108" i="13" s="1"/>
  <c r="L107" i="13"/>
  <c r="L106" i="13"/>
  <c r="N106" i="13" s="1"/>
  <c r="L105" i="13"/>
  <c r="L104" i="13"/>
  <c r="N104" i="13" s="1"/>
  <c r="L103" i="13"/>
  <c r="L102" i="13"/>
  <c r="N102" i="13" s="1"/>
  <c r="L101" i="13"/>
  <c r="L100" i="13"/>
  <c r="N100" i="13" s="1"/>
  <c r="L99" i="13"/>
  <c r="L98" i="13"/>
  <c r="N98" i="13" s="1"/>
  <c r="L96" i="13"/>
  <c r="N96" i="13" s="1"/>
  <c r="L95" i="13"/>
  <c r="N95" i="13" s="1"/>
  <c r="L94" i="13"/>
  <c r="N94" i="13" s="1"/>
  <c r="L93" i="13"/>
  <c r="N93" i="13" s="1"/>
  <c r="L92" i="13"/>
  <c r="L91" i="13"/>
  <c r="N91" i="13" s="1"/>
  <c r="L90" i="13"/>
  <c r="L88" i="13"/>
  <c r="N88" i="13" s="1"/>
  <c r="L87" i="13"/>
  <c r="N87" i="13" s="1"/>
  <c r="L86" i="13"/>
  <c r="N86" i="13" s="1"/>
  <c r="L85" i="13"/>
  <c r="N85" i="13" s="1"/>
  <c r="L84" i="13"/>
  <c r="N84" i="13" s="1"/>
  <c r="L83" i="13"/>
  <c r="N83" i="13" s="1"/>
  <c r="L82" i="13"/>
  <c r="N82" i="13" s="1"/>
  <c r="L81" i="13"/>
  <c r="N81" i="13" s="1"/>
  <c r="L79" i="13"/>
  <c r="N79" i="13" s="1"/>
  <c r="L78" i="13"/>
  <c r="L76" i="13"/>
  <c r="N76" i="13" s="1"/>
  <c r="L75" i="13"/>
  <c r="L74" i="13"/>
  <c r="N74" i="13" s="1"/>
  <c r="L73" i="13"/>
  <c r="L72" i="13"/>
  <c r="N72" i="13" s="1"/>
  <c r="L71" i="13"/>
  <c r="N71" i="13" s="1"/>
  <c r="L70" i="13"/>
  <c r="N70" i="13" s="1"/>
  <c r="L69" i="13"/>
  <c r="N69" i="13" s="1"/>
  <c r="L68" i="13"/>
  <c r="N68" i="13" s="1"/>
  <c r="L67" i="13"/>
  <c r="N67" i="13" s="1"/>
  <c r="L66" i="13"/>
  <c r="N66" i="13" s="1"/>
  <c r="L65" i="13"/>
  <c r="N65" i="13" s="1"/>
  <c r="L64" i="13"/>
  <c r="L63" i="13"/>
  <c r="N63" i="13" s="1"/>
  <c r="L61" i="13"/>
  <c r="N61" i="13" s="1"/>
  <c r="L60" i="13"/>
  <c r="N60" i="13" s="1"/>
  <c r="L59" i="13"/>
  <c r="N59" i="13" s="1"/>
  <c r="L58" i="13"/>
  <c r="N58" i="13" s="1"/>
  <c r="L57" i="13"/>
  <c r="N57" i="13" s="1"/>
  <c r="L56" i="13"/>
  <c r="N56" i="13" s="1"/>
  <c r="L55" i="13"/>
  <c r="L241" i="13" s="1"/>
  <c r="L54" i="13"/>
  <c r="L53" i="13"/>
  <c r="L51" i="13"/>
  <c r="N51" i="13" s="1"/>
  <c r="L50" i="13"/>
  <c r="L48" i="13"/>
  <c r="N48" i="13" s="1"/>
  <c r="L47" i="13"/>
  <c r="N47" i="13" s="1"/>
  <c r="L46" i="13"/>
  <c r="L45" i="13"/>
  <c r="L44" i="13"/>
  <c r="N44" i="13" s="1"/>
  <c r="L43" i="13"/>
  <c r="L42" i="13"/>
  <c r="L257" i="13" s="1"/>
  <c r="L41" i="13"/>
  <c r="N41" i="13" s="1"/>
  <c r="L40" i="13"/>
  <c r="L39" i="13"/>
  <c r="L38" i="13"/>
  <c r="L37" i="13"/>
  <c r="L36" i="13"/>
  <c r="N36" i="13" s="1"/>
  <c r="L35" i="13"/>
  <c r="L34" i="13"/>
  <c r="N34" i="13" s="1"/>
  <c r="L32" i="13"/>
  <c r="N32" i="13" s="1"/>
  <c r="L31" i="13"/>
  <c r="L30" i="13"/>
  <c r="N30" i="13" s="1"/>
  <c r="L28" i="13"/>
  <c r="N28" i="13" s="1"/>
  <c r="L27" i="13"/>
  <c r="N27" i="13" s="1"/>
  <c r="N31" i="13"/>
  <c r="L6" i="13"/>
  <c r="L7" i="13"/>
  <c r="N7" i="13" s="1"/>
  <c r="L231" i="13"/>
  <c r="L9" i="13"/>
  <c r="L10" i="13"/>
  <c r="L233" i="13" s="1"/>
  <c r="L11" i="13"/>
  <c r="L12" i="13"/>
  <c r="N12" i="13" s="1"/>
  <c r="L13" i="13"/>
  <c r="N13" i="13" s="1"/>
  <c r="L14" i="13"/>
  <c r="L15" i="13"/>
  <c r="N15" i="13" s="1"/>
  <c r="L16" i="13"/>
  <c r="N16" i="13" s="1"/>
  <c r="L17" i="13"/>
  <c r="N17" i="13" s="1"/>
  <c r="L18" i="13"/>
  <c r="N18" i="13" s="1"/>
  <c r="L19" i="13"/>
  <c r="N19" i="13" s="1"/>
  <c r="L20" i="13"/>
  <c r="N20" i="13" s="1"/>
  <c r="L21" i="13"/>
  <c r="N21" i="13" s="1"/>
  <c r="L22" i="13"/>
  <c r="N22" i="13" s="1"/>
  <c r="L23" i="13"/>
  <c r="N23" i="13" s="1"/>
  <c r="L24" i="13"/>
  <c r="L5" i="13"/>
  <c r="L201" i="13"/>
  <c r="N201" i="13" s="1"/>
  <c r="F137" i="13"/>
  <c r="F26" i="13"/>
  <c r="L26" i="13" s="1"/>
  <c r="L205" i="13"/>
  <c r="N205" i="13" s="1"/>
  <c r="E260" i="13"/>
  <c r="E257" i="13"/>
  <c r="E265" i="13"/>
  <c r="E249" i="13"/>
  <c r="E243" i="13"/>
  <c r="E261" i="13"/>
  <c r="E259" i="13"/>
  <c r="E250" i="13"/>
  <c r="E235" i="13"/>
  <c r="E229" i="13"/>
  <c r="M267" i="13"/>
  <c r="I267" i="13"/>
  <c r="H267" i="13"/>
  <c r="G267" i="13"/>
  <c r="F267" i="13"/>
  <c r="D267" i="13"/>
  <c r="M266" i="13"/>
  <c r="I266" i="13"/>
  <c r="H266" i="13"/>
  <c r="G266" i="13"/>
  <c r="F266" i="13"/>
  <c r="E266" i="13"/>
  <c r="D266" i="13"/>
  <c r="M265" i="13"/>
  <c r="I265" i="13"/>
  <c r="H265" i="13"/>
  <c r="G265" i="13"/>
  <c r="F265" i="13"/>
  <c r="D265" i="13"/>
  <c r="M263" i="13"/>
  <c r="I263" i="13"/>
  <c r="H263" i="13"/>
  <c r="G263" i="13"/>
  <c r="F263" i="13"/>
  <c r="D263" i="13"/>
  <c r="M262" i="13"/>
  <c r="I262" i="13"/>
  <c r="H262" i="13"/>
  <c r="G262" i="13"/>
  <c r="F262" i="13"/>
  <c r="D262" i="13"/>
  <c r="M261" i="13"/>
  <c r="I261" i="13"/>
  <c r="H261" i="13"/>
  <c r="G261" i="13"/>
  <c r="F261" i="13"/>
  <c r="D261" i="13"/>
  <c r="M260" i="13"/>
  <c r="I260" i="13"/>
  <c r="H260" i="13"/>
  <c r="G260" i="13"/>
  <c r="F260" i="13"/>
  <c r="D260" i="13"/>
  <c r="M259" i="13"/>
  <c r="I259" i="13"/>
  <c r="H259" i="13"/>
  <c r="G259" i="13"/>
  <c r="F259" i="13"/>
  <c r="D259" i="13"/>
  <c r="M258" i="13"/>
  <c r="I258" i="13"/>
  <c r="H258" i="13"/>
  <c r="G258" i="13"/>
  <c r="D258" i="13"/>
  <c r="M257" i="13"/>
  <c r="I257" i="13"/>
  <c r="H257" i="13"/>
  <c r="G257" i="13"/>
  <c r="F257" i="13"/>
  <c r="D257" i="13"/>
  <c r="M256" i="13"/>
  <c r="I256" i="13"/>
  <c r="H256" i="13"/>
  <c r="G256" i="13"/>
  <c r="F256" i="13"/>
  <c r="D256" i="13"/>
  <c r="M255" i="13"/>
  <c r="I255" i="13"/>
  <c r="H255" i="13"/>
  <c r="G255" i="13"/>
  <c r="F255" i="13"/>
  <c r="D255" i="13"/>
  <c r="M254" i="13"/>
  <c r="I254" i="13"/>
  <c r="H254" i="13"/>
  <c r="G254" i="13"/>
  <c r="F254" i="13"/>
  <c r="D254" i="13"/>
  <c r="M253" i="13"/>
  <c r="I253" i="13"/>
  <c r="H253" i="13"/>
  <c r="G253" i="13"/>
  <c r="F253" i="13"/>
  <c r="D253" i="13"/>
  <c r="M252" i="13"/>
  <c r="I252" i="13"/>
  <c r="H252" i="13"/>
  <c r="G252" i="13"/>
  <c r="F252" i="13"/>
  <c r="D252" i="13"/>
  <c r="M251" i="13"/>
  <c r="I251" i="13"/>
  <c r="H251" i="13"/>
  <c r="G251" i="13"/>
  <c r="F251" i="13"/>
  <c r="E251" i="13"/>
  <c r="D251" i="13"/>
  <c r="M250" i="13"/>
  <c r="I250" i="13"/>
  <c r="H250" i="13"/>
  <c r="G250" i="13"/>
  <c r="F250" i="13"/>
  <c r="D250" i="13"/>
  <c r="M249" i="13"/>
  <c r="I249" i="13"/>
  <c r="H249" i="13"/>
  <c r="G249" i="13"/>
  <c r="F249" i="13"/>
  <c r="D249" i="13"/>
  <c r="M247" i="13"/>
  <c r="I247" i="13"/>
  <c r="H247" i="13"/>
  <c r="G247" i="13"/>
  <c r="F247" i="13"/>
  <c r="D247" i="13"/>
  <c r="M246" i="13"/>
  <c r="I246" i="13"/>
  <c r="H246" i="13"/>
  <c r="G246" i="13"/>
  <c r="F246" i="13"/>
  <c r="D246" i="13"/>
  <c r="M245" i="13"/>
  <c r="I245" i="13"/>
  <c r="H245" i="13"/>
  <c r="G245" i="13"/>
  <c r="F245" i="13"/>
  <c r="D245" i="13"/>
  <c r="M244" i="13"/>
  <c r="I244" i="13"/>
  <c r="H244" i="13"/>
  <c r="G244" i="13"/>
  <c r="D244" i="13"/>
  <c r="M243" i="13"/>
  <c r="I243" i="13"/>
  <c r="H243" i="13"/>
  <c r="G243" i="13"/>
  <c r="F243" i="13"/>
  <c r="D243" i="13"/>
  <c r="M242" i="13"/>
  <c r="I242" i="13"/>
  <c r="H242" i="13"/>
  <c r="G242" i="13"/>
  <c r="D242" i="13"/>
  <c r="M241" i="13"/>
  <c r="I241" i="13"/>
  <c r="H241" i="13"/>
  <c r="G241" i="13"/>
  <c r="F241" i="13"/>
  <c r="E241" i="13"/>
  <c r="D241" i="13"/>
  <c r="M240" i="13"/>
  <c r="I240" i="13"/>
  <c r="H240" i="13"/>
  <c r="G240" i="13"/>
  <c r="F240" i="13"/>
  <c r="D240" i="13"/>
  <c r="M239" i="13"/>
  <c r="I239" i="13"/>
  <c r="H239" i="13"/>
  <c r="G239" i="13"/>
  <c r="D239" i="13"/>
  <c r="M237" i="13"/>
  <c r="I237" i="13"/>
  <c r="H237" i="13"/>
  <c r="G237" i="13"/>
  <c r="F237" i="13"/>
  <c r="E237" i="13"/>
  <c r="D237" i="13"/>
  <c r="M236" i="13"/>
  <c r="I236" i="13"/>
  <c r="H236" i="13"/>
  <c r="G236" i="13"/>
  <c r="F236" i="13"/>
  <c r="E236" i="13"/>
  <c r="D236" i="13"/>
  <c r="M235" i="13"/>
  <c r="I235" i="13"/>
  <c r="H235" i="13"/>
  <c r="G235" i="13"/>
  <c r="F235" i="13"/>
  <c r="D235" i="13"/>
  <c r="M234" i="13"/>
  <c r="I234" i="13"/>
  <c r="H234" i="13"/>
  <c r="G234" i="13"/>
  <c r="F234" i="13"/>
  <c r="E234" i="13"/>
  <c r="D234" i="13"/>
  <c r="M233" i="13"/>
  <c r="I233" i="13"/>
  <c r="H233" i="13"/>
  <c r="G233" i="13"/>
  <c r="F233" i="13"/>
  <c r="E233" i="13"/>
  <c r="D233" i="13"/>
  <c r="M232" i="13"/>
  <c r="I232" i="13"/>
  <c r="H232" i="13"/>
  <c r="G232" i="13"/>
  <c r="F232" i="13"/>
  <c r="E232" i="13"/>
  <c r="D232" i="13"/>
  <c r="M231" i="13"/>
  <c r="I231" i="13"/>
  <c r="H231" i="13"/>
  <c r="G231" i="13"/>
  <c r="F231" i="13"/>
  <c r="E231" i="13"/>
  <c r="D231" i="13"/>
  <c r="M230" i="13"/>
  <c r="I230" i="13"/>
  <c r="H230" i="13"/>
  <c r="G230" i="13"/>
  <c r="F230" i="13"/>
  <c r="E230" i="13"/>
  <c r="D230" i="13"/>
  <c r="M229" i="13"/>
  <c r="I229" i="13"/>
  <c r="H229" i="13"/>
  <c r="G229" i="13"/>
  <c r="F229" i="13"/>
  <c r="D229" i="13"/>
  <c r="M216" i="13"/>
  <c r="I216" i="13"/>
  <c r="H216" i="13"/>
  <c r="G216" i="13"/>
  <c r="F216" i="13"/>
  <c r="D216" i="13"/>
  <c r="M206" i="13"/>
  <c r="I206" i="13"/>
  <c r="H206" i="13"/>
  <c r="G206" i="13"/>
  <c r="D206" i="13"/>
  <c r="M197" i="13"/>
  <c r="I197" i="13"/>
  <c r="H197" i="13"/>
  <c r="G197" i="13"/>
  <c r="F197" i="13"/>
  <c r="D197" i="13"/>
  <c r="M193" i="13"/>
  <c r="I193" i="13"/>
  <c r="H193" i="13"/>
  <c r="G193" i="13"/>
  <c r="F193" i="13"/>
  <c r="D193" i="13"/>
  <c r="M183" i="13"/>
  <c r="I183" i="13"/>
  <c r="H183" i="13"/>
  <c r="G183" i="13"/>
  <c r="F183" i="13"/>
  <c r="D183" i="13"/>
  <c r="M175" i="13"/>
  <c r="I175" i="13"/>
  <c r="H175" i="13"/>
  <c r="G175" i="13"/>
  <c r="F175" i="13"/>
  <c r="D175" i="13"/>
  <c r="M164" i="13"/>
  <c r="I164" i="13"/>
  <c r="H164" i="13"/>
  <c r="G164" i="13"/>
  <c r="F164" i="13"/>
  <c r="D164" i="13"/>
  <c r="M154" i="13"/>
  <c r="I154" i="13"/>
  <c r="H154" i="13"/>
  <c r="G154" i="13"/>
  <c r="F154" i="13"/>
  <c r="D154" i="13"/>
  <c r="M144" i="13"/>
  <c r="I144" i="13"/>
  <c r="H144" i="13"/>
  <c r="G144" i="13"/>
  <c r="D144" i="13"/>
  <c r="M131" i="13"/>
  <c r="I131" i="13"/>
  <c r="H131" i="13"/>
  <c r="G131" i="13"/>
  <c r="F131" i="13"/>
  <c r="D131" i="13"/>
  <c r="M121" i="13"/>
  <c r="I121" i="13"/>
  <c r="H121" i="13"/>
  <c r="G121" i="13"/>
  <c r="F121" i="13"/>
  <c r="D121" i="13"/>
  <c r="M109" i="13"/>
  <c r="I109" i="13"/>
  <c r="H109" i="13"/>
  <c r="G109" i="13"/>
  <c r="F109" i="13"/>
  <c r="D109" i="13"/>
  <c r="M97" i="13"/>
  <c r="I97" i="13"/>
  <c r="H97" i="13"/>
  <c r="G97" i="13"/>
  <c r="F97" i="13"/>
  <c r="D97" i="13"/>
  <c r="M80" i="13"/>
  <c r="I80" i="13"/>
  <c r="H80" i="13"/>
  <c r="G80" i="13"/>
  <c r="F80" i="13"/>
  <c r="D80" i="13"/>
  <c r="M77" i="13"/>
  <c r="I77" i="13"/>
  <c r="H77" i="13"/>
  <c r="G77" i="13"/>
  <c r="D77" i="13"/>
  <c r="M62" i="13"/>
  <c r="I62" i="13"/>
  <c r="H62" i="13"/>
  <c r="G62" i="13"/>
  <c r="F62" i="13"/>
  <c r="D62" i="13"/>
  <c r="M52" i="13"/>
  <c r="I52" i="13"/>
  <c r="H52" i="13"/>
  <c r="G52" i="13"/>
  <c r="F52" i="13"/>
  <c r="D52" i="13"/>
  <c r="M49" i="13"/>
  <c r="I49" i="13"/>
  <c r="H49" i="13"/>
  <c r="G49" i="13"/>
  <c r="F49" i="13"/>
  <c r="D49" i="13"/>
  <c r="M33" i="13"/>
  <c r="I33" i="13"/>
  <c r="H33" i="13"/>
  <c r="G33" i="13"/>
  <c r="D33" i="13"/>
  <c r="M25" i="13"/>
  <c r="M238" i="13" s="1"/>
  <c r="E25" i="13"/>
  <c r="E238" i="13" s="1"/>
  <c r="D25" i="13"/>
  <c r="D238" i="13" s="1"/>
  <c r="L137" i="13" l="1"/>
  <c r="L144" i="13" s="1"/>
  <c r="F319" i="13"/>
  <c r="F258" i="13"/>
  <c r="F321" i="13"/>
  <c r="F77" i="13"/>
  <c r="F264" i="13" s="1"/>
  <c r="F144" i="13"/>
  <c r="F157" i="13" s="1"/>
  <c r="J268" i="13"/>
  <c r="F350" i="13"/>
  <c r="K268" i="13"/>
  <c r="J199" i="13"/>
  <c r="F136" i="13"/>
  <c r="M136" i="13"/>
  <c r="J180" i="13"/>
  <c r="J136" i="13"/>
  <c r="J114" i="13"/>
  <c r="K199" i="13"/>
  <c r="K89" i="13"/>
  <c r="K248" i="13"/>
  <c r="K157" i="13"/>
  <c r="K219" i="13"/>
  <c r="K264" i="13"/>
  <c r="J219" i="13"/>
  <c r="J264" i="13"/>
  <c r="F33" i="13"/>
  <c r="D114" i="13"/>
  <c r="F239" i="13"/>
  <c r="J248" i="13"/>
  <c r="J157" i="13"/>
  <c r="L29" i="13"/>
  <c r="N29" i="13" s="1"/>
  <c r="H114" i="13"/>
  <c r="H136" i="13"/>
  <c r="D157" i="13"/>
  <c r="G157" i="13"/>
  <c r="I157" i="13"/>
  <c r="D180" i="13"/>
  <c r="G180" i="13"/>
  <c r="I180" i="13"/>
  <c r="F206" i="13"/>
  <c r="F242" i="13"/>
  <c r="D89" i="13"/>
  <c r="G89" i="13"/>
  <c r="H264" i="13"/>
  <c r="D268" i="13"/>
  <c r="D136" i="13"/>
  <c r="G136" i="13"/>
  <c r="I136" i="13"/>
  <c r="D248" i="13"/>
  <c r="F199" i="13"/>
  <c r="H199" i="13"/>
  <c r="M199" i="13"/>
  <c r="H219" i="13"/>
  <c r="H89" i="13"/>
  <c r="F268" i="13"/>
  <c r="H268" i="13"/>
  <c r="G114" i="13"/>
  <c r="I114" i="13"/>
  <c r="H157" i="13"/>
  <c r="H180" i="13"/>
  <c r="G199" i="13"/>
  <c r="D264" i="13"/>
  <c r="I199" i="13"/>
  <c r="F219" i="13"/>
  <c r="I89" i="13"/>
  <c r="M180" i="13"/>
  <c r="M89" i="13"/>
  <c r="E245" i="13"/>
  <c r="E255" i="13"/>
  <c r="F180" i="13"/>
  <c r="M157" i="13"/>
  <c r="F114" i="13"/>
  <c r="M114" i="13"/>
  <c r="M268" i="13"/>
  <c r="L52" i="13"/>
  <c r="L164" i="13"/>
  <c r="N158" i="13"/>
  <c r="N164" i="13" s="1"/>
  <c r="E240" i="13"/>
  <c r="L240" i="13"/>
  <c r="N64" i="13"/>
  <c r="E239" i="13"/>
  <c r="E247" i="13"/>
  <c r="N120" i="13"/>
  <c r="E242" i="13"/>
  <c r="N138" i="13"/>
  <c r="E244" i="13"/>
  <c r="N140" i="13"/>
  <c r="E258" i="13"/>
  <c r="N150" i="13"/>
  <c r="N154" i="13" s="1"/>
  <c r="E246" i="13"/>
  <c r="N176" i="13"/>
  <c r="E263" i="13"/>
  <c r="N50" i="13"/>
  <c r="N52" i="13" s="1"/>
  <c r="L80" i="13"/>
  <c r="N78" i="13"/>
  <c r="N80" i="13" s="1"/>
  <c r="N92" i="13"/>
  <c r="N184" i="13"/>
  <c r="N192" i="13"/>
  <c r="N198" i="13"/>
  <c r="E254" i="13"/>
  <c r="L261" i="13"/>
  <c r="E264" i="13"/>
  <c r="N166" i="13"/>
  <c r="E252" i="13"/>
  <c r="N168" i="13"/>
  <c r="E256" i="13"/>
  <c r="N170" i="13"/>
  <c r="E267" i="13"/>
  <c r="N196" i="13"/>
  <c r="E253" i="13"/>
  <c r="E262" i="13"/>
  <c r="N134" i="13"/>
  <c r="E248" i="13"/>
  <c r="L131" i="13"/>
  <c r="N123" i="13"/>
  <c r="N131" i="13" s="1"/>
  <c r="N110" i="13"/>
  <c r="N112" i="13"/>
  <c r="N101" i="13"/>
  <c r="N103" i="13"/>
  <c r="N105" i="13"/>
  <c r="N107" i="13"/>
  <c r="N90" i="13"/>
  <c r="L255" i="13"/>
  <c r="L253" i="13"/>
  <c r="N73" i="13"/>
  <c r="N75" i="13"/>
  <c r="L62" i="13"/>
  <c r="N53" i="13"/>
  <c r="N54" i="13"/>
  <c r="N55" i="13"/>
  <c r="N38" i="13"/>
  <c r="N40" i="13"/>
  <c r="N42" i="13"/>
  <c r="N46" i="13"/>
  <c r="N37" i="13"/>
  <c r="N39" i="13"/>
  <c r="N43" i="13"/>
  <c r="N45" i="13"/>
  <c r="N26" i="13"/>
  <c r="L247" i="13"/>
  <c r="L230" i="13"/>
  <c r="L232" i="13"/>
  <c r="L237" i="13"/>
  <c r="L229" i="13"/>
  <c r="L235" i="13"/>
  <c r="N185" i="13"/>
  <c r="D199" i="13"/>
  <c r="L206" i="13"/>
  <c r="N200" i="13"/>
  <c r="N206" i="13" s="1"/>
  <c r="G248" i="13"/>
  <c r="G219" i="13"/>
  <c r="I248" i="13"/>
  <c r="I219" i="13"/>
  <c r="M264" i="13"/>
  <c r="H248" i="13"/>
  <c r="L249" i="13"/>
  <c r="L251" i="13"/>
  <c r="L259" i="13"/>
  <c r="N5" i="13"/>
  <c r="N6" i="13"/>
  <c r="N8" i="13"/>
  <c r="N9" i="13"/>
  <c r="N10" i="13"/>
  <c r="N11" i="13"/>
  <c r="N14" i="13"/>
  <c r="N24" i="13"/>
  <c r="N183" i="13"/>
  <c r="G268" i="13"/>
  <c r="I268" i="13"/>
  <c r="M248" i="13"/>
  <c r="M219" i="13"/>
  <c r="L216" i="13"/>
  <c r="N208" i="13"/>
  <c r="N216" i="13" s="1"/>
  <c r="G264" i="13"/>
  <c r="I264" i="13"/>
  <c r="D219" i="13"/>
  <c r="L234" i="13"/>
  <c r="L242" i="13"/>
  <c r="L245" i="13"/>
  <c r="L265" i="13"/>
  <c r="L266" i="13"/>
  <c r="L183" i="13"/>
  <c r="K236" i="12"/>
  <c r="N137" i="13" l="1"/>
  <c r="F89" i="13"/>
  <c r="F220" i="13" s="1"/>
  <c r="F269" i="13" s="1"/>
  <c r="F348" i="13"/>
  <c r="F325" i="13"/>
  <c r="K220" i="13"/>
  <c r="K269" i="13" s="1"/>
  <c r="F248" i="13"/>
  <c r="N33" i="13"/>
  <c r="L33" i="13"/>
  <c r="L244" i="13"/>
  <c r="J220" i="13"/>
  <c r="J269" i="13" s="1"/>
  <c r="I220" i="13"/>
  <c r="I269" i="13" s="1"/>
  <c r="G220" i="13"/>
  <c r="G269" i="13" s="1"/>
  <c r="D220" i="13"/>
  <c r="D269" i="13" s="1"/>
  <c r="H220" i="13"/>
  <c r="H269" i="13" s="1"/>
  <c r="N144" i="13"/>
  <c r="L25" i="13"/>
  <c r="L238" i="13" s="1"/>
  <c r="M220" i="13"/>
  <c r="M269" i="13" s="1"/>
  <c r="N193" i="13"/>
  <c r="L175" i="13"/>
  <c r="L180" i="13" s="1"/>
  <c r="L256" i="13"/>
  <c r="L252" i="13"/>
  <c r="N157" i="13"/>
  <c r="L246" i="13"/>
  <c r="L197" i="13"/>
  <c r="L268" i="13" s="1"/>
  <c r="L243" i="13"/>
  <c r="L263" i="13"/>
  <c r="N194" i="13"/>
  <c r="N197" i="13" s="1"/>
  <c r="L193" i="13"/>
  <c r="N97" i="13"/>
  <c r="N175" i="13"/>
  <c r="N180" i="13" s="1"/>
  <c r="L97" i="13"/>
  <c r="L154" i="13"/>
  <c r="L157" i="13" s="1"/>
  <c r="L239" i="13"/>
  <c r="E220" i="13"/>
  <c r="E269" i="13" s="1"/>
  <c r="L267" i="13"/>
  <c r="E268" i="13"/>
  <c r="L121" i="13"/>
  <c r="L136" i="13" s="1"/>
  <c r="N115" i="13"/>
  <c r="N121" i="13" s="1"/>
  <c r="N136" i="13" s="1"/>
  <c r="L109" i="13"/>
  <c r="L114" i="13" s="1"/>
  <c r="N99" i="13"/>
  <c r="N109" i="13" s="1"/>
  <c r="L254" i="13"/>
  <c r="L260" i="13"/>
  <c r="N77" i="13"/>
  <c r="L77" i="13"/>
  <c r="L262" i="13"/>
  <c r="N62" i="13"/>
  <c r="L258" i="13"/>
  <c r="L250" i="13"/>
  <c r="L49" i="13"/>
  <c r="N35" i="13"/>
  <c r="N49" i="13" s="1"/>
  <c r="L236" i="13"/>
  <c r="N219" i="13"/>
  <c r="N25" i="13"/>
  <c r="L219" i="13"/>
  <c r="D247" i="12"/>
  <c r="E247" i="12"/>
  <c r="F247" i="12"/>
  <c r="G247" i="12"/>
  <c r="H247" i="12"/>
  <c r="I247" i="12"/>
  <c r="K247" i="12"/>
  <c r="E232" i="12"/>
  <c r="F232" i="12"/>
  <c r="G232" i="12"/>
  <c r="H232" i="12"/>
  <c r="I232" i="12"/>
  <c r="K232" i="12"/>
  <c r="D232" i="12"/>
  <c r="F349" i="13" l="1"/>
  <c r="F299" i="13"/>
  <c r="F354" i="13"/>
  <c r="L199" i="13"/>
  <c r="L248" i="13"/>
  <c r="N114" i="13"/>
  <c r="N199" i="13"/>
  <c r="L264" i="13"/>
  <c r="N89" i="13"/>
  <c r="L89" i="13"/>
  <c r="L220" i="13" s="1"/>
  <c r="L269" i="13" s="1"/>
  <c r="J7" i="12"/>
  <c r="L7" i="12" s="1"/>
  <c r="E219" i="12"/>
  <c r="J217" i="12"/>
  <c r="L217" i="12" s="1"/>
  <c r="E263" i="12"/>
  <c r="J211" i="12"/>
  <c r="L211" i="12" s="1"/>
  <c r="J209" i="12"/>
  <c r="L209" i="12" s="1"/>
  <c r="E249" i="12"/>
  <c r="J205" i="12"/>
  <c r="J203" i="12"/>
  <c r="J201" i="12"/>
  <c r="J181" i="12"/>
  <c r="L181" i="12" s="1"/>
  <c r="J179" i="12"/>
  <c r="L179" i="12" s="1"/>
  <c r="J177" i="12"/>
  <c r="L177" i="12" s="1"/>
  <c r="J173" i="12"/>
  <c r="L173" i="12" s="1"/>
  <c r="J171" i="12"/>
  <c r="L171" i="12" s="1"/>
  <c r="J169" i="12"/>
  <c r="L169" i="12" s="1"/>
  <c r="J167" i="12"/>
  <c r="L167" i="12" s="1"/>
  <c r="J165" i="12"/>
  <c r="L165" i="12" s="1"/>
  <c r="J153" i="12"/>
  <c r="L153" i="12" s="1"/>
  <c r="J147" i="12"/>
  <c r="L147" i="12" s="1"/>
  <c r="J145" i="12"/>
  <c r="L145" i="12" s="1"/>
  <c r="J135" i="12"/>
  <c r="L135" i="12" s="1"/>
  <c r="J133" i="12"/>
  <c r="L133" i="12" s="1"/>
  <c r="J119" i="12"/>
  <c r="L119" i="12" s="1"/>
  <c r="J117" i="12"/>
  <c r="L117" i="12" s="1"/>
  <c r="J115" i="12"/>
  <c r="J107" i="12"/>
  <c r="L107" i="12" s="1"/>
  <c r="J105" i="12"/>
  <c r="L105" i="12" s="1"/>
  <c r="J101" i="12"/>
  <c r="L101" i="12" s="1"/>
  <c r="J99" i="12"/>
  <c r="J87" i="12"/>
  <c r="L87" i="12" s="1"/>
  <c r="J85" i="12"/>
  <c r="L85" i="12" s="1"/>
  <c r="J83" i="12"/>
  <c r="L83" i="12" s="1"/>
  <c r="J81" i="12"/>
  <c r="L81" i="12" s="1"/>
  <c r="J79" i="12"/>
  <c r="L79" i="12" s="1"/>
  <c r="J75" i="12"/>
  <c r="L75" i="12" s="1"/>
  <c r="J73" i="12"/>
  <c r="L73" i="12" s="1"/>
  <c r="J71" i="12"/>
  <c r="L71" i="12" s="1"/>
  <c r="J69" i="12"/>
  <c r="L69" i="12" s="1"/>
  <c r="E241" i="12"/>
  <c r="J51" i="12"/>
  <c r="L51" i="12" s="1"/>
  <c r="E244" i="12"/>
  <c r="E268" i="12"/>
  <c r="K267" i="12"/>
  <c r="I267" i="12"/>
  <c r="H267" i="12"/>
  <c r="G267" i="12"/>
  <c r="F267" i="12"/>
  <c r="E267" i="12"/>
  <c r="D267" i="12"/>
  <c r="K266" i="12"/>
  <c r="I266" i="12"/>
  <c r="H266" i="12"/>
  <c r="G266" i="12"/>
  <c r="F266" i="12"/>
  <c r="D266" i="12"/>
  <c r="K265" i="12"/>
  <c r="I265" i="12"/>
  <c r="H265" i="12"/>
  <c r="G265" i="12"/>
  <c r="F265" i="12"/>
  <c r="E265" i="12"/>
  <c r="D265" i="12"/>
  <c r="K263" i="12"/>
  <c r="I263" i="12"/>
  <c r="H263" i="12"/>
  <c r="G263" i="12"/>
  <c r="F263" i="12"/>
  <c r="D263" i="12"/>
  <c r="K262" i="12"/>
  <c r="I262" i="12"/>
  <c r="H262" i="12"/>
  <c r="G262" i="12"/>
  <c r="F262" i="12"/>
  <c r="D262" i="12"/>
  <c r="K261" i="12"/>
  <c r="I261" i="12"/>
  <c r="H261" i="12"/>
  <c r="G261" i="12"/>
  <c r="F261" i="12"/>
  <c r="E261" i="12"/>
  <c r="D261" i="12"/>
  <c r="K260" i="12"/>
  <c r="I260" i="12"/>
  <c r="H260" i="12"/>
  <c r="G260" i="12"/>
  <c r="F260" i="12"/>
  <c r="D260" i="12"/>
  <c r="K259" i="12"/>
  <c r="I259" i="12"/>
  <c r="H259" i="12"/>
  <c r="G259" i="12"/>
  <c r="D259" i="12"/>
  <c r="K258" i="12"/>
  <c r="I258" i="12"/>
  <c r="H258" i="12"/>
  <c r="G258" i="12"/>
  <c r="D258" i="12"/>
  <c r="K257" i="12"/>
  <c r="I257" i="12"/>
  <c r="H257" i="12"/>
  <c r="G257" i="12"/>
  <c r="F257" i="12"/>
  <c r="E257" i="12"/>
  <c r="D257" i="12"/>
  <c r="K256" i="12"/>
  <c r="I256" i="12"/>
  <c r="H256" i="12"/>
  <c r="G256" i="12"/>
  <c r="F256" i="12"/>
  <c r="D256" i="12"/>
  <c r="K255" i="12"/>
  <c r="I255" i="12"/>
  <c r="H255" i="12"/>
  <c r="G255" i="12"/>
  <c r="F255" i="12"/>
  <c r="E255" i="12"/>
  <c r="D255" i="12"/>
  <c r="K254" i="12"/>
  <c r="I254" i="12"/>
  <c r="H254" i="12"/>
  <c r="G254" i="12"/>
  <c r="F254" i="12"/>
  <c r="D254" i="12"/>
  <c r="K253" i="12"/>
  <c r="I253" i="12"/>
  <c r="H253" i="12"/>
  <c r="G253" i="12"/>
  <c r="F253" i="12"/>
  <c r="D253" i="12"/>
  <c r="K252" i="12"/>
  <c r="I252" i="12"/>
  <c r="H252" i="12"/>
  <c r="G252" i="12"/>
  <c r="F252" i="12"/>
  <c r="D252" i="12"/>
  <c r="K251" i="12"/>
  <c r="I251" i="12"/>
  <c r="H251" i="12"/>
  <c r="G251" i="12"/>
  <c r="F251" i="12"/>
  <c r="E251" i="12"/>
  <c r="D251" i="12"/>
  <c r="K250" i="12"/>
  <c r="I250" i="12"/>
  <c r="H250" i="12"/>
  <c r="G250" i="12"/>
  <c r="F250" i="12"/>
  <c r="D250" i="12"/>
  <c r="K249" i="12"/>
  <c r="I249" i="12"/>
  <c r="H249" i="12"/>
  <c r="G249" i="12"/>
  <c r="F249" i="12"/>
  <c r="D249" i="12"/>
  <c r="K246" i="12"/>
  <c r="I246" i="12"/>
  <c r="H246" i="12"/>
  <c r="G246" i="12"/>
  <c r="F246" i="12"/>
  <c r="E246" i="12"/>
  <c r="D246" i="12"/>
  <c r="K245" i="12"/>
  <c r="I245" i="12"/>
  <c r="H245" i="12"/>
  <c r="G245" i="12"/>
  <c r="F245" i="12"/>
  <c r="D245" i="12"/>
  <c r="K244" i="12"/>
  <c r="I244" i="12"/>
  <c r="H244" i="12"/>
  <c r="G244" i="12"/>
  <c r="F244" i="12"/>
  <c r="D244" i="12"/>
  <c r="K243" i="12"/>
  <c r="I243" i="12"/>
  <c r="H243" i="12"/>
  <c r="G243" i="12"/>
  <c r="F243" i="12"/>
  <c r="D243" i="12"/>
  <c r="K242" i="12"/>
  <c r="I242" i="12"/>
  <c r="H242" i="12"/>
  <c r="G242" i="12"/>
  <c r="F242" i="12"/>
  <c r="E242" i="12"/>
  <c r="D242" i="12"/>
  <c r="K241" i="12"/>
  <c r="I241" i="12"/>
  <c r="H241" i="12"/>
  <c r="G241" i="12"/>
  <c r="F241" i="12"/>
  <c r="D241" i="12"/>
  <c r="K240" i="12"/>
  <c r="I240" i="12"/>
  <c r="H240" i="12"/>
  <c r="G240" i="12"/>
  <c r="F240" i="12"/>
  <c r="E240" i="12"/>
  <c r="D240" i="12"/>
  <c r="K239" i="12"/>
  <c r="H239" i="12"/>
  <c r="G239" i="12"/>
  <c r="F239" i="12"/>
  <c r="D239" i="12"/>
  <c r="K237" i="12"/>
  <c r="I237" i="12"/>
  <c r="H237" i="12"/>
  <c r="G237" i="12"/>
  <c r="F237" i="12"/>
  <c r="E237" i="12"/>
  <c r="D237" i="12"/>
  <c r="I236" i="12"/>
  <c r="H236" i="12"/>
  <c r="G236" i="12"/>
  <c r="F236" i="12"/>
  <c r="E236" i="12"/>
  <c r="D236" i="12"/>
  <c r="K235" i="12"/>
  <c r="I235" i="12"/>
  <c r="H235" i="12"/>
  <c r="G235" i="12"/>
  <c r="F235" i="12"/>
  <c r="E235" i="12"/>
  <c r="D235" i="12"/>
  <c r="K234" i="12"/>
  <c r="I234" i="12"/>
  <c r="H234" i="12"/>
  <c r="G234" i="12"/>
  <c r="F234" i="12"/>
  <c r="E234" i="12"/>
  <c r="D234" i="12"/>
  <c r="K233" i="12"/>
  <c r="I233" i="12"/>
  <c r="H233" i="12"/>
  <c r="G233" i="12"/>
  <c r="F233" i="12"/>
  <c r="E233" i="12"/>
  <c r="D233" i="12"/>
  <c r="K231" i="12"/>
  <c r="I231" i="12"/>
  <c r="H231" i="12"/>
  <c r="G231" i="12"/>
  <c r="F231" i="12"/>
  <c r="E231" i="12"/>
  <c r="D231" i="12"/>
  <c r="K230" i="12"/>
  <c r="I230" i="12"/>
  <c r="H230" i="12"/>
  <c r="G230" i="12"/>
  <c r="F230" i="12"/>
  <c r="E230" i="12"/>
  <c r="D230" i="12"/>
  <c r="K229" i="12"/>
  <c r="I229" i="12"/>
  <c r="H229" i="12"/>
  <c r="G229" i="12"/>
  <c r="F229" i="12"/>
  <c r="E229" i="12"/>
  <c r="D229" i="12"/>
  <c r="J218" i="12"/>
  <c r="L218" i="12" s="1"/>
  <c r="K216" i="12"/>
  <c r="I216" i="12"/>
  <c r="H216" i="12"/>
  <c r="G216" i="12"/>
  <c r="F216" i="12"/>
  <c r="D216" i="12"/>
  <c r="J214" i="12"/>
  <c r="J212" i="12"/>
  <c r="L212" i="12" s="1"/>
  <c r="J210" i="12"/>
  <c r="J208" i="12"/>
  <c r="L208" i="12" s="1"/>
  <c r="K206" i="12"/>
  <c r="K219" i="12" s="1"/>
  <c r="I206" i="12"/>
  <c r="H206" i="12"/>
  <c r="G206" i="12"/>
  <c r="F206" i="12"/>
  <c r="D206" i="12"/>
  <c r="J204" i="12"/>
  <c r="J202" i="12"/>
  <c r="J200" i="12"/>
  <c r="J198" i="12"/>
  <c r="K197" i="12"/>
  <c r="I197" i="12"/>
  <c r="H197" i="12"/>
  <c r="G197" i="12"/>
  <c r="F197" i="12"/>
  <c r="D197" i="12"/>
  <c r="J196" i="12"/>
  <c r="J194" i="12"/>
  <c r="K193" i="12"/>
  <c r="I193" i="12"/>
  <c r="H193" i="12"/>
  <c r="G193" i="12"/>
  <c r="F193" i="12"/>
  <c r="D193" i="12"/>
  <c r="J192" i="12"/>
  <c r="L192" i="12" s="1"/>
  <c r="J191" i="12"/>
  <c r="L191" i="12" s="1"/>
  <c r="J190" i="12"/>
  <c r="L190" i="12" s="1"/>
  <c r="J189" i="12"/>
  <c r="L189" i="12" s="1"/>
  <c r="J188" i="12"/>
  <c r="J187" i="12"/>
  <c r="J186" i="12"/>
  <c r="J185" i="12"/>
  <c r="J184" i="12"/>
  <c r="L184" i="12" s="1"/>
  <c r="K183" i="12"/>
  <c r="I183" i="12"/>
  <c r="H183" i="12"/>
  <c r="G183" i="12"/>
  <c r="F183" i="12"/>
  <c r="D183" i="12"/>
  <c r="J182" i="12"/>
  <c r="L182" i="12" s="1"/>
  <c r="J178" i="12"/>
  <c r="L178" i="12" s="1"/>
  <c r="J176" i="12"/>
  <c r="L176" i="12" s="1"/>
  <c r="K175" i="12"/>
  <c r="I175" i="12"/>
  <c r="H175" i="12"/>
  <c r="G175" i="12"/>
  <c r="F175" i="12"/>
  <c r="D175" i="12"/>
  <c r="J174" i="12"/>
  <c r="L174" i="12" s="1"/>
  <c r="J172" i="12"/>
  <c r="L172" i="12" s="1"/>
  <c r="J170" i="12"/>
  <c r="L170" i="12" s="1"/>
  <c r="J168" i="12"/>
  <c r="L168" i="12" s="1"/>
  <c r="J166" i="12"/>
  <c r="K164" i="12"/>
  <c r="I164" i="12"/>
  <c r="H164" i="12"/>
  <c r="G164" i="12"/>
  <c r="F164" i="12"/>
  <c r="D164" i="12"/>
  <c r="J163" i="12"/>
  <c r="J162" i="12"/>
  <c r="L162" i="12" s="1"/>
  <c r="J161" i="12"/>
  <c r="L161" i="12" s="1"/>
  <c r="J160" i="12"/>
  <c r="L160" i="12" s="1"/>
  <c r="J159" i="12"/>
  <c r="L159" i="12" s="1"/>
  <c r="J158" i="12"/>
  <c r="J156" i="12"/>
  <c r="L156" i="12" s="1"/>
  <c r="J155" i="12"/>
  <c r="L155" i="12" s="1"/>
  <c r="K154" i="12"/>
  <c r="I154" i="12"/>
  <c r="H154" i="12"/>
  <c r="G154" i="12"/>
  <c r="F154" i="12"/>
  <c r="D154" i="12"/>
  <c r="J152" i="12"/>
  <c r="L152" i="12" s="1"/>
  <c r="J150" i="12"/>
  <c r="L150" i="12" s="1"/>
  <c r="J148" i="12"/>
  <c r="L148" i="12" s="1"/>
  <c r="J146" i="12"/>
  <c r="K144" i="12"/>
  <c r="K157" i="12" s="1"/>
  <c r="I144" i="12"/>
  <c r="H144" i="12"/>
  <c r="G144" i="12"/>
  <c r="F144" i="12"/>
  <c r="F157" i="12" s="1"/>
  <c r="D144" i="12"/>
  <c r="J143" i="12"/>
  <c r="L143" i="12" s="1"/>
  <c r="J142" i="12"/>
  <c r="L142" i="12" s="1"/>
  <c r="J141" i="12"/>
  <c r="L141" i="12" s="1"/>
  <c r="J140" i="12"/>
  <c r="L140" i="12" s="1"/>
  <c r="J139" i="12"/>
  <c r="L139" i="12" s="1"/>
  <c r="J138" i="12"/>
  <c r="L138" i="12" s="1"/>
  <c r="J137" i="12"/>
  <c r="J134" i="12"/>
  <c r="L134" i="12" s="1"/>
  <c r="J132" i="12"/>
  <c r="L132" i="12" s="1"/>
  <c r="K131" i="12"/>
  <c r="I131" i="12"/>
  <c r="H131" i="12"/>
  <c r="G131" i="12"/>
  <c r="F131" i="12"/>
  <c r="D131" i="12"/>
  <c r="J130" i="12"/>
  <c r="L130" i="12" s="1"/>
  <c r="J129" i="12"/>
  <c r="L129" i="12" s="1"/>
  <c r="J128" i="12"/>
  <c r="L128" i="12" s="1"/>
  <c r="J127" i="12"/>
  <c r="L127" i="12" s="1"/>
  <c r="J126" i="12"/>
  <c r="L126" i="12" s="1"/>
  <c r="J125" i="12"/>
  <c r="L125" i="12" s="1"/>
  <c r="J124" i="12"/>
  <c r="L124" i="12" s="1"/>
  <c r="J123" i="12"/>
  <c r="J122" i="12"/>
  <c r="L122" i="12" s="1"/>
  <c r="K121" i="12"/>
  <c r="I121" i="12"/>
  <c r="H121" i="12"/>
  <c r="G121" i="12"/>
  <c r="F121" i="12"/>
  <c r="D121" i="12"/>
  <c r="J120" i="12"/>
  <c r="L120" i="12" s="1"/>
  <c r="J118" i="12"/>
  <c r="L118" i="12" s="1"/>
  <c r="J116" i="12"/>
  <c r="L116" i="12" s="1"/>
  <c r="J113" i="12"/>
  <c r="L113" i="12" s="1"/>
  <c r="J112" i="12"/>
  <c r="L112" i="12" s="1"/>
  <c r="J111" i="12"/>
  <c r="L111" i="12" s="1"/>
  <c r="J110" i="12"/>
  <c r="L110" i="12" s="1"/>
  <c r="K109" i="12"/>
  <c r="I109" i="12"/>
  <c r="H109" i="12"/>
  <c r="G109" i="12"/>
  <c r="F109" i="12"/>
  <c r="D109" i="12"/>
  <c r="J108" i="12"/>
  <c r="L108" i="12" s="1"/>
  <c r="J106" i="12"/>
  <c r="L106" i="12" s="1"/>
  <c r="J104" i="12"/>
  <c r="L104" i="12" s="1"/>
  <c r="J102" i="12"/>
  <c r="L102" i="12" s="1"/>
  <c r="J100" i="12"/>
  <c r="L100" i="12" s="1"/>
  <c r="J98" i="12"/>
  <c r="L98" i="12" s="1"/>
  <c r="K97" i="12"/>
  <c r="I97" i="12"/>
  <c r="H97" i="12"/>
  <c r="H114" i="12" s="1"/>
  <c r="G97" i="12"/>
  <c r="F97" i="12"/>
  <c r="D97" i="12"/>
  <c r="J96" i="12"/>
  <c r="L96" i="12" s="1"/>
  <c r="J95" i="12"/>
  <c r="L95" i="12" s="1"/>
  <c r="J94" i="12"/>
  <c r="L94" i="12" s="1"/>
  <c r="J93" i="12"/>
  <c r="L93" i="12" s="1"/>
  <c r="J92" i="12"/>
  <c r="L92" i="12" s="1"/>
  <c r="J91" i="12"/>
  <c r="L91" i="12" s="1"/>
  <c r="J90" i="12"/>
  <c r="J88" i="12"/>
  <c r="L88" i="12" s="1"/>
  <c r="J86" i="12"/>
  <c r="L86" i="12" s="1"/>
  <c r="J84" i="12"/>
  <c r="L84" i="12" s="1"/>
  <c r="J82" i="12"/>
  <c r="L82" i="12" s="1"/>
  <c r="K80" i="12"/>
  <c r="I80" i="12"/>
  <c r="H80" i="12"/>
  <c r="G80" i="12"/>
  <c r="F80" i="12"/>
  <c r="D80" i="12"/>
  <c r="J78" i="12"/>
  <c r="K77" i="12"/>
  <c r="I77" i="12"/>
  <c r="H77" i="12"/>
  <c r="G77" i="12"/>
  <c r="D77" i="12"/>
  <c r="J76" i="12"/>
  <c r="L76" i="12" s="1"/>
  <c r="J74" i="12"/>
  <c r="L74" i="12" s="1"/>
  <c r="F258" i="12"/>
  <c r="J70" i="12"/>
  <c r="L70" i="12" s="1"/>
  <c r="J68" i="12"/>
  <c r="L68" i="12" s="1"/>
  <c r="J67" i="12"/>
  <c r="L67" i="12" s="1"/>
  <c r="J66" i="12"/>
  <c r="L66" i="12" s="1"/>
  <c r="J65" i="12"/>
  <c r="L65" i="12" s="1"/>
  <c r="J64" i="12"/>
  <c r="L64" i="12" s="1"/>
  <c r="J63" i="12"/>
  <c r="L63" i="12" s="1"/>
  <c r="K62" i="12"/>
  <c r="H62" i="12"/>
  <c r="G62" i="12"/>
  <c r="F62" i="12"/>
  <c r="D62" i="12"/>
  <c r="J61" i="12"/>
  <c r="L61" i="12" s="1"/>
  <c r="J60" i="12"/>
  <c r="L60" i="12" s="1"/>
  <c r="J59" i="12"/>
  <c r="L59" i="12" s="1"/>
  <c r="J58" i="12"/>
  <c r="L58" i="12" s="1"/>
  <c r="J57" i="12"/>
  <c r="L57" i="12" s="1"/>
  <c r="J56" i="12"/>
  <c r="L56" i="12" s="1"/>
  <c r="J55" i="12"/>
  <c r="J241" i="12" s="1"/>
  <c r="J54" i="12"/>
  <c r="J240" i="12" s="1"/>
  <c r="K52" i="12"/>
  <c r="I52" i="12"/>
  <c r="H52" i="12"/>
  <c r="G52" i="12"/>
  <c r="F52" i="12"/>
  <c r="D52" i="12"/>
  <c r="J50" i="12"/>
  <c r="K49" i="12"/>
  <c r="I49" i="12"/>
  <c r="H49" i="12"/>
  <c r="G49" i="12"/>
  <c r="F49" i="12"/>
  <c r="D49" i="12"/>
  <c r="J48" i="12"/>
  <c r="L48" i="12" s="1"/>
  <c r="J47" i="12"/>
  <c r="L47" i="12" s="1"/>
  <c r="J46" i="12"/>
  <c r="J45" i="12"/>
  <c r="L45" i="12" s="1"/>
  <c r="J44" i="12"/>
  <c r="L44" i="12" s="1"/>
  <c r="J43" i="12"/>
  <c r="L43" i="12" s="1"/>
  <c r="J42" i="12"/>
  <c r="J41" i="12"/>
  <c r="L41" i="12" s="1"/>
  <c r="J40" i="12"/>
  <c r="L40" i="12" s="1"/>
  <c r="J39" i="12"/>
  <c r="L39" i="12" s="1"/>
  <c r="J38" i="12"/>
  <c r="L38" i="12" s="1"/>
  <c r="J37" i="12"/>
  <c r="L37" i="12" s="1"/>
  <c r="J36" i="12"/>
  <c r="L36" i="12" s="1"/>
  <c r="J35" i="12"/>
  <c r="J34" i="12"/>
  <c r="L34" i="12" s="1"/>
  <c r="K33" i="12"/>
  <c r="I33" i="12"/>
  <c r="H33" i="12"/>
  <c r="G33" i="12"/>
  <c r="F33" i="12"/>
  <c r="D33" i="12"/>
  <c r="J32" i="12"/>
  <c r="L32" i="12" s="1"/>
  <c r="J31" i="12"/>
  <c r="L31" i="12" s="1"/>
  <c r="J30" i="12"/>
  <c r="L30" i="12" s="1"/>
  <c r="J29" i="12"/>
  <c r="L29" i="12" s="1"/>
  <c r="J28" i="12"/>
  <c r="L28" i="12" s="1"/>
  <c r="J27" i="12"/>
  <c r="L27" i="12" s="1"/>
  <c r="J26" i="12"/>
  <c r="K25" i="12"/>
  <c r="K238" i="12" s="1"/>
  <c r="H25" i="12"/>
  <c r="H238" i="12" s="1"/>
  <c r="G25" i="12"/>
  <c r="G238" i="12" s="1"/>
  <c r="F25" i="12"/>
  <c r="F238" i="12" s="1"/>
  <c r="E25" i="12"/>
  <c r="E238" i="12" s="1"/>
  <c r="D25" i="12"/>
  <c r="D238" i="12" s="1"/>
  <c r="J24" i="12"/>
  <c r="J23" i="12"/>
  <c r="L23" i="12" s="1"/>
  <c r="J22" i="12"/>
  <c r="L22" i="12" s="1"/>
  <c r="J21" i="12"/>
  <c r="L21" i="12" s="1"/>
  <c r="J20" i="12"/>
  <c r="L20" i="12" s="1"/>
  <c r="J19" i="12"/>
  <c r="L19" i="12" s="1"/>
  <c r="J18" i="12"/>
  <c r="L18" i="12" s="1"/>
  <c r="J17" i="12"/>
  <c r="L17" i="12" s="1"/>
  <c r="J16" i="12"/>
  <c r="L16" i="12" s="1"/>
  <c r="J15" i="12"/>
  <c r="L15" i="12" s="1"/>
  <c r="J14" i="12"/>
  <c r="J13" i="12"/>
  <c r="L13" i="12" s="1"/>
  <c r="J12" i="12"/>
  <c r="L12" i="12" s="1"/>
  <c r="J11" i="12"/>
  <c r="J10" i="12"/>
  <c r="J9" i="12"/>
  <c r="J232" i="12" s="1"/>
  <c r="J8" i="12"/>
  <c r="J6" i="12"/>
  <c r="J5" i="12"/>
  <c r="I25" i="12"/>
  <c r="I238" i="12" s="1"/>
  <c r="H157" i="12" l="1"/>
  <c r="G219" i="12"/>
  <c r="N220" i="13"/>
  <c r="F136" i="12"/>
  <c r="H136" i="12"/>
  <c r="G136" i="12"/>
  <c r="F180" i="12"/>
  <c r="H180" i="12"/>
  <c r="K180" i="12"/>
  <c r="K268" i="12"/>
  <c r="F199" i="12"/>
  <c r="H199" i="12"/>
  <c r="F114" i="12"/>
  <c r="L163" i="12"/>
  <c r="J247" i="12"/>
  <c r="D180" i="12"/>
  <c r="G180" i="12"/>
  <c r="I180" i="12"/>
  <c r="D268" i="12"/>
  <c r="G268" i="12"/>
  <c r="I268" i="12"/>
  <c r="D114" i="12"/>
  <c r="D157" i="12"/>
  <c r="I264" i="12"/>
  <c r="D89" i="12"/>
  <c r="G89" i="12"/>
  <c r="D136" i="12"/>
  <c r="I136" i="12"/>
  <c r="J175" i="12"/>
  <c r="D199" i="12"/>
  <c r="G199" i="12"/>
  <c r="I199" i="12"/>
  <c r="K114" i="12"/>
  <c r="K136" i="12"/>
  <c r="K89" i="12"/>
  <c r="J33" i="12"/>
  <c r="L54" i="12"/>
  <c r="L55" i="12"/>
  <c r="L166" i="12"/>
  <c r="L175" i="12" s="1"/>
  <c r="J121" i="12"/>
  <c r="J80" i="12"/>
  <c r="L78" i="12"/>
  <c r="L80" i="12" s="1"/>
  <c r="J131" i="12"/>
  <c r="L123" i="12"/>
  <c r="L131" i="12" s="1"/>
  <c r="J164" i="12"/>
  <c r="J180" i="12" s="1"/>
  <c r="L158" i="12"/>
  <c r="L164" i="12" s="1"/>
  <c r="E250" i="12"/>
  <c r="E252" i="12"/>
  <c r="E264" i="12"/>
  <c r="E256" i="12"/>
  <c r="J149" i="12"/>
  <c r="L149" i="12" s="1"/>
  <c r="E259" i="12"/>
  <c r="J151" i="12"/>
  <c r="L151" i="12" s="1"/>
  <c r="E260" i="12"/>
  <c r="L26" i="12"/>
  <c r="L33" i="12" s="1"/>
  <c r="E248" i="12"/>
  <c r="L115" i="12"/>
  <c r="L121" i="12" s="1"/>
  <c r="J207" i="12"/>
  <c r="J249" i="12" s="1"/>
  <c r="J213" i="12"/>
  <c r="L213" i="12" s="1"/>
  <c r="J215" i="12"/>
  <c r="J263" i="12" s="1"/>
  <c r="E239" i="12"/>
  <c r="E253" i="12"/>
  <c r="E254" i="12"/>
  <c r="J103" i="12"/>
  <c r="L103" i="12" s="1"/>
  <c r="E220" i="12"/>
  <c r="E269" i="12" s="1"/>
  <c r="E243" i="12"/>
  <c r="E245" i="12"/>
  <c r="L183" i="12"/>
  <c r="E258" i="12"/>
  <c r="E262" i="12"/>
  <c r="E266" i="12"/>
  <c r="J195" i="12"/>
  <c r="L195" i="12" s="1"/>
  <c r="J229" i="12"/>
  <c r="L5" i="12"/>
  <c r="J231" i="12"/>
  <c r="L8" i="12"/>
  <c r="J233" i="12"/>
  <c r="L10" i="12"/>
  <c r="J236" i="12"/>
  <c r="J234" i="12"/>
  <c r="L14" i="12"/>
  <c r="J237" i="12"/>
  <c r="L24" i="12"/>
  <c r="J25" i="12"/>
  <c r="J238" i="12" s="1"/>
  <c r="J257" i="12"/>
  <c r="L42" i="12"/>
  <c r="J261" i="12"/>
  <c r="L46" i="12"/>
  <c r="F259" i="12"/>
  <c r="J72" i="12"/>
  <c r="L72" i="12" s="1"/>
  <c r="L77" i="12" s="1"/>
  <c r="J97" i="12"/>
  <c r="L90" i="12"/>
  <c r="L97" i="12" s="1"/>
  <c r="L99" i="12"/>
  <c r="J144" i="12"/>
  <c r="L137" i="12"/>
  <c r="L144" i="12" s="1"/>
  <c r="L146" i="12"/>
  <c r="J255" i="12"/>
  <c r="L186" i="12"/>
  <c r="L188" i="12"/>
  <c r="K264" i="12"/>
  <c r="J265" i="12"/>
  <c r="L198" i="12"/>
  <c r="J206" i="12"/>
  <c r="L200" i="12"/>
  <c r="J243" i="12"/>
  <c r="L202" i="12"/>
  <c r="J245" i="12"/>
  <c r="L204" i="12"/>
  <c r="D248" i="12"/>
  <c r="D219" i="12"/>
  <c r="J260" i="12"/>
  <c r="G248" i="12"/>
  <c r="J230" i="12"/>
  <c r="L6" i="12"/>
  <c r="L9" i="12"/>
  <c r="J235" i="12"/>
  <c r="L11" i="12"/>
  <c r="H89" i="12"/>
  <c r="J49" i="12"/>
  <c r="L35" i="12"/>
  <c r="J52" i="12"/>
  <c r="L50" i="12"/>
  <c r="L52" i="12" s="1"/>
  <c r="I239" i="12"/>
  <c r="I62" i="12"/>
  <c r="I89" i="12" s="1"/>
  <c r="J53" i="12"/>
  <c r="F77" i="12"/>
  <c r="F89" i="12" s="1"/>
  <c r="G114" i="12"/>
  <c r="I114" i="12"/>
  <c r="G157" i="12"/>
  <c r="I157" i="12"/>
  <c r="J183" i="12"/>
  <c r="K199" i="12"/>
  <c r="J251" i="12"/>
  <c r="J193" i="12"/>
  <c r="L185" i="12"/>
  <c r="J258" i="12"/>
  <c r="L187" i="12"/>
  <c r="G264" i="12"/>
  <c r="L194" i="12"/>
  <c r="J267" i="12"/>
  <c r="L196" i="12"/>
  <c r="I219" i="12"/>
  <c r="K248" i="12"/>
  <c r="J250" i="12"/>
  <c r="J252" i="12"/>
  <c r="F268" i="12"/>
  <c r="H268" i="12"/>
  <c r="J242" i="12"/>
  <c r="L201" i="12"/>
  <c r="J244" i="12"/>
  <c r="L203" i="12"/>
  <c r="J246" i="12"/>
  <c r="L205" i="12"/>
  <c r="F248" i="12"/>
  <c r="H248" i="12"/>
  <c r="J253" i="12"/>
  <c r="L210" i="12"/>
  <c r="J262" i="12"/>
  <c r="L214" i="12"/>
  <c r="D264" i="12"/>
  <c r="H264" i="12"/>
  <c r="F219" i="12"/>
  <c r="H219" i="12"/>
  <c r="L245" i="11"/>
  <c r="F44" i="11"/>
  <c r="F43" i="11"/>
  <c r="F11" i="11"/>
  <c r="F13" i="11"/>
  <c r="F308" i="11" l="1"/>
  <c r="J197" i="12"/>
  <c r="L207" i="12"/>
  <c r="J254" i="12"/>
  <c r="J109" i="12"/>
  <c r="J114" i="12" s="1"/>
  <c r="F264" i="12"/>
  <c r="D220" i="12"/>
  <c r="D269" i="12" s="1"/>
  <c r="G220" i="12"/>
  <c r="G269" i="12" s="1"/>
  <c r="J77" i="12"/>
  <c r="L154" i="12"/>
  <c r="I220" i="12"/>
  <c r="I269" i="12" s="1"/>
  <c r="K220" i="12"/>
  <c r="K269" i="12" s="1"/>
  <c r="I248" i="12"/>
  <c r="J256" i="12"/>
  <c r="J266" i="12"/>
  <c r="J154" i="12"/>
  <c r="J157" i="12" s="1"/>
  <c r="L180" i="12"/>
  <c r="J216" i="12"/>
  <c r="L215" i="12"/>
  <c r="L216" i="12" s="1"/>
  <c r="L136" i="12"/>
  <c r="J136" i="12"/>
  <c r="L197" i="12"/>
  <c r="J62" i="12"/>
  <c r="J248" i="12" s="1"/>
  <c r="L53" i="12"/>
  <c r="L62" i="12" s="1"/>
  <c r="F220" i="12"/>
  <c r="F269" i="12" s="1"/>
  <c r="J219" i="12"/>
  <c r="J268" i="12"/>
  <c r="L193" i="12"/>
  <c r="J199" i="12"/>
  <c r="L49" i="12"/>
  <c r="H220" i="12"/>
  <c r="H269" i="12" s="1"/>
  <c r="J239" i="12"/>
  <c r="L206" i="12"/>
  <c r="J259" i="12"/>
  <c r="L157" i="12"/>
  <c r="L109" i="12"/>
  <c r="L114" i="12" s="1"/>
  <c r="L25" i="12"/>
  <c r="F103" i="11"/>
  <c r="F101" i="11"/>
  <c r="F100" i="11"/>
  <c r="F99" i="11"/>
  <c r="F98" i="11"/>
  <c r="F147" i="11"/>
  <c r="F146" i="11"/>
  <c r="J264" i="12" l="1"/>
  <c r="L219" i="12"/>
  <c r="L89" i="12"/>
  <c r="L199" i="12"/>
  <c r="J89" i="12"/>
  <c r="F162" i="11"/>
  <c r="F157" i="11"/>
  <c r="F142" i="11"/>
  <c r="F136" i="11"/>
  <c r="F119" i="11"/>
  <c r="F114" i="11"/>
  <c r="F95" i="11"/>
  <c r="F89" i="11"/>
  <c r="J220" i="12" l="1"/>
  <c r="J269" i="12" s="1"/>
  <c r="L220" i="12"/>
  <c r="F275" i="11"/>
  <c r="H228" i="11"/>
  <c r="H229" i="11"/>
  <c r="H230" i="11"/>
  <c r="H231" i="11"/>
  <c r="H232" i="11"/>
  <c r="H233" i="11"/>
  <c r="H234" i="11"/>
  <c r="H235" i="11"/>
  <c r="H236" i="11"/>
  <c r="H238" i="11"/>
  <c r="H239" i="11"/>
  <c r="H240" i="11"/>
  <c r="H241" i="11"/>
  <c r="H242" i="11"/>
  <c r="H243" i="11"/>
  <c r="H244" i="11"/>
  <c r="H246" i="11"/>
  <c r="H249" i="11"/>
  <c r="H250" i="11"/>
  <c r="H251" i="11"/>
  <c r="H252" i="11"/>
  <c r="H253" i="11"/>
  <c r="H254" i="11"/>
  <c r="H255" i="11"/>
  <c r="H256" i="11"/>
  <c r="H257" i="11"/>
  <c r="H258" i="11"/>
  <c r="H259" i="11"/>
  <c r="H260" i="11"/>
  <c r="H261" i="11"/>
  <c r="H262" i="11"/>
  <c r="H264" i="11"/>
  <c r="H265" i="11"/>
  <c r="H266" i="11"/>
  <c r="H215" i="11"/>
  <c r="H205" i="11"/>
  <c r="H196" i="11"/>
  <c r="H192" i="11"/>
  <c r="H182" i="11"/>
  <c r="H174" i="11"/>
  <c r="H163" i="11"/>
  <c r="H153" i="11"/>
  <c r="H143" i="11"/>
  <c r="H132" i="11"/>
  <c r="H248" i="11" s="1"/>
  <c r="H131" i="11"/>
  <c r="H245" i="11" s="1"/>
  <c r="H130" i="11"/>
  <c r="H120" i="11"/>
  <c r="H108" i="11"/>
  <c r="H96" i="11"/>
  <c r="H24" i="11"/>
  <c r="H237" i="11" s="1"/>
  <c r="H32" i="11"/>
  <c r="H51" i="11"/>
  <c r="H48" i="11"/>
  <c r="H61" i="11"/>
  <c r="H76" i="11"/>
  <c r="H79" i="11"/>
  <c r="I7" i="11"/>
  <c r="H263" i="11" l="1"/>
  <c r="H113" i="11"/>
  <c r="H156" i="11"/>
  <c r="H179" i="11"/>
  <c r="H267" i="11"/>
  <c r="H218" i="11"/>
  <c r="H135" i="11"/>
  <c r="H198" i="11"/>
  <c r="H247" i="11"/>
  <c r="H88" i="11"/>
  <c r="F59" i="11"/>
  <c r="F52" i="11"/>
  <c r="F30" i="11"/>
  <c r="F25" i="11"/>
  <c r="H219" i="11" l="1"/>
  <c r="H268" i="11" s="1"/>
  <c r="F72" i="11"/>
  <c r="F214" i="11" l="1"/>
  <c r="F213" i="11"/>
  <c r="F212" i="11"/>
  <c r="F210" i="11"/>
  <c r="F209" i="11"/>
  <c r="F207" i="11"/>
  <c r="F351" i="11" l="1"/>
  <c r="F349" i="11"/>
  <c r="F345" i="11"/>
  <c r="F337" i="11"/>
  <c r="F335" i="11"/>
  <c r="F334" i="11"/>
  <c r="F333" i="11"/>
  <c r="F332" i="11"/>
  <c r="F350" i="11"/>
  <c r="F336" i="11"/>
  <c r="F330" i="11"/>
  <c r="F309" i="11" l="1"/>
  <c r="F102" i="11"/>
  <c r="F161" i="11"/>
  <c r="F118" i="11"/>
  <c r="F74" i="11"/>
  <c r="F317" i="11" l="1"/>
  <c r="F172" i="11"/>
  <c r="F167" i="11"/>
  <c r="F64" i="11"/>
  <c r="F274" i="11"/>
  <c r="J217" i="11"/>
  <c r="F217" i="11"/>
  <c r="J208" i="11"/>
  <c r="J209" i="11"/>
  <c r="J210" i="11"/>
  <c r="J211" i="11"/>
  <c r="J212" i="11"/>
  <c r="J213" i="11"/>
  <c r="J214" i="11"/>
  <c r="F208" i="11"/>
  <c r="F211" i="11"/>
  <c r="J200" i="11"/>
  <c r="J201" i="11"/>
  <c r="J202" i="11"/>
  <c r="J203" i="11"/>
  <c r="J204" i="11"/>
  <c r="F200" i="11"/>
  <c r="F201" i="11"/>
  <c r="F202" i="11"/>
  <c r="F203" i="11"/>
  <c r="F204" i="11"/>
  <c r="J194" i="11"/>
  <c r="J195" i="11"/>
  <c r="F194" i="11"/>
  <c r="F195" i="11"/>
  <c r="J185" i="11"/>
  <c r="J186" i="11"/>
  <c r="J187" i="11"/>
  <c r="J188" i="11"/>
  <c r="J189" i="11"/>
  <c r="J190" i="11"/>
  <c r="J191" i="11"/>
  <c r="F185" i="11"/>
  <c r="F186" i="11"/>
  <c r="F187" i="11"/>
  <c r="F188" i="11"/>
  <c r="F189" i="11"/>
  <c r="F190" i="11"/>
  <c r="F191" i="11"/>
  <c r="J181" i="11"/>
  <c r="F181" i="11"/>
  <c r="J176" i="11"/>
  <c r="J177" i="11"/>
  <c r="J178" i="11"/>
  <c r="F176" i="11"/>
  <c r="F177" i="11"/>
  <c r="F178" i="11"/>
  <c r="J166" i="11"/>
  <c r="J167" i="11"/>
  <c r="J168" i="11"/>
  <c r="J169" i="11"/>
  <c r="J170" i="11"/>
  <c r="J171" i="11"/>
  <c r="J172" i="11"/>
  <c r="J173" i="11"/>
  <c r="F166" i="11"/>
  <c r="F168" i="11"/>
  <c r="F169" i="11"/>
  <c r="F170" i="11"/>
  <c r="F171" i="11"/>
  <c r="F173" i="11"/>
  <c r="J158" i="11"/>
  <c r="J159" i="11"/>
  <c r="J160" i="11"/>
  <c r="J161" i="11"/>
  <c r="J162" i="11"/>
  <c r="F158" i="11"/>
  <c r="F159" i="11"/>
  <c r="F160" i="11"/>
  <c r="J155" i="11"/>
  <c r="F155" i="11"/>
  <c r="J146" i="11"/>
  <c r="J147" i="11"/>
  <c r="J148" i="11"/>
  <c r="J149" i="11"/>
  <c r="J150" i="11"/>
  <c r="J151" i="11"/>
  <c r="J152" i="11"/>
  <c r="F148" i="11"/>
  <c r="F149" i="11"/>
  <c r="F150" i="11"/>
  <c r="F151" i="11"/>
  <c r="F152" i="11"/>
  <c r="J137" i="11"/>
  <c r="J138" i="11"/>
  <c r="J139" i="11"/>
  <c r="J140" i="11"/>
  <c r="J141" i="11"/>
  <c r="J142" i="11"/>
  <c r="F137" i="11"/>
  <c r="F138" i="11"/>
  <c r="F139" i="11"/>
  <c r="F140" i="11"/>
  <c r="F141" i="11"/>
  <c r="J132" i="11"/>
  <c r="J133" i="11"/>
  <c r="J134" i="11"/>
  <c r="F132" i="11"/>
  <c r="F133" i="11"/>
  <c r="F134" i="11"/>
  <c r="J123" i="11"/>
  <c r="J124" i="11"/>
  <c r="J125" i="11"/>
  <c r="J126" i="11"/>
  <c r="J127" i="11"/>
  <c r="J128" i="11"/>
  <c r="J129" i="11"/>
  <c r="F123" i="11"/>
  <c r="F124" i="11"/>
  <c r="F125" i="11"/>
  <c r="F126" i="11"/>
  <c r="F127" i="11"/>
  <c r="F128" i="11"/>
  <c r="F129" i="11"/>
  <c r="J115" i="11"/>
  <c r="J116" i="11"/>
  <c r="J117" i="11"/>
  <c r="J118" i="11"/>
  <c r="J119" i="11"/>
  <c r="F115" i="11"/>
  <c r="F116" i="11"/>
  <c r="F117" i="11"/>
  <c r="J110" i="11"/>
  <c r="J111" i="11"/>
  <c r="J112" i="11"/>
  <c r="F110" i="11"/>
  <c r="F111" i="11"/>
  <c r="F112" i="11"/>
  <c r="J99" i="11"/>
  <c r="J100" i="11"/>
  <c r="J101" i="11"/>
  <c r="J102" i="11"/>
  <c r="J103" i="11"/>
  <c r="J104" i="11"/>
  <c r="J105" i="11"/>
  <c r="J106" i="11"/>
  <c r="J107" i="11"/>
  <c r="F104" i="11"/>
  <c r="F105" i="11"/>
  <c r="F106" i="11"/>
  <c r="F107" i="11"/>
  <c r="J90" i="11"/>
  <c r="J91" i="11"/>
  <c r="J92" i="11"/>
  <c r="J93" i="11"/>
  <c r="J94" i="11"/>
  <c r="J95" i="11"/>
  <c r="F90" i="11"/>
  <c r="F91" i="11"/>
  <c r="F92" i="11"/>
  <c r="F93" i="11"/>
  <c r="F94" i="11"/>
  <c r="J81" i="11"/>
  <c r="J82" i="11"/>
  <c r="J83" i="11"/>
  <c r="J84" i="11"/>
  <c r="J85" i="11"/>
  <c r="J86" i="11"/>
  <c r="J87" i="11"/>
  <c r="F81" i="11"/>
  <c r="F82" i="11"/>
  <c r="F83" i="11"/>
  <c r="F84" i="11"/>
  <c r="F85" i="11"/>
  <c r="F86" i="11"/>
  <c r="F87" i="11"/>
  <c r="J78" i="11"/>
  <c r="F78" i="11"/>
  <c r="J64" i="11"/>
  <c r="J65" i="11"/>
  <c r="J66" i="11"/>
  <c r="J67" i="11"/>
  <c r="J68" i="11"/>
  <c r="J69" i="11"/>
  <c r="J70" i="11"/>
  <c r="J71" i="11"/>
  <c r="J72" i="11"/>
  <c r="J73" i="11"/>
  <c r="J74" i="11"/>
  <c r="J75" i="11"/>
  <c r="F65" i="11"/>
  <c r="F66" i="11"/>
  <c r="F67" i="11"/>
  <c r="F68" i="11"/>
  <c r="F69" i="11"/>
  <c r="F73" i="11"/>
  <c r="F75" i="11"/>
  <c r="F53" i="11"/>
  <c r="J53" i="11"/>
  <c r="F54" i="11"/>
  <c r="J54" i="11"/>
  <c r="F55" i="11"/>
  <c r="J55" i="11"/>
  <c r="F56" i="11"/>
  <c r="J56" i="11"/>
  <c r="F57" i="11"/>
  <c r="J57" i="11"/>
  <c r="F58" i="11"/>
  <c r="J58" i="11"/>
  <c r="J59" i="11"/>
  <c r="F60" i="11"/>
  <c r="J60" i="11"/>
  <c r="J206" i="11"/>
  <c r="F206" i="11"/>
  <c r="J183" i="11"/>
  <c r="F183" i="11"/>
  <c r="J164" i="11"/>
  <c r="F164" i="11"/>
  <c r="J144" i="11"/>
  <c r="F144" i="11"/>
  <c r="J121" i="11"/>
  <c r="F121" i="11"/>
  <c r="J97" i="11"/>
  <c r="F97" i="11"/>
  <c r="J62" i="11"/>
  <c r="F62" i="11"/>
  <c r="J216" i="11"/>
  <c r="F216" i="11"/>
  <c r="J207" i="11"/>
  <c r="J199" i="11"/>
  <c r="F199" i="11"/>
  <c r="J197" i="11"/>
  <c r="F197" i="11"/>
  <c r="J193" i="11"/>
  <c r="F193" i="11"/>
  <c r="J184" i="11"/>
  <c r="F184" i="11"/>
  <c r="J180" i="11"/>
  <c r="F180" i="11"/>
  <c r="J175" i="11"/>
  <c r="F175" i="11"/>
  <c r="J165" i="11"/>
  <c r="F165" i="11"/>
  <c r="J157" i="11"/>
  <c r="J154" i="11"/>
  <c r="F154" i="11"/>
  <c r="J145" i="11"/>
  <c r="F145" i="11"/>
  <c r="J136" i="11"/>
  <c r="J131" i="11"/>
  <c r="F131" i="11"/>
  <c r="J122" i="11"/>
  <c r="F122" i="11"/>
  <c r="J114" i="11"/>
  <c r="J109" i="11"/>
  <c r="F109" i="11"/>
  <c r="J98" i="11"/>
  <c r="J89" i="11"/>
  <c r="J80" i="11"/>
  <c r="F80" i="11"/>
  <c r="J77" i="11"/>
  <c r="F77" i="11"/>
  <c r="J63" i="11"/>
  <c r="F63" i="11"/>
  <c r="J50" i="11"/>
  <c r="F50" i="11"/>
  <c r="J49" i="11"/>
  <c r="F49" i="11"/>
  <c r="F34" i="11"/>
  <c r="J34" i="11"/>
  <c r="F35" i="11"/>
  <c r="J35" i="11"/>
  <c r="F36" i="11"/>
  <c r="J36" i="11"/>
  <c r="F37" i="11"/>
  <c r="J37" i="11"/>
  <c r="F38" i="11"/>
  <c r="J38" i="11"/>
  <c r="F39" i="11"/>
  <c r="J39" i="11"/>
  <c r="F40" i="11"/>
  <c r="J40" i="11"/>
  <c r="F41" i="11"/>
  <c r="J41" i="11"/>
  <c r="F42" i="11"/>
  <c r="J42" i="11"/>
  <c r="J43" i="11"/>
  <c r="J44" i="11"/>
  <c r="F45" i="11"/>
  <c r="J45" i="11"/>
  <c r="F46" i="11"/>
  <c r="J46" i="11"/>
  <c r="F47" i="11"/>
  <c r="J47" i="11"/>
  <c r="J33" i="11"/>
  <c r="F33" i="11"/>
  <c r="F26" i="11"/>
  <c r="J26" i="11"/>
  <c r="F27" i="11"/>
  <c r="J27" i="11"/>
  <c r="F28" i="11"/>
  <c r="J28" i="11"/>
  <c r="F29" i="11"/>
  <c r="J29" i="11"/>
  <c r="J30" i="11"/>
  <c r="F31" i="11"/>
  <c r="J31" i="11"/>
  <c r="J25" i="11"/>
  <c r="J6" i="11"/>
  <c r="J7" i="11"/>
  <c r="J8" i="11"/>
  <c r="J9" i="11"/>
  <c r="J10" i="11"/>
  <c r="J11" i="11"/>
  <c r="J12" i="11"/>
  <c r="J13" i="11"/>
  <c r="J14" i="11"/>
  <c r="J15" i="11"/>
  <c r="J16" i="11"/>
  <c r="J17" i="11"/>
  <c r="J18" i="11"/>
  <c r="J19" i="11"/>
  <c r="J20" i="11"/>
  <c r="J21" i="11"/>
  <c r="J22" i="11"/>
  <c r="J23" i="11"/>
  <c r="F6" i="11"/>
  <c r="F7" i="11"/>
  <c r="F8" i="11"/>
  <c r="F9" i="11"/>
  <c r="F10" i="11"/>
  <c r="F12" i="11"/>
  <c r="F14" i="11"/>
  <c r="F15" i="11"/>
  <c r="F16" i="11"/>
  <c r="F17" i="11"/>
  <c r="F18" i="11"/>
  <c r="F19" i="11"/>
  <c r="F20" i="11"/>
  <c r="F21" i="11"/>
  <c r="F22" i="11"/>
  <c r="F23" i="11"/>
  <c r="F5" i="11"/>
  <c r="K131" i="11" l="1"/>
  <c r="K175" i="11"/>
  <c r="K82" i="11"/>
  <c r="K176" i="11"/>
  <c r="K80" i="11"/>
  <c r="K109" i="11"/>
  <c r="K83" i="11"/>
  <c r="K7" i="11"/>
  <c r="F292" i="11"/>
  <c r="F347" i="11" s="1"/>
  <c r="F246" i="11"/>
  <c r="F238" i="11"/>
  <c r="K81" i="11"/>
  <c r="K110" i="11"/>
  <c r="K132" i="11"/>
  <c r="F253" i="11"/>
  <c r="F329" i="11"/>
  <c r="F215" i="11"/>
  <c r="I52" i="10"/>
  <c r="J52" i="11" s="1"/>
  <c r="F291" i="11" s="1"/>
  <c r="F346" i="11" s="1"/>
  <c r="I5" i="10"/>
  <c r="J5" i="11" s="1"/>
  <c r="F276" i="11" s="1"/>
  <c r="F331" i="11" s="1"/>
  <c r="F297" i="11" l="1"/>
  <c r="F283" i="11"/>
  <c r="F338" i="11"/>
  <c r="I215" i="11"/>
  <c r="G215" i="11"/>
  <c r="J215" i="11"/>
  <c r="E267" i="11"/>
  <c r="L266" i="11"/>
  <c r="J266" i="11"/>
  <c r="I266" i="11"/>
  <c r="G266" i="11"/>
  <c r="F266" i="11"/>
  <c r="E266" i="11"/>
  <c r="D266" i="11"/>
  <c r="L265" i="11"/>
  <c r="J265" i="11"/>
  <c r="I265" i="11"/>
  <c r="G265" i="11"/>
  <c r="F265" i="11"/>
  <c r="E265" i="11"/>
  <c r="D265" i="11"/>
  <c r="L264" i="11"/>
  <c r="J264" i="11"/>
  <c r="I264" i="11"/>
  <c r="G264" i="11"/>
  <c r="F264" i="11"/>
  <c r="E264" i="11"/>
  <c r="D264" i="11"/>
  <c r="L262" i="11"/>
  <c r="J262" i="11"/>
  <c r="I262" i="11"/>
  <c r="G262" i="11"/>
  <c r="F262" i="11"/>
  <c r="E262" i="11"/>
  <c r="D262" i="11"/>
  <c r="L261" i="11"/>
  <c r="J261" i="11"/>
  <c r="I261" i="11"/>
  <c r="G261" i="11"/>
  <c r="F261" i="11"/>
  <c r="E261" i="11"/>
  <c r="D261" i="11"/>
  <c r="L260" i="11"/>
  <c r="J260" i="11"/>
  <c r="I260" i="11"/>
  <c r="G260" i="11"/>
  <c r="F260" i="11"/>
  <c r="E260" i="11"/>
  <c r="D260" i="11"/>
  <c r="L259" i="11"/>
  <c r="J259" i="11"/>
  <c r="I259" i="11"/>
  <c r="G259" i="11"/>
  <c r="F259" i="11"/>
  <c r="E259" i="11"/>
  <c r="D259" i="11"/>
  <c r="L258" i="11"/>
  <c r="J258" i="11"/>
  <c r="I258" i="11"/>
  <c r="G258" i="11"/>
  <c r="E258" i="11"/>
  <c r="D258" i="11"/>
  <c r="L257" i="11"/>
  <c r="J257" i="11"/>
  <c r="I257" i="11"/>
  <c r="G257" i="11"/>
  <c r="E257" i="11"/>
  <c r="D257" i="11"/>
  <c r="L256" i="11"/>
  <c r="J256" i="11"/>
  <c r="I256" i="11"/>
  <c r="G256" i="11"/>
  <c r="F256" i="11"/>
  <c r="E256" i="11"/>
  <c r="D256" i="11"/>
  <c r="L255" i="11"/>
  <c r="J255" i="11"/>
  <c r="I255" i="11"/>
  <c r="G255" i="11"/>
  <c r="F255" i="11"/>
  <c r="E255" i="11"/>
  <c r="D255" i="11"/>
  <c r="L254" i="11"/>
  <c r="J254" i="11"/>
  <c r="I254" i="11"/>
  <c r="G254" i="11"/>
  <c r="F254" i="11"/>
  <c r="E254" i="11"/>
  <c r="D254" i="11"/>
  <c r="L253" i="11"/>
  <c r="J253" i="11"/>
  <c r="I253" i="11"/>
  <c r="G253" i="11"/>
  <c r="E253" i="11"/>
  <c r="D253" i="11"/>
  <c r="L252" i="11"/>
  <c r="J252" i="11"/>
  <c r="I252" i="11"/>
  <c r="G252" i="11"/>
  <c r="F252" i="11"/>
  <c r="E252" i="11"/>
  <c r="D252" i="11"/>
  <c r="L251" i="11"/>
  <c r="J251" i="11"/>
  <c r="I251" i="11"/>
  <c r="G251" i="11"/>
  <c r="F251" i="11"/>
  <c r="E251" i="11"/>
  <c r="D251" i="11"/>
  <c r="L250" i="11"/>
  <c r="J250" i="11"/>
  <c r="I250" i="11"/>
  <c r="G250" i="11"/>
  <c r="F250" i="11"/>
  <c r="E250" i="11"/>
  <c r="D250" i="11"/>
  <c r="L249" i="11"/>
  <c r="J249" i="11"/>
  <c r="I249" i="11"/>
  <c r="G249" i="11"/>
  <c r="F249" i="11"/>
  <c r="E249" i="11"/>
  <c r="D249" i="11"/>
  <c r="L248" i="11"/>
  <c r="J248" i="11"/>
  <c r="I248" i="11"/>
  <c r="F248" i="11"/>
  <c r="E248" i="11"/>
  <c r="D248" i="11"/>
  <c r="L246" i="11"/>
  <c r="J246" i="11"/>
  <c r="I246" i="11"/>
  <c r="G246" i="11"/>
  <c r="E246" i="11"/>
  <c r="D246" i="11"/>
  <c r="J245" i="11"/>
  <c r="I245" i="11"/>
  <c r="G245" i="11"/>
  <c r="E245" i="11"/>
  <c r="D245" i="11"/>
  <c r="L244" i="11"/>
  <c r="J244" i="11"/>
  <c r="I244" i="11"/>
  <c r="G244" i="11"/>
  <c r="F244" i="11"/>
  <c r="E244" i="11"/>
  <c r="D244" i="11"/>
  <c r="L243" i="11"/>
  <c r="J243" i="11"/>
  <c r="I243" i="11"/>
  <c r="G243" i="11"/>
  <c r="F243" i="11"/>
  <c r="E243" i="11"/>
  <c r="D243" i="11"/>
  <c r="L242" i="11"/>
  <c r="J242" i="11"/>
  <c r="I242" i="11"/>
  <c r="G242" i="11"/>
  <c r="F242" i="11"/>
  <c r="E242" i="11"/>
  <c r="D242" i="11"/>
  <c r="L241" i="11"/>
  <c r="J241" i="11"/>
  <c r="I241" i="11"/>
  <c r="G241" i="11"/>
  <c r="F241" i="11"/>
  <c r="E241" i="11"/>
  <c r="D241" i="11"/>
  <c r="L240" i="11"/>
  <c r="J240" i="11"/>
  <c r="I240" i="11"/>
  <c r="G240" i="11"/>
  <c r="F240" i="11"/>
  <c r="E240" i="11"/>
  <c r="D240" i="11"/>
  <c r="L239" i="11"/>
  <c r="J239" i="11"/>
  <c r="I239" i="11"/>
  <c r="G239" i="11"/>
  <c r="F239" i="11"/>
  <c r="E239" i="11"/>
  <c r="D239" i="11"/>
  <c r="L238" i="11"/>
  <c r="J238" i="11"/>
  <c r="I238" i="11"/>
  <c r="E238" i="11"/>
  <c r="D238" i="11"/>
  <c r="L236" i="11"/>
  <c r="J236" i="11"/>
  <c r="I236" i="11"/>
  <c r="G236" i="11"/>
  <c r="F236" i="11"/>
  <c r="E236" i="11"/>
  <c r="D236" i="11"/>
  <c r="L235" i="11"/>
  <c r="J235" i="11"/>
  <c r="I235" i="11"/>
  <c r="G235" i="11"/>
  <c r="F235" i="11"/>
  <c r="E235" i="11"/>
  <c r="D235" i="11"/>
  <c r="L234" i="11"/>
  <c r="J234" i="11"/>
  <c r="I234" i="11"/>
  <c r="G234" i="11"/>
  <c r="F234" i="11"/>
  <c r="E234" i="11"/>
  <c r="D234" i="11"/>
  <c r="L233" i="11"/>
  <c r="J233" i="11"/>
  <c r="I233" i="11"/>
  <c r="G233" i="11"/>
  <c r="F233" i="11"/>
  <c r="E233" i="11"/>
  <c r="D233" i="11"/>
  <c r="L232" i="11"/>
  <c r="J232" i="11"/>
  <c r="I232" i="11"/>
  <c r="G232" i="11"/>
  <c r="F232" i="11"/>
  <c r="E232" i="11"/>
  <c r="D232" i="11"/>
  <c r="L231" i="11"/>
  <c r="J231" i="11"/>
  <c r="I231" i="11"/>
  <c r="G231" i="11"/>
  <c r="F231" i="11"/>
  <c r="E231" i="11"/>
  <c r="D231" i="11"/>
  <c r="L230" i="11"/>
  <c r="J230" i="11"/>
  <c r="I230" i="11"/>
  <c r="G230" i="11"/>
  <c r="F230" i="11"/>
  <c r="E230" i="11"/>
  <c r="D230" i="11"/>
  <c r="L229" i="11"/>
  <c r="J229" i="11"/>
  <c r="I229" i="11"/>
  <c r="G229" i="11"/>
  <c r="F229" i="11"/>
  <c r="E229" i="11"/>
  <c r="D229" i="11"/>
  <c r="L228" i="11"/>
  <c r="J228" i="11"/>
  <c r="I228" i="11"/>
  <c r="F228" i="11"/>
  <c r="E228" i="11"/>
  <c r="D228" i="11"/>
  <c r="K217" i="11"/>
  <c r="K216" i="11"/>
  <c r="L215" i="11"/>
  <c r="E215" i="11"/>
  <c r="D215" i="11"/>
  <c r="K214" i="11"/>
  <c r="K213" i="11"/>
  <c r="K212" i="11"/>
  <c r="K211" i="11"/>
  <c r="K210" i="11"/>
  <c r="K209" i="11"/>
  <c r="K208" i="11"/>
  <c r="K207" i="11"/>
  <c r="K206" i="11"/>
  <c r="L205" i="11"/>
  <c r="J205" i="11"/>
  <c r="I205" i="11"/>
  <c r="G205" i="11"/>
  <c r="F205" i="11"/>
  <c r="D205" i="11"/>
  <c r="K204" i="11"/>
  <c r="K203" i="11"/>
  <c r="K202" i="11"/>
  <c r="K201" i="11"/>
  <c r="K200" i="11"/>
  <c r="K199" i="11"/>
  <c r="E198" i="11"/>
  <c r="K197" i="11"/>
  <c r="L196" i="11"/>
  <c r="J196" i="11"/>
  <c r="I196" i="11"/>
  <c r="G196" i="11"/>
  <c r="F196" i="11"/>
  <c r="D196" i="11"/>
  <c r="K195" i="11"/>
  <c r="K194" i="11"/>
  <c r="K193" i="11"/>
  <c r="L192" i="11"/>
  <c r="J192" i="11"/>
  <c r="I192" i="11"/>
  <c r="G192" i="11"/>
  <c r="F192" i="11"/>
  <c r="D192" i="11"/>
  <c r="K191" i="11"/>
  <c r="K190" i="11"/>
  <c r="K189" i="11"/>
  <c r="K188" i="11"/>
  <c r="K187" i="11"/>
  <c r="K186" i="11"/>
  <c r="K185" i="11"/>
  <c r="K184" i="11"/>
  <c r="K183" i="11"/>
  <c r="L182" i="11"/>
  <c r="J182" i="11"/>
  <c r="I182" i="11"/>
  <c r="G182" i="11"/>
  <c r="F182" i="11"/>
  <c r="D182" i="11"/>
  <c r="K181" i="11"/>
  <c r="K180" i="11"/>
  <c r="E179" i="11"/>
  <c r="K178" i="11"/>
  <c r="K177" i="11"/>
  <c r="L174" i="11"/>
  <c r="J174" i="11"/>
  <c r="I174" i="11"/>
  <c r="G174" i="11"/>
  <c r="F174" i="11"/>
  <c r="D174" i="11"/>
  <c r="K173" i="11"/>
  <c r="K172" i="11"/>
  <c r="K171" i="11"/>
  <c r="K170" i="11"/>
  <c r="K169" i="11"/>
  <c r="K168" i="11"/>
  <c r="K167" i="11"/>
  <c r="K166" i="11"/>
  <c r="K165" i="11"/>
  <c r="K164" i="11"/>
  <c r="L163" i="11"/>
  <c r="L179" i="11" s="1"/>
  <c r="J163" i="11"/>
  <c r="J179" i="11" s="1"/>
  <c r="I163" i="11"/>
  <c r="I179" i="11" s="1"/>
  <c r="G163" i="11"/>
  <c r="F163" i="11"/>
  <c r="F179" i="11" s="1"/>
  <c r="D163" i="11"/>
  <c r="D179" i="11" s="1"/>
  <c r="K162" i="11"/>
  <c r="K161" i="11"/>
  <c r="K160" i="11"/>
  <c r="K159" i="11"/>
  <c r="K158" i="11"/>
  <c r="K157" i="11"/>
  <c r="E156" i="11"/>
  <c r="K155" i="11"/>
  <c r="K154" i="11"/>
  <c r="L153" i="11"/>
  <c r="J153" i="11"/>
  <c r="I153" i="11"/>
  <c r="G153" i="11"/>
  <c r="F153" i="11"/>
  <c r="D153" i="11"/>
  <c r="K152" i="11"/>
  <c r="K151" i="11"/>
  <c r="K150" i="11"/>
  <c r="K149" i="11"/>
  <c r="K148" i="11"/>
  <c r="K147" i="11"/>
  <c r="K146" i="11"/>
  <c r="K145" i="11"/>
  <c r="K144" i="11"/>
  <c r="L143" i="11"/>
  <c r="J143" i="11"/>
  <c r="I143" i="11"/>
  <c r="G143" i="11"/>
  <c r="F143" i="11"/>
  <c r="D143" i="11"/>
  <c r="K142" i="11"/>
  <c r="K141" i="11"/>
  <c r="K140" i="11"/>
  <c r="K139" i="11"/>
  <c r="K138" i="11"/>
  <c r="K137" i="11"/>
  <c r="K136" i="11"/>
  <c r="E135" i="11"/>
  <c r="K134" i="11"/>
  <c r="K133" i="11"/>
  <c r="L130" i="11"/>
  <c r="J130" i="11"/>
  <c r="I130" i="11"/>
  <c r="G130" i="11"/>
  <c r="F130" i="11"/>
  <c r="D130" i="11"/>
  <c r="K129" i="11"/>
  <c r="K128" i="11"/>
  <c r="K127" i="11"/>
  <c r="K126" i="11"/>
  <c r="K125" i="11"/>
  <c r="K124" i="11"/>
  <c r="K123" i="11"/>
  <c r="K122" i="11"/>
  <c r="K121" i="11"/>
  <c r="L120" i="11"/>
  <c r="J120" i="11"/>
  <c r="I120" i="11"/>
  <c r="G120" i="11"/>
  <c r="F120" i="11"/>
  <c r="D120" i="11"/>
  <c r="K119" i="11"/>
  <c r="K118" i="11"/>
  <c r="K117" i="11"/>
  <c r="K116" i="11"/>
  <c r="K115" i="11"/>
  <c r="K114" i="11"/>
  <c r="E113" i="11"/>
  <c r="K112" i="11"/>
  <c r="K111" i="11"/>
  <c r="L108" i="11"/>
  <c r="J108" i="11"/>
  <c r="I108" i="11"/>
  <c r="G108" i="11"/>
  <c r="F108" i="11"/>
  <c r="D108" i="11"/>
  <c r="K107" i="11"/>
  <c r="K106" i="11"/>
  <c r="K105" i="11"/>
  <c r="K104" i="11"/>
  <c r="K103" i="11"/>
  <c r="K102" i="11"/>
  <c r="K101" i="11"/>
  <c r="K100" i="11"/>
  <c r="K99" i="11"/>
  <c r="K98" i="11"/>
  <c r="K97" i="11"/>
  <c r="L96" i="11"/>
  <c r="J96" i="11"/>
  <c r="I96" i="11"/>
  <c r="G96" i="11"/>
  <c r="F96" i="11"/>
  <c r="D96" i="11"/>
  <c r="K95" i="11"/>
  <c r="K94" i="11"/>
  <c r="K93" i="11"/>
  <c r="K92" i="11"/>
  <c r="K91" i="11"/>
  <c r="K90" i="11"/>
  <c r="K89" i="11"/>
  <c r="K87" i="11"/>
  <c r="K86" i="11"/>
  <c r="K85" i="11"/>
  <c r="K84" i="11"/>
  <c r="L79" i="11"/>
  <c r="J79" i="11"/>
  <c r="I79" i="11"/>
  <c r="G79" i="11"/>
  <c r="F79" i="11"/>
  <c r="D79" i="11"/>
  <c r="K78" i="11"/>
  <c r="K77" i="11"/>
  <c r="L76" i="11"/>
  <c r="J76" i="11"/>
  <c r="I76" i="11"/>
  <c r="G76" i="11"/>
  <c r="D76" i="11"/>
  <c r="K75" i="11"/>
  <c r="K74" i="11"/>
  <c r="K73" i="11"/>
  <c r="K72" i="11"/>
  <c r="K69" i="11"/>
  <c r="K68" i="11"/>
  <c r="K67" i="11"/>
  <c r="K66" i="11"/>
  <c r="K65" i="11"/>
  <c r="K64" i="11"/>
  <c r="K63" i="11"/>
  <c r="K62" i="11"/>
  <c r="G248" i="11"/>
  <c r="L61" i="11"/>
  <c r="J61" i="11"/>
  <c r="I61" i="11"/>
  <c r="F61" i="11"/>
  <c r="D61" i="11"/>
  <c r="K60" i="11"/>
  <c r="K59" i="11"/>
  <c r="K58" i="11"/>
  <c r="K57" i="11"/>
  <c r="K56" i="11"/>
  <c r="K55" i="11"/>
  <c r="K54" i="11"/>
  <c r="K53" i="11"/>
  <c r="L51" i="11"/>
  <c r="J51" i="11"/>
  <c r="I51" i="11"/>
  <c r="G51" i="11"/>
  <c r="F51" i="11"/>
  <c r="D51" i="11"/>
  <c r="K50" i="11"/>
  <c r="K49" i="11"/>
  <c r="L48" i="11"/>
  <c r="J48" i="11"/>
  <c r="I48" i="11"/>
  <c r="G48" i="11"/>
  <c r="F48" i="11"/>
  <c r="D48" i="11"/>
  <c r="K47" i="11"/>
  <c r="K46" i="11"/>
  <c r="K45" i="11"/>
  <c r="K44" i="11"/>
  <c r="K43" i="11"/>
  <c r="K42" i="11"/>
  <c r="K41" i="11"/>
  <c r="K40" i="11"/>
  <c r="K39" i="11"/>
  <c r="K38" i="11"/>
  <c r="K37" i="11"/>
  <c r="K36" i="11"/>
  <c r="K35" i="11"/>
  <c r="K34" i="11"/>
  <c r="K33" i="11"/>
  <c r="L32" i="11"/>
  <c r="J32" i="11"/>
  <c r="I32" i="11"/>
  <c r="G32" i="11"/>
  <c r="E32" i="11"/>
  <c r="D32" i="11"/>
  <c r="K31" i="11"/>
  <c r="K29" i="11"/>
  <c r="K28" i="11"/>
  <c r="K27" i="11"/>
  <c r="K26" i="11"/>
  <c r="L24" i="11"/>
  <c r="L237" i="11" s="1"/>
  <c r="J24" i="11"/>
  <c r="J237" i="11" s="1"/>
  <c r="I24" i="11"/>
  <c r="I237" i="11" s="1"/>
  <c r="F24" i="11"/>
  <c r="F237" i="11" s="1"/>
  <c r="E24" i="11"/>
  <c r="E237" i="11" s="1"/>
  <c r="D24" i="11"/>
  <c r="D237" i="11" s="1"/>
  <c r="K23" i="11"/>
  <c r="K22" i="11"/>
  <c r="K21" i="11"/>
  <c r="K20" i="11"/>
  <c r="K19" i="11"/>
  <c r="K18" i="11"/>
  <c r="K17" i="11"/>
  <c r="K16" i="11"/>
  <c r="K15" i="11"/>
  <c r="K14" i="11"/>
  <c r="K13" i="11"/>
  <c r="K12" i="11"/>
  <c r="K11" i="11"/>
  <c r="K10" i="11"/>
  <c r="K9" i="11"/>
  <c r="K8" i="11"/>
  <c r="K6" i="11"/>
  <c r="K5" i="11"/>
  <c r="G228" i="11"/>
  <c r="I218" i="11" l="1"/>
  <c r="K24" i="11"/>
  <c r="K246" i="11"/>
  <c r="M12" i="11"/>
  <c r="M16" i="11"/>
  <c r="M20" i="11"/>
  <c r="M36" i="11"/>
  <c r="M40" i="11"/>
  <c r="M44" i="11"/>
  <c r="M55" i="11"/>
  <c r="M59" i="11"/>
  <c r="M66" i="11"/>
  <c r="M72" i="11"/>
  <c r="M83" i="11"/>
  <c r="M87" i="11"/>
  <c r="M92" i="11"/>
  <c r="M103" i="11"/>
  <c r="M107" i="11"/>
  <c r="M110" i="11"/>
  <c r="M118" i="11"/>
  <c r="M121" i="11"/>
  <c r="M125" i="11"/>
  <c r="M129" i="11"/>
  <c r="M132" i="11"/>
  <c r="M136" i="11"/>
  <c r="M140" i="11"/>
  <c r="M147" i="11"/>
  <c r="M151" i="11"/>
  <c r="M154" i="11"/>
  <c r="M158" i="11"/>
  <c r="M162" i="11"/>
  <c r="M169" i="11"/>
  <c r="M173" i="11"/>
  <c r="M176" i="11"/>
  <c r="M180" i="11"/>
  <c r="M183" i="11"/>
  <c r="M187" i="11"/>
  <c r="M191" i="11"/>
  <c r="M194" i="11"/>
  <c r="M197" i="11"/>
  <c r="M201" i="11"/>
  <c r="M208" i="11"/>
  <c r="M212" i="11"/>
  <c r="M17" i="11"/>
  <c r="M21" i="11"/>
  <c r="M29" i="11"/>
  <c r="M33" i="11"/>
  <c r="M56" i="11"/>
  <c r="M67" i="11"/>
  <c r="M100" i="11"/>
  <c r="M111" i="11"/>
  <c r="M133" i="11"/>
  <c r="M141" i="11"/>
  <c r="M144" i="11"/>
  <c r="M152" i="11"/>
  <c r="M155" i="11"/>
  <c r="M166" i="11"/>
  <c r="M177" i="11"/>
  <c r="M202" i="11"/>
  <c r="M209" i="11"/>
  <c r="M62" i="11"/>
  <c r="M99" i="11"/>
  <c r="M37" i="11"/>
  <c r="M60" i="11"/>
  <c r="M73" i="11"/>
  <c r="M80" i="11"/>
  <c r="M84" i="11"/>
  <c r="M93" i="11"/>
  <c r="M104" i="11"/>
  <c r="M115" i="11"/>
  <c r="M119" i="11"/>
  <c r="M126" i="11"/>
  <c r="M137" i="11"/>
  <c r="M159" i="11"/>
  <c r="M170" i="11"/>
  <c r="M181" i="11"/>
  <c r="M213" i="11"/>
  <c r="M14" i="11"/>
  <c r="M18" i="11"/>
  <c r="M22" i="11"/>
  <c r="M26" i="11"/>
  <c r="M31" i="11"/>
  <c r="M38" i="11"/>
  <c r="M42" i="11"/>
  <c r="M46" i="11"/>
  <c r="M53" i="11"/>
  <c r="M57" i="11"/>
  <c r="M64" i="11"/>
  <c r="M68" i="11"/>
  <c r="M74" i="11"/>
  <c r="M78" i="11"/>
  <c r="M81" i="11"/>
  <c r="M85" i="11"/>
  <c r="M90" i="11"/>
  <c r="M94" i="11"/>
  <c r="M97" i="11"/>
  <c r="M101" i="11"/>
  <c r="M105" i="11"/>
  <c r="M112" i="11"/>
  <c r="M116" i="11"/>
  <c r="M123" i="11"/>
  <c r="M127" i="11"/>
  <c r="M134" i="11"/>
  <c r="M138" i="11"/>
  <c r="M142" i="11"/>
  <c r="M149" i="11"/>
  <c r="M160" i="11"/>
  <c r="M167" i="11"/>
  <c r="M171" i="11"/>
  <c r="M178" i="11"/>
  <c r="M185" i="11"/>
  <c r="M189" i="11"/>
  <c r="M203" i="11"/>
  <c r="M206" i="11"/>
  <c r="M210" i="11"/>
  <c r="M214" i="11"/>
  <c r="M216" i="11"/>
  <c r="M11" i="11"/>
  <c r="M15" i="11"/>
  <c r="M19" i="11"/>
  <c r="M27" i="11"/>
  <c r="M35" i="11"/>
  <c r="M39" i="11"/>
  <c r="M43" i="11"/>
  <c r="M47" i="11"/>
  <c r="M50" i="11"/>
  <c r="K240" i="11"/>
  <c r="M58" i="11"/>
  <c r="M65" i="11"/>
  <c r="M69" i="11"/>
  <c r="M75" i="11"/>
  <c r="M82" i="11"/>
  <c r="M86" i="11"/>
  <c r="M91" i="11"/>
  <c r="M95" i="11"/>
  <c r="M102" i="11"/>
  <c r="M106" i="11"/>
  <c r="M109" i="11"/>
  <c r="M117" i="11"/>
  <c r="M124" i="11"/>
  <c r="M128" i="11"/>
  <c r="M131" i="11"/>
  <c r="M139" i="11"/>
  <c r="M146" i="11"/>
  <c r="M150" i="11"/>
  <c r="M161" i="11"/>
  <c r="M164" i="11"/>
  <c r="M168" i="11"/>
  <c r="M172" i="11"/>
  <c r="M175" i="11"/>
  <c r="M200" i="11"/>
  <c r="M204" i="11"/>
  <c r="M211" i="11"/>
  <c r="M217" i="11"/>
  <c r="D218" i="11"/>
  <c r="K228" i="11"/>
  <c r="L113" i="11"/>
  <c r="I135" i="11"/>
  <c r="D156" i="11"/>
  <c r="L198" i="11"/>
  <c r="D113" i="11"/>
  <c r="K174" i="11"/>
  <c r="F156" i="11"/>
  <c r="F135" i="11"/>
  <c r="J113" i="11"/>
  <c r="K205" i="11"/>
  <c r="K108" i="11"/>
  <c r="K96" i="11"/>
  <c r="M54" i="11"/>
  <c r="G113" i="11"/>
  <c r="D135" i="11"/>
  <c r="I156" i="11"/>
  <c r="M165" i="11"/>
  <c r="K239" i="11"/>
  <c r="I267" i="11"/>
  <c r="K163" i="11"/>
  <c r="G179" i="11"/>
  <c r="K182" i="11"/>
  <c r="M199" i="11"/>
  <c r="L88" i="11"/>
  <c r="D88" i="11"/>
  <c r="M98" i="11"/>
  <c r="K215" i="11"/>
  <c r="F218" i="11"/>
  <c r="I198" i="11"/>
  <c r="F198" i="11"/>
  <c r="M157" i="11"/>
  <c r="G156" i="11"/>
  <c r="J156" i="11"/>
  <c r="G135" i="11"/>
  <c r="J135" i="11"/>
  <c r="F113" i="11"/>
  <c r="I113" i="11"/>
  <c r="K243" i="11"/>
  <c r="M89" i="11"/>
  <c r="F267" i="11"/>
  <c r="I263" i="11"/>
  <c r="M28" i="11"/>
  <c r="I88" i="11"/>
  <c r="M207" i="11"/>
  <c r="K229" i="11"/>
  <c r="M6" i="11"/>
  <c r="K231" i="11"/>
  <c r="M8" i="11"/>
  <c r="K234" i="11"/>
  <c r="M10" i="11"/>
  <c r="K48" i="11"/>
  <c r="M34" i="11"/>
  <c r="K51" i="11"/>
  <c r="M49" i="11"/>
  <c r="G238" i="11"/>
  <c r="G61" i="11"/>
  <c r="G88" i="11" s="1"/>
  <c r="K52" i="11"/>
  <c r="K252" i="11"/>
  <c r="K253" i="11"/>
  <c r="K120" i="11"/>
  <c r="M114" i="11"/>
  <c r="M148" i="11"/>
  <c r="K255" i="11"/>
  <c r="K192" i="11"/>
  <c r="M184" i="11"/>
  <c r="K250" i="11"/>
  <c r="M186" i="11"/>
  <c r="M188" i="11"/>
  <c r="K259" i="11"/>
  <c r="M190" i="11"/>
  <c r="K261" i="11"/>
  <c r="D263" i="11"/>
  <c r="K196" i="11"/>
  <c r="M193" i="11"/>
  <c r="M195" i="11"/>
  <c r="K266" i="11"/>
  <c r="L267" i="11"/>
  <c r="D198" i="11"/>
  <c r="L263" i="11"/>
  <c r="I247" i="11"/>
  <c r="M5" i="11"/>
  <c r="K230" i="11"/>
  <c r="M7" i="11"/>
  <c r="K232" i="11"/>
  <c r="M9" i="11"/>
  <c r="K235" i="11"/>
  <c r="K233" i="11"/>
  <c r="M13" i="11"/>
  <c r="K236" i="11"/>
  <c r="M23" i="11"/>
  <c r="E247" i="11"/>
  <c r="E88" i="11"/>
  <c r="J88" i="11"/>
  <c r="K256" i="11"/>
  <c r="M41" i="11"/>
  <c r="K260" i="11"/>
  <c r="M45" i="11"/>
  <c r="M63" i="11"/>
  <c r="K79" i="11"/>
  <c r="M77" i="11"/>
  <c r="L135" i="11"/>
  <c r="K130" i="11"/>
  <c r="M122" i="11"/>
  <c r="D267" i="11"/>
  <c r="J247" i="11"/>
  <c r="L247" i="11"/>
  <c r="K241" i="11"/>
  <c r="K242" i="11"/>
  <c r="K244" i="11"/>
  <c r="D247" i="11"/>
  <c r="G24" i="11"/>
  <c r="G237" i="11" s="1"/>
  <c r="K143" i="11"/>
  <c r="L156" i="11"/>
  <c r="K153" i="11"/>
  <c r="M145" i="11"/>
  <c r="G198" i="11"/>
  <c r="J198" i="11"/>
  <c r="G267" i="11"/>
  <c r="J267" i="11"/>
  <c r="E263" i="11"/>
  <c r="E218" i="11"/>
  <c r="G263" i="11"/>
  <c r="J263" i="11"/>
  <c r="K248" i="11"/>
  <c r="K249" i="11"/>
  <c r="K251" i="11"/>
  <c r="K254" i="11"/>
  <c r="K262" i="11"/>
  <c r="K264" i="11"/>
  <c r="K265" i="11"/>
  <c r="G218" i="11"/>
  <c r="J218" i="11"/>
  <c r="L218" i="11"/>
  <c r="F71" i="10"/>
  <c r="F71" i="11" s="1"/>
  <c r="F70" i="10"/>
  <c r="M143" i="11" l="1"/>
  <c r="M182" i="11"/>
  <c r="M96" i="11"/>
  <c r="M163" i="11"/>
  <c r="M51" i="11"/>
  <c r="M205" i="11"/>
  <c r="K237" i="11"/>
  <c r="K179" i="11"/>
  <c r="M79" i="11"/>
  <c r="M120" i="11"/>
  <c r="M108" i="11"/>
  <c r="M113" i="11" s="1"/>
  <c r="K218" i="11"/>
  <c r="M130" i="11"/>
  <c r="M215" i="11"/>
  <c r="M218" i="11" s="1"/>
  <c r="M174" i="11"/>
  <c r="F70" i="11"/>
  <c r="K70" i="11" s="1"/>
  <c r="K113" i="11"/>
  <c r="I219" i="11"/>
  <c r="I268" i="11" s="1"/>
  <c r="D219" i="11"/>
  <c r="D268" i="11" s="1"/>
  <c r="L219" i="11"/>
  <c r="L268" i="11" s="1"/>
  <c r="K71" i="11"/>
  <c r="F258" i="11"/>
  <c r="K198" i="11"/>
  <c r="M196" i="11"/>
  <c r="G219" i="11"/>
  <c r="G268" i="11" s="1"/>
  <c r="K135" i="11"/>
  <c r="G247" i="11"/>
  <c r="K156" i="11"/>
  <c r="M192" i="11"/>
  <c r="M52" i="11"/>
  <c r="M61" i="11" s="1"/>
  <c r="K61" i="11"/>
  <c r="M153" i="11"/>
  <c r="J219" i="11"/>
  <c r="J268" i="11" s="1"/>
  <c r="E219" i="11"/>
  <c r="E268" i="11" s="1"/>
  <c r="M24" i="11"/>
  <c r="K267" i="11"/>
  <c r="M48" i="11"/>
  <c r="D249" i="10"/>
  <c r="E249" i="10"/>
  <c r="F249" i="10"/>
  <c r="G249" i="10"/>
  <c r="H249" i="10"/>
  <c r="I249" i="10"/>
  <c r="K249" i="10"/>
  <c r="D215" i="10"/>
  <c r="E215" i="10"/>
  <c r="F215" i="10"/>
  <c r="G215" i="10"/>
  <c r="H215" i="10"/>
  <c r="I215" i="10"/>
  <c r="K215" i="10"/>
  <c r="J207" i="10"/>
  <c r="L207" i="10" s="1"/>
  <c r="F319" i="11" l="1"/>
  <c r="M156" i="11"/>
  <c r="M179" i="11"/>
  <c r="M135" i="11"/>
  <c r="M70" i="11"/>
  <c r="K257" i="11"/>
  <c r="F76" i="11"/>
  <c r="F263" i="11" s="1"/>
  <c r="F257" i="11"/>
  <c r="M198" i="11"/>
  <c r="M71" i="11"/>
  <c r="K258" i="11"/>
  <c r="K76" i="11"/>
  <c r="E267" i="10"/>
  <c r="K266" i="10"/>
  <c r="I266" i="10"/>
  <c r="H266" i="10"/>
  <c r="G266" i="10"/>
  <c r="F266" i="10"/>
  <c r="E266" i="10"/>
  <c r="D266" i="10"/>
  <c r="K265" i="10"/>
  <c r="I265" i="10"/>
  <c r="H265" i="10"/>
  <c r="G265" i="10"/>
  <c r="F265" i="10"/>
  <c r="E265" i="10"/>
  <c r="D265" i="10"/>
  <c r="K264" i="10"/>
  <c r="I264" i="10"/>
  <c r="H264" i="10"/>
  <c r="G264" i="10"/>
  <c r="F264" i="10"/>
  <c r="E264" i="10"/>
  <c r="D264" i="10"/>
  <c r="K262" i="10"/>
  <c r="I262" i="10"/>
  <c r="H262" i="10"/>
  <c r="G262" i="10"/>
  <c r="F262" i="10"/>
  <c r="E262" i="10"/>
  <c r="D262" i="10"/>
  <c r="K261" i="10"/>
  <c r="I261" i="10"/>
  <c r="H261" i="10"/>
  <c r="G261" i="10"/>
  <c r="F261" i="10"/>
  <c r="E261" i="10"/>
  <c r="D261" i="10"/>
  <c r="K260" i="10"/>
  <c r="I260" i="10"/>
  <c r="H260" i="10"/>
  <c r="G260" i="10"/>
  <c r="F260" i="10"/>
  <c r="E260" i="10"/>
  <c r="D260" i="10"/>
  <c r="K259" i="10"/>
  <c r="I259" i="10"/>
  <c r="H259" i="10"/>
  <c r="G259" i="10"/>
  <c r="F259" i="10"/>
  <c r="E259" i="10"/>
  <c r="D259" i="10"/>
  <c r="K258" i="10"/>
  <c r="I258" i="10"/>
  <c r="H258" i="10"/>
  <c r="G258" i="10"/>
  <c r="F258" i="10"/>
  <c r="E258" i="10"/>
  <c r="D258" i="10"/>
  <c r="K257" i="10"/>
  <c r="I257" i="10"/>
  <c r="H257" i="10"/>
  <c r="G257" i="10"/>
  <c r="F257" i="10"/>
  <c r="E257" i="10"/>
  <c r="D257" i="10"/>
  <c r="K256" i="10"/>
  <c r="I256" i="10"/>
  <c r="H256" i="10"/>
  <c r="G256" i="10"/>
  <c r="F256" i="10"/>
  <c r="E256" i="10"/>
  <c r="D256" i="10"/>
  <c r="K255" i="10"/>
  <c r="I255" i="10"/>
  <c r="H255" i="10"/>
  <c r="G255" i="10"/>
  <c r="F255" i="10"/>
  <c r="E255" i="10"/>
  <c r="D255" i="10"/>
  <c r="K254" i="10"/>
  <c r="I254" i="10"/>
  <c r="H254" i="10"/>
  <c r="G254" i="10"/>
  <c r="F254" i="10"/>
  <c r="E254" i="10"/>
  <c r="D254" i="10"/>
  <c r="K253" i="10"/>
  <c r="I253" i="10"/>
  <c r="H253" i="10"/>
  <c r="G253" i="10"/>
  <c r="F253" i="10"/>
  <c r="E253" i="10"/>
  <c r="D253" i="10"/>
  <c r="K252" i="10"/>
  <c r="I252" i="10"/>
  <c r="H252" i="10"/>
  <c r="G252" i="10"/>
  <c r="F252" i="10"/>
  <c r="E252" i="10"/>
  <c r="D252" i="10"/>
  <c r="K251" i="10"/>
  <c r="I251" i="10"/>
  <c r="H251" i="10"/>
  <c r="G251" i="10"/>
  <c r="F251" i="10"/>
  <c r="E251" i="10"/>
  <c r="D251" i="10"/>
  <c r="K250" i="10"/>
  <c r="I250" i="10"/>
  <c r="H250" i="10"/>
  <c r="G250" i="10"/>
  <c r="F250" i="10"/>
  <c r="E250" i="10"/>
  <c r="D250" i="10"/>
  <c r="K248" i="10"/>
  <c r="I248" i="10"/>
  <c r="H248" i="10"/>
  <c r="G248" i="10"/>
  <c r="F248" i="10"/>
  <c r="E248" i="10"/>
  <c r="D248" i="10"/>
  <c r="K246" i="10"/>
  <c r="I246" i="10"/>
  <c r="H246" i="10"/>
  <c r="G246" i="10"/>
  <c r="F246" i="10"/>
  <c r="E246" i="10"/>
  <c r="D246" i="10"/>
  <c r="K245" i="10"/>
  <c r="I245" i="10"/>
  <c r="H245" i="10"/>
  <c r="G245" i="10"/>
  <c r="E245" i="10"/>
  <c r="D245" i="10"/>
  <c r="K244" i="10"/>
  <c r="I244" i="10"/>
  <c r="H244" i="10"/>
  <c r="G244" i="10"/>
  <c r="F244" i="10"/>
  <c r="E244" i="10"/>
  <c r="D244" i="10"/>
  <c r="K243" i="10"/>
  <c r="I243" i="10"/>
  <c r="H243" i="10"/>
  <c r="G243" i="10"/>
  <c r="F243" i="10"/>
  <c r="E243" i="10"/>
  <c r="D243" i="10"/>
  <c r="K242" i="10"/>
  <c r="I242" i="10"/>
  <c r="H242" i="10"/>
  <c r="G242" i="10"/>
  <c r="F242" i="10"/>
  <c r="E242" i="10"/>
  <c r="D242" i="10"/>
  <c r="K241" i="10"/>
  <c r="I241" i="10"/>
  <c r="H241" i="10"/>
  <c r="G241" i="10"/>
  <c r="F241" i="10"/>
  <c r="E241" i="10"/>
  <c r="D241" i="10"/>
  <c r="K240" i="10"/>
  <c r="I240" i="10"/>
  <c r="H240" i="10"/>
  <c r="G240" i="10"/>
  <c r="F240" i="10"/>
  <c r="E240" i="10"/>
  <c r="D240" i="10"/>
  <c r="K239" i="10"/>
  <c r="I239" i="10"/>
  <c r="H239" i="10"/>
  <c r="G239" i="10"/>
  <c r="F239" i="10"/>
  <c r="E239" i="10"/>
  <c r="D239" i="10"/>
  <c r="K238" i="10"/>
  <c r="I238" i="10"/>
  <c r="H238" i="10"/>
  <c r="G238" i="10"/>
  <c r="E238" i="10"/>
  <c r="D238" i="10"/>
  <c r="K236" i="10"/>
  <c r="I236" i="10"/>
  <c r="H236" i="10"/>
  <c r="G236" i="10"/>
  <c r="F236" i="10"/>
  <c r="E236" i="10"/>
  <c r="D236" i="10"/>
  <c r="K235" i="10"/>
  <c r="I235" i="10"/>
  <c r="H235" i="10"/>
  <c r="G235" i="10"/>
  <c r="F235" i="10"/>
  <c r="E235" i="10"/>
  <c r="D235" i="10"/>
  <c r="K234" i="10"/>
  <c r="I234" i="10"/>
  <c r="H234" i="10"/>
  <c r="G234" i="10"/>
  <c r="F234" i="10"/>
  <c r="E234" i="10"/>
  <c r="D234" i="10"/>
  <c r="K233" i="10"/>
  <c r="I233" i="10"/>
  <c r="H233" i="10"/>
  <c r="G233" i="10"/>
  <c r="F233" i="10"/>
  <c r="E233" i="10"/>
  <c r="D233" i="10"/>
  <c r="K232" i="10"/>
  <c r="I232" i="10"/>
  <c r="H232" i="10"/>
  <c r="G232" i="10"/>
  <c r="F232" i="10"/>
  <c r="E232" i="10"/>
  <c r="D232" i="10"/>
  <c r="K231" i="10"/>
  <c r="I231" i="10"/>
  <c r="H231" i="10"/>
  <c r="G231" i="10"/>
  <c r="F231" i="10"/>
  <c r="E231" i="10"/>
  <c r="D231" i="10"/>
  <c r="K230" i="10"/>
  <c r="I230" i="10"/>
  <c r="H230" i="10"/>
  <c r="G230" i="10"/>
  <c r="F230" i="10"/>
  <c r="E230" i="10"/>
  <c r="D230" i="10"/>
  <c r="K229" i="10"/>
  <c r="I229" i="10"/>
  <c r="H229" i="10"/>
  <c r="G229" i="10"/>
  <c r="F229" i="10"/>
  <c r="E229" i="10"/>
  <c r="D229" i="10"/>
  <c r="K228" i="10"/>
  <c r="I228" i="10"/>
  <c r="H228" i="10"/>
  <c r="G228" i="10"/>
  <c r="F228" i="10"/>
  <c r="E228" i="10"/>
  <c r="D228" i="10"/>
  <c r="E218" i="10"/>
  <c r="J217" i="10"/>
  <c r="L217" i="10" s="1"/>
  <c r="J216" i="10"/>
  <c r="L216" i="10" s="1"/>
  <c r="J214" i="10"/>
  <c r="L214" i="10" s="1"/>
  <c r="J213" i="10"/>
  <c r="J212" i="10"/>
  <c r="L212" i="10" s="1"/>
  <c r="J211" i="10"/>
  <c r="L211" i="10" s="1"/>
  <c r="J210" i="10"/>
  <c r="L210" i="10" s="1"/>
  <c r="J209" i="10"/>
  <c r="L209" i="10" s="1"/>
  <c r="J208" i="10"/>
  <c r="L208" i="10" s="1"/>
  <c r="J206" i="10"/>
  <c r="L206" i="10" s="1"/>
  <c r="K205" i="10"/>
  <c r="I205" i="10"/>
  <c r="H205" i="10"/>
  <c r="G205" i="10"/>
  <c r="F205" i="10"/>
  <c r="D205" i="10"/>
  <c r="J204" i="10"/>
  <c r="L204" i="10" s="1"/>
  <c r="J203" i="10"/>
  <c r="L203" i="10" s="1"/>
  <c r="J202" i="10"/>
  <c r="L202" i="10" s="1"/>
  <c r="J201" i="10"/>
  <c r="L201" i="10" s="1"/>
  <c r="J200" i="10"/>
  <c r="L200" i="10" s="1"/>
  <c r="J199" i="10"/>
  <c r="E198" i="10"/>
  <c r="J197" i="10"/>
  <c r="J264" i="10" s="1"/>
  <c r="K196" i="10"/>
  <c r="I196" i="10"/>
  <c r="H196" i="10"/>
  <c r="G196" i="10"/>
  <c r="F196" i="10"/>
  <c r="D196" i="10"/>
  <c r="J195" i="10"/>
  <c r="L195" i="10" s="1"/>
  <c r="J194" i="10"/>
  <c r="J193" i="10"/>
  <c r="K192" i="10"/>
  <c r="I192" i="10"/>
  <c r="H192" i="10"/>
  <c r="G192" i="10"/>
  <c r="F192" i="10"/>
  <c r="D192" i="10"/>
  <c r="J191" i="10"/>
  <c r="L191" i="10" s="1"/>
  <c r="J190" i="10"/>
  <c r="L190" i="10" s="1"/>
  <c r="J189" i="10"/>
  <c r="L189" i="10" s="1"/>
  <c r="J188" i="10"/>
  <c r="L188" i="10" s="1"/>
  <c r="J187" i="10"/>
  <c r="J186" i="10"/>
  <c r="J185" i="10"/>
  <c r="J184" i="10"/>
  <c r="J183" i="10"/>
  <c r="L183" i="10" s="1"/>
  <c r="K182" i="10"/>
  <c r="I182" i="10"/>
  <c r="H182" i="10"/>
  <c r="G182" i="10"/>
  <c r="F182" i="10"/>
  <c r="D182" i="10"/>
  <c r="J181" i="10"/>
  <c r="L181" i="10" s="1"/>
  <c r="J180" i="10"/>
  <c r="L180" i="10" s="1"/>
  <c r="E179" i="10"/>
  <c r="J178" i="10"/>
  <c r="L178" i="10" s="1"/>
  <c r="J177" i="10"/>
  <c r="L177" i="10" s="1"/>
  <c r="J176" i="10"/>
  <c r="L176" i="10" s="1"/>
  <c r="J175" i="10"/>
  <c r="L175" i="10" s="1"/>
  <c r="K174" i="10"/>
  <c r="I174" i="10"/>
  <c r="H174" i="10"/>
  <c r="G174" i="10"/>
  <c r="F174" i="10"/>
  <c r="D174" i="10"/>
  <c r="J173" i="10"/>
  <c r="L173" i="10" s="1"/>
  <c r="J172" i="10"/>
  <c r="L172" i="10" s="1"/>
  <c r="J171" i="10"/>
  <c r="L171" i="10" s="1"/>
  <c r="J170" i="10"/>
  <c r="L170" i="10" s="1"/>
  <c r="J169" i="10"/>
  <c r="L169" i="10" s="1"/>
  <c r="J168" i="10"/>
  <c r="L168" i="10" s="1"/>
  <c r="J167" i="10"/>
  <c r="L167" i="10" s="1"/>
  <c r="J166" i="10"/>
  <c r="L166" i="10" s="1"/>
  <c r="J165" i="10"/>
  <c r="J164" i="10"/>
  <c r="L164" i="10" s="1"/>
  <c r="K163" i="10"/>
  <c r="K179" i="10" s="1"/>
  <c r="I163" i="10"/>
  <c r="I179" i="10" s="1"/>
  <c r="H163" i="10"/>
  <c r="H179" i="10" s="1"/>
  <c r="G163" i="10"/>
  <c r="G179" i="10" s="1"/>
  <c r="F163" i="10"/>
  <c r="F179" i="10" s="1"/>
  <c r="D163" i="10"/>
  <c r="D179" i="10" s="1"/>
  <c r="J162" i="10"/>
  <c r="L162" i="10" s="1"/>
  <c r="J161" i="10"/>
  <c r="L161" i="10" s="1"/>
  <c r="J160" i="10"/>
  <c r="L160" i="10" s="1"/>
  <c r="J159" i="10"/>
  <c r="L159" i="10" s="1"/>
  <c r="J158" i="10"/>
  <c r="L158" i="10" s="1"/>
  <c r="J157" i="10"/>
  <c r="E156" i="10"/>
  <c r="J155" i="10"/>
  <c r="L155" i="10" s="1"/>
  <c r="J154" i="10"/>
  <c r="L154" i="10" s="1"/>
  <c r="K153" i="10"/>
  <c r="I153" i="10"/>
  <c r="H153" i="10"/>
  <c r="G153" i="10"/>
  <c r="F153" i="10"/>
  <c r="D153" i="10"/>
  <c r="J152" i="10"/>
  <c r="L152" i="10" s="1"/>
  <c r="J151" i="10"/>
  <c r="L151" i="10" s="1"/>
  <c r="J150" i="10"/>
  <c r="L150" i="10" s="1"/>
  <c r="J149" i="10"/>
  <c r="L149" i="10" s="1"/>
  <c r="J148" i="10"/>
  <c r="L148" i="10" s="1"/>
  <c r="J147" i="10"/>
  <c r="L147" i="10" s="1"/>
  <c r="J146" i="10"/>
  <c r="L146" i="10" s="1"/>
  <c r="J145" i="10"/>
  <c r="J144" i="10"/>
  <c r="L144" i="10" s="1"/>
  <c r="K143" i="10"/>
  <c r="I143" i="10"/>
  <c r="H143" i="10"/>
  <c r="G143" i="10"/>
  <c r="F143" i="10"/>
  <c r="D143" i="10"/>
  <c r="J142" i="10"/>
  <c r="L142" i="10" s="1"/>
  <c r="J141" i="10"/>
  <c r="L141" i="10" s="1"/>
  <c r="J140" i="10"/>
  <c r="L140" i="10" s="1"/>
  <c r="J139" i="10"/>
  <c r="L139" i="10" s="1"/>
  <c r="J138" i="10"/>
  <c r="L138" i="10" s="1"/>
  <c r="J137" i="10"/>
  <c r="L137" i="10" s="1"/>
  <c r="J136" i="10"/>
  <c r="E135" i="10"/>
  <c r="J134" i="10"/>
  <c r="L134" i="10" s="1"/>
  <c r="J133" i="10"/>
  <c r="L133" i="10" s="1"/>
  <c r="J132" i="10"/>
  <c r="L132" i="10" s="1"/>
  <c r="J131" i="10"/>
  <c r="L131" i="10" s="1"/>
  <c r="K130" i="10"/>
  <c r="I130" i="10"/>
  <c r="H130" i="10"/>
  <c r="G130" i="10"/>
  <c r="F130" i="10"/>
  <c r="D130" i="10"/>
  <c r="J129" i="10"/>
  <c r="L129" i="10" s="1"/>
  <c r="J128" i="10"/>
  <c r="L128" i="10" s="1"/>
  <c r="J127" i="10"/>
  <c r="L127" i="10" s="1"/>
  <c r="J126" i="10"/>
  <c r="L126" i="10" s="1"/>
  <c r="J125" i="10"/>
  <c r="L125" i="10" s="1"/>
  <c r="J124" i="10"/>
  <c r="L124" i="10" s="1"/>
  <c r="J123" i="10"/>
  <c r="L123" i="10" s="1"/>
  <c r="J122" i="10"/>
  <c r="J121" i="10"/>
  <c r="L121" i="10" s="1"/>
  <c r="K120" i="10"/>
  <c r="I120" i="10"/>
  <c r="H120" i="10"/>
  <c r="G120" i="10"/>
  <c r="F120" i="10"/>
  <c r="D120" i="10"/>
  <c r="J119" i="10"/>
  <c r="L119" i="10" s="1"/>
  <c r="J118" i="10"/>
  <c r="L118" i="10" s="1"/>
  <c r="J117" i="10"/>
  <c r="L117" i="10" s="1"/>
  <c r="J116" i="10"/>
  <c r="L116" i="10" s="1"/>
  <c r="J115" i="10"/>
  <c r="L115" i="10" s="1"/>
  <c r="J114" i="10"/>
  <c r="E113" i="10"/>
  <c r="J112" i="10"/>
  <c r="L112" i="10" s="1"/>
  <c r="J111" i="10"/>
  <c r="L111" i="10" s="1"/>
  <c r="J110" i="10"/>
  <c r="L110" i="10" s="1"/>
  <c r="J109" i="10"/>
  <c r="L109" i="10" s="1"/>
  <c r="K108" i="10"/>
  <c r="I108" i="10"/>
  <c r="H108" i="10"/>
  <c r="G108" i="10"/>
  <c r="F108" i="10"/>
  <c r="D108" i="10"/>
  <c r="J107" i="10"/>
  <c r="L107" i="10" s="1"/>
  <c r="J106" i="10"/>
  <c r="L106" i="10" s="1"/>
  <c r="J105" i="10"/>
  <c r="L105" i="10" s="1"/>
  <c r="J104" i="10"/>
  <c r="L104" i="10" s="1"/>
  <c r="J103" i="10"/>
  <c r="L103" i="10" s="1"/>
  <c r="J102" i="10"/>
  <c r="J101" i="10"/>
  <c r="L101" i="10" s="1"/>
  <c r="J100" i="10"/>
  <c r="L100" i="10" s="1"/>
  <c r="J99" i="10"/>
  <c r="L99" i="10" s="1"/>
  <c r="J98" i="10"/>
  <c r="J97" i="10"/>
  <c r="L97" i="10" s="1"/>
  <c r="K96" i="10"/>
  <c r="I96" i="10"/>
  <c r="H96" i="10"/>
  <c r="G96" i="10"/>
  <c r="F96" i="10"/>
  <c r="D96" i="10"/>
  <c r="J95" i="10"/>
  <c r="L95" i="10" s="1"/>
  <c r="J94" i="10"/>
  <c r="L94" i="10" s="1"/>
  <c r="J93" i="10"/>
  <c r="L93" i="10" s="1"/>
  <c r="J92" i="10"/>
  <c r="L92" i="10" s="1"/>
  <c r="J91" i="10"/>
  <c r="L91" i="10" s="1"/>
  <c r="J90" i="10"/>
  <c r="L90" i="10" s="1"/>
  <c r="J89" i="10"/>
  <c r="J87" i="10"/>
  <c r="L87" i="10" s="1"/>
  <c r="J86" i="10"/>
  <c r="L86" i="10" s="1"/>
  <c r="J85" i="10"/>
  <c r="L85" i="10" s="1"/>
  <c r="J84" i="10"/>
  <c r="L84" i="10" s="1"/>
  <c r="J83" i="10"/>
  <c r="L83" i="10" s="1"/>
  <c r="J82" i="10"/>
  <c r="L82" i="10" s="1"/>
  <c r="J81" i="10"/>
  <c r="L81" i="10" s="1"/>
  <c r="J80" i="10"/>
  <c r="L80" i="10" s="1"/>
  <c r="K79" i="10"/>
  <c r="I79" i="10"/>
  <c r="H79" i="10"/>
  <c r="G79" i="10"/>
  <c r="F79" i="10"/>
  <c r="D79" i="10"/>
  <c r="J78" i="10"/>
  <c r="L78" i="10" s="1"/>
  <c r="J77" i="10"/>
  <c r="K76" i="10"/>
  <c r="I76" i="10"/>
  <c r="H76" i="10"/>
  <c r="G76" i="10"/>
  <c r="F76" i="10"/>
  <c r="D76" i="10"/>
  <c r="J75" i="10"/>
  <c r="L75" i="10" s="1"/>
  <c r="J74" i="10"/>
  <c r="L74" i="10" s="1"/>
  <c r="J73" i="10"/>
  <c r="L73" i="10" s="1"/>
  <c r="J72" i="10"/>
  <c r="L72" i="10" s="1"/>
  <c r="J71" i="10"/>
  <c r="L71" i="10" s="1"/>
  <c r="J70" i="10"/>
  <c r="L70" i="10" s="1"/>
  <c r="J69" i="10"/>
  <c r="L69" i="10" s="1"/>
  <c r="J68" i="10"/>
  <c r="L68" i="10" s="1"/>
  <c r="J67" i="10"/>
  <c r="L67" i="10" s="1"/>
  <c r="J66" i="10"/>
  <c r="L66" i="10" s="1"/>
  <c r="J65" i="10"/>
  <c r="L65" i="10" s="1"/>
  <c r="J64" i="10"/>
  <c r="L64" i="10" s="1"/>
  <c r="J63" i="10"/>
  <c r="J62" i="10"/>
  <c r="L62" i="10" s="1"/>
  <c r="K61" i="10"/>
  <c r="I61" i="10"/>
  <c r="H61" i="10"/>
  <c r="G61" i="10"/>
  <c r="F61" i="10"/>
  <c r="D61" i="10"/>
  <c r="J60" i="10"/>
  <c r="L60" i="10" s="1"/>
  <c r="J59" i="10"/>
  <c r="L59" i="10" s="1"/>
  <c r="J58" i="10"/>
  <c r="L58" i="10" s="1"/>
  <c r="J57" i="10"/>
  <c r="L57" i="10" s="1"/>
  <c r="J56" i="10"/>
  <c r="L56" i="10" s="1"/>
  <c r="J55" i="10"/>
  <c r="L55" i="10" s="1"/>
  <c r="J54" i="10"/>
  <c r="J240" i="10" s="1"/>
  <c r="J53" i="10"/>
  <c r="J239" i="10" s="1"/>
  <c r="J52" i="10"/>
  <c r="K51" i="10"/>
  <c r="I51" i="10"/>
  <c r="H51" i="10"/>
  <c r="G51" i="10"/>
  <c r="F51" i="10"/>
  <c r="D51" i="10"/>
  <c r="J50" i="10"/>
  <c r="L50" i="10" s="1"/>
  <c r="J49" i="10"/>
  <c r="K48" i="10"/>
  <c r="I48" i="10"/>
  <c r="H48" i="10"/>
  <c r="G48" i="10"/>
  <c r="F48" i="10"/>
  <c r="E263" i="10"/>
  <c r="D48" i="10"/>
  <c r="J47" i="10"/>
  <c r="L47" i="10" s="1"/>
  <c r="J46" i="10"/>
  <c r="L46" i="10" s="1"/>
  <c r="J45" i="10"/>
  <c r="L45" i="10" s="1"/>
  <c r="J44" i="10"/>
  <c r="L44" i="10" s="1"/>
  <c r="J43" i="10"/>
  <c r="L43" i="10" s="1"/>
  <c r="J42" i="10"/>
  <c r="L42" i="10" s="1"/>
  <c r="J41" i="10"/>
  <c r="J256" i="10" s="1"/>
  <c r="J40" i="10"/>
  <c r="L40" i="10" s="1"/>
  <c r="J39" i="10"/>
  <c r="L39" i="10" s="1"/>
  <c r="J38" i="10"/>
  <c r="L38" i="10" s="1"/>
  <c r="J37" i="10"/>
  <c r="L37" i="10" s="1"/>
  <c r="J36" i="10"/>
  <c r="L36" i="10" s="1"/>
  <c r="J35" i="10"/>
  <c r="L35" i="10" s="1"/>
  <c r="J34" i="10"/>
  <c r="J33" i="10"/>
  <c r="L33" i="10" s="1"/>
  <c r="K32" i="10"/>
  <c r="I32" i="10"/>
  <c r="H32" i="10"/>
  <c r="G32" i="10"/>
  <c r="E32" i="10"/>
  <c r="E247" i="10" s="1"/>
  <c r="D32" i="10"/>
  <c r="J31" i="10"/>
  <c r="L31" i="10" s="1"/>
  <c r="J30" i="10"/>
  <c r="L30" i="10" s="1"/>
  <c r="F245" i="10"/>
  <c r="J29" i="10"/>
  <c r="L29" i="10" s="1"/>
  <c r="J28" i="10"/>
  <c r="L28" i="10" s="1"/>
  <c r="J27" i="10"/>
  <c r="L27" i="10" s="1"/>
  <c r="J26" i="10"/>
  <c r="L26" i="10" s="1"/>
  <c r="F238" i="10"/>
  <c r="K24" i="10"/>
  <c r="K237" i="10" s="1"/>
  <c r="I24" i="10"/>
  <c r="I237" i="10" s="1"/>
  <c r="H24" i="10"/>
  <c r="H237" i="10" s="1"/>
  <c r="G24" i="10"/>
  <c r="G237" i="10" s="1"/>
  <c r="F24" i="10"/>
  <c r="F237" i="10" s="1"/>
  <c r="E24" i="10"/>
  <c r="E237" i="10" s="1"/>
  <c r="D24" i="10"/>
  <c r="D237" i="10" s="1"/>
  <c r="J23" i="10"/>
  <c r="L23" i="10" s="1"/>
  <c r="J22" i="10"/>
  <c r="L22" i="10" s="1"/>
  <c r="J21" i="10"/>
  <c r="L21" i="10" s="1"/>
  <c r="J20" i="10"/>
  <c r="L20" i="10" s="1"/>
  <c r="J19" i="10"/>
  <c r="L19" i="10" s="1"/>
  <c r="J18" i="10"/>
  <c r="L18" i="10" s="1"/>
  <c r="J17" i="10"/>
  <c r="L17" i="10" s="1"/>
  <c r="J16" i="10"/>
  <c r="L16" i="10" s="1"/>
  <c r="J15" i="10"/>
  <c r="L15" i="10" s="1"/>
  <c r="J14" i="10"/>
  <c r="L14" i="10" s="1"/>
  <c r="J13" i="10"/>
  <c r="L13" i="10" s="1"/>
  <c r="J12" i="10"/>
  <c r="L12" i="10" s="1"/>
  <c r="J11" i="10"/>
  <c r="L11" i="10" s="1"/>
  <c r="J10" i="10"/>
  <c r="J9" i="10"/>
  <c r="J232" i="10" s="1"/>
  <c r="J8" i="10"/>
  <c r="J231" i="10" s="1"/>
  <c r="J7" i="10"/>
  <c r="J230" i="10" s="1"/>
  <c r="J6" i="10"/>
  <c r="J5" i="10"/>
  <c r="H113" i="10" l="1"/>
  <c r="D135" i="10"/>
  <c r="H156" i="10"/>
  <c r="D198" i="10"/>
  <c r="I198" i="10"/>
  <c r="M76" i="11"/>
  <c r="H135" i="10"/>
  <c r="G156" i="10"/>
  <c r="H198" i="10"/>
  <c r="K263" i="11"/>
  <c r="D156" i="10"/>
  <c r="I156" i="10"/>
  <c r="F348" i="11"/>
  <c r="F352" i="11" s="1"/>
  <c r="F323" i="11"/>
  <c r="D113" i="10"/>
  <c r="I113" i="10"/>
  <c r="G88" i="10"/>
  <c r="I88" i="10"/>
  <c r="G198" i="10"/>
  <c r="D88" i="10"/>
  <c r="L41" i="10"/>
  <c r="J120" i="10"/>
  <c r="G135" i="10"/>
  <c r="J143" i="10"/>
  <c r="F156" i="10"/>
  <c r="K156" i="10"/>
  <c r="J163" i="10"/>
  <c r="F198" i="10"/>
  <c r="K198" i="10"/>
  <c r="J196" i="10"/>
  <c r="J215" i="10"/>
  <c r="J234" i="10"/>
  <c r="H88" i="10"/>
  <c r="J48" i="10"/>
  <c r="J51" i="10"/>
  <c r="J61" i="10"/>
  <c r="G113" i="10"/>
  <c r="I135" i="10"/>
  <c r="J153" i="10"/>
  <c r="J76" i="10"/>
  <c r="J249" i="10"/>
  <c r="L213" i="10"/>
  <c r="L215" i="10" s="1"/>
  <c r="J229" i="10"/>
  <c r="J260" i="10"/>
  <c r="J79" i="10"/>
  <c r="K135" i="10"/>
  <c r="K113" i="10"/>
  <c r="K88" i="10"/>
  <c r="F113" i="10"/>
  <c r="F135" i="10"/>
  <c r="J130" i="10"/>
  <c r="J174" i="10"/>
  <c r="J205" i="10"/>
  <c r="J218" i="10" s="1"/>
  <c r="L182" i="10"/>
  <c r="L197" i="10"/>
  <c r="L165" i="10"/>
  <c r="L174" i="10" s="1"/>
  <c r="L114" i="10"/>
  <c r="L120" i="10" s="1"/>
  <c r="L122" i="10"/>
  <c r="L130" i="10" s="1"/>
  <c r="L34" i="10"/>
  <c r="J228" i="10"/>
  <c r="L5" i="10"/>
  <c r="L6" i="10"/>
  <c r="L7" i="10"/>
  <c r="L8" i="10"/>
  <c r="L9" i="10"/>
  <c r="L10" i="10"/>
  <c r="J235" i="10"/>
  <c r="J233" i="10"/>
  <c r="J236" i="10"/>
  <c r="J24" i="10"/>
  <c r="J237" i="10" s="1"/>
  <c r="J25" i="10"/>
  <c r="J238" i="10" s="1"/>
  <c r="L49" i="10"/>
  <c r="L51" i="10" s="1"/>
  <c r="L52" i="10"/>
  <c r="L53" i="10"/>
  <c r="L54" i="10"/>
  <c r="L63" i="10"/>
  <c r="L76" i="10" s="1"/>
  <c r="L77" i="10"/>
  <c r="L79" i="10" s="1"/>
  <c r="E88" i="10"/>
  <c r="E219" i="10" s="1"/>
  <c r="E268" i="10" s="1"/>
  <c r="J96" i="10"/>
  <c r="L89" i="10"/>
  <c r="L96" i="10" s="1"/>
  <c r="J108" i="10"/>
  <c r="L98" i="10"/>
  <c r="F32" i="10"/>
  <c r="F88" i="10" s="1"/>
  <c r="J253" i="10"/>
  <c r="L157" i="10"/>
  <c r="L163" i="10" s="1"/>
  <c r="J254" i="10"/>
  <c r="L185" i="10"/>
  <c r="J258" i="10"/>
  <c r="L187" i="10"/>
  <c r="J265" i="10"/>
  <c r="F267" i="10"/>
  <c r="H267" i="10"/>
  <c r="K267" i="10"/>
  <c r="J242" i="10"/>
  <c r="J243" i="10"/>
  <c r="J244" i="10"/>
  <c r="J245" i="10"/>
  <c r="D247" i="10"/>
  <c r="G247" i="10"/>
  <c r="I247" i="10"/>
  <c r="J248" i="10"/>
  <c r="J252" i="10"/>
  <c r="J259" i="10"/>
  <c r="J261" i="10"/>
  <c r="J262" i="10"/>
  <c r="D263" i="10"/>
  <c r="G263" i="10"/>
  <c r="I263" i="10"/>
  <c r="L102" i="10"/>
  <c r="L136" i="10"/>
  <c r="L143" i="10" s="1"/>
  <c r="L145" i="10"/>
  <c r="L153" i="10" s="1"/>
  <c r="J246" i="10"/>
  <c r="J251" i="10"/>
  <c r="J255" i="10"/>
  <c r="J182" i="10"/>
  <c r="J250" i="10"/>
  <c r="J192" i="10"/>
  <c r="L184" i="10"/>
  <c r="J257" i="10"/>
  <c r="L186" i="10"/>
  <c r="J266" i="10"/>
  <c r="D267" i="10"/>
  <c r="G267" i="10"/>
  <c r="I267" i="10"/>
  <c r="H247" i="10"/>
  <c r="K247" i="10"/>
  <c r="F263" i="10"/>
  <c r="H263" i="10"/>
  <c r="K263" i="10"/>
  <c r="L193" i="10"/>
  <c r="L194" i="10"/>
  <c r="D218" i="10"/>
  <c r="F218" i="10"/>
  <c r="H218" i="10"/>
  <c r="J241" i="10"/>
  <c r="L199" i="10"/>
  <c r="L205" i="10" s="1"/>
  <c r="G218" i="10"/>
  <c r="I218" i="10"/>
  <c r="K218" i="10"/>
  <c r="F30" i="9"/>
  <c r="F25" i="9"/>
  <c r="J179" i="10" l="1"/>
  <c r="K30" i="11"/>
  <c r="F245" i="11"/>
  <c r="J135" i="10"/>
  <c r="F32" i="11"/>
  <c r="K25" i="11"/>
  <c r="I219" i="10"/>
  <c r="I268" i="10" s="1"/>
  <c r="L48" i="10"/>
  <c r="L218" i="10"/>
  <c r="L179" i="10"/>
  <c r="D219" i="10"/>
  <c r="D268" i="10" s="1"/>
  <c r="J267" i="10"/>
  <c r="K219" i="10"/>
  <c r="K268" i="10" s="1"/>
  <c r="J156" i="10"/>
  <c r="H219" i="10"/>
  <c r="H268" i="10" s="1"/>
  <c r="G219" i="10"/>
  <c r="G268" i="10" s="1"/>
  <c r="L196" i="10"/>
  <c r="J263" i="10"/>
  <c r="L135" i="10"/>
  <c r="F247" i="10"/>
  <c r="L24" i="10"/>
  <c r="J198" i="10"/>
  <c r="L156" i="10"/>
  <c r="J113" i="10"/>
  <c r="L61" i="10"/>
  <c r="J32" i="10"/>
  <c r="J88" i="10" s="1"/>
  <c r="L25" i="10"/>
  <c r="L32" i="10" s="1"/>
  <c r="L192" i="10"/>
  <c r="F219" i="10"/>
  <c r="F268" i="10" s="1"/>
  <c r="L108" i="10"/>
  <c r="L113" i="10" s="1"/>
  <c r="E217" i="9"/>
  <c r="E198" i="9"/>
  <c r="E179" i="9"/>
  <c r="E156" i="9"/>
  <c r="E135" i="9"/>
  <c r="E113" i="9"/>
  <c r="J213" i="9"/>
  <c r="L213" i="9" s="1"/>
  <c r="J209" i="9"/>
  <c r="L209" i="9" s="1"/>
  <c r="E243" i="9"/>
  <c r="E263" i="9"/>
  <c r="J195" i="9"/>
  <c r="L195" i="9" s="1"/>
  <c r="J171" i="9"/>
  <c r="L171" i="9" s="1"/>
  <c r="J161" i="9"/>
  <c r="L161" i="9" s="1"/>
  <c r="J159" i="9"/>
  <c r="L159" i="9" s="1"/>
  <c r="E237" i="9"/>
  <c r="J151" i="9"/>
  <c r="L151" i="9" s="1"/>
  <c r="J147" i="9"/>
  <c r="J145" i="9"/>
  <c r="L145" i="9" s="1"/>
  <c r="J129" i="9"/>
  <c r="L129" i="9" s="1"/>
  <c r="J127" i="9"/>
  <c r="L127" i="9" s="1"/>
  <c r="J125" i="9"/>
  <c r="L125" i="9" s="1"/>
  <c r="E249" i="9"/>
  <c r="J121" i="9"/>
  <c r="L121" i="9" s="1"/>
  <c r="E251" i="9"/>
  <c r="J84" i="9"/>
  <c r="L84" i="9" s="1"/>
  <c r="J82" i="9"/>
  <c r="L82" i="9" s="1"/>
  <c r="J80" i="9"/>
  <c r="L80" i="9" s="1"/>
  <c r="J74" i="9"/>
  <c r="L74" i="9" s="1"/>
  <c r="E253" i="9"/>
  <c r="E245" i="9"/>
  <c r="J58" i="9"/>
  <c r="L58" i="9" s="1"/>
  <c r="E241" i="9"/>
  <c r="J54" i="9"/>
  <c r="E32" i="9"/>
  <c r="E48" i="9"/>
  <c r="J49" i="9"/>
  <c r="E242" i="9"/>
  <c r="J22" i="9"/>
  <c r="L22" i="9" s="1"/>
  <c r="J20" i="9"/>
  <c r="L20" i="9" s="1"/>
  <c r="J18" i="9"/>
  <c r="L18" i="9" s="1"/>
  <c r="J16" i="9"/>
  <c r="L16" i="9" s="1"/>
  <c r="E227" i="9"/>
  <c r="J12" i="9"/>
  <c r="L12" i="9" s="1"/>
  <c r="E233" i="9"/>
  <c r="J8" i="9"/>
  <c r="J230" i="9" s="1"/>
  <c r="J6" i="9"/>
  <c r="K265" i="9"/>
  <c r="I265" i="9"/>
  <c r="H265" i="9"/>
  <c r="G265" i="9"/>
  <c r="F265" i="9"/>
  <c r="E265" i="9"/>
  <c r="D265" i="9"/>
  <c r="K264" i="9"/>
  <c r="I264" i="9"/>
  <c r="H264" i="9"/>
  <c r="G264" i="9"/>
  <c r="F264" i="9"/>
  <c r="E264" i="9"/>
  <c r="D264" i="9"/>
  <c r="K263" i="9"/>
  <c r="I263" i="9"/>
  <c r="H263" i="9"/>
  <c r="G263" i="9"/>
  <c r="F263" i="9"/>
  <c r="D263" i="9"/>
  <c r="K261" i="9"/>
  <c r="I261" i="9"/>
  <c r="H261" i="9"/>
  <c r="G261" i="9"/>
  <c r="F261" i="9"/>
  <c r="D261" i="9"/>
  <c r="K260" i="9"/>
  <c r="I260" i="9"/>
  <c r="H260" i="9"/>
  <c r="G260" i="9"/>
  <c r="F260" i="9"/>
  <c r="D260" i="9"/>
  <c r="K259" i="9"/>
  <c r="I259" i="9"/>
  <c r="H259" i="9"/>
  <c r="G259" i="9"/>
  <c r="F259" i="9"/>
  <c r="E259" i="9"/>
  <c r="D259" i="9"/>
  <c r="K258" i="9"/>
  <c r="I258" i="9"/>
  <c r="H258" i="9"/>
  <c r="G258" i="9"/>
  <c r="F258" i="9"/>
  <c r="D258" i="9"/>
  <c r="K257" i="9"/>
  <c r="I257" i="9"/>
  <c r="H257" i="9"/>
  <c r="G257" i="9"/>
  <c r="F257" i="9"/>
  <c r="D257" i="9"/>
  <c r="K256" i="9"/>
  <c r="I256" i="9"/>
  <c r="H256" i="9"/>
  <c r="G256" i="9"/>
  <c r="F256" i="9"/>
  <c r="D256" i="9"/>
  <c r="K255" i="9"/>
  <c r="I255" i="9"/>
  <c r="H255" i="9"/>
  <c r="G255" i="9"/>
  <c r="F255" i="9"/>
  <c r="E255" i="9"/>
  <c r="D255" i="9"/>
  <c r="K254" i="9"/>
  <c r="I254" i="9"/>
  <c r="H254" i="9"/>
  <c r="G254" i="9"/>
  <c r="F254" i="9"/>
  <c r="D254" i="9"/>
  <c r="K253" i="9"/>
  <c r="I253" i="9"/>
  <c r="H253" i="9"/>
  <c r="G253" i="9"/>
  <c r="F253" i="9"/>
  <c r="D253" i="9"/>
  <c r="K252" i="9"/>
  <c r="I252" i="9"/>
  <c r="H252" i="9"/>
  <c r="G252" i="9"/>
  <c r="F252" i="9"/>
  <c r="E252" i="9"/>
  <c r="D252" i="9"/>
  <c r="K251" i="9"/>
  <c r="I251" i="9"/>
  <c r="H251" i="9"/>
  <c r="G251" i="9"/>
  <c r="F251" i="9"/>
  <c r="D251" i="9"/>
  <c r="K250" i="9"/>
  <c r="I250" i="9"/>
  <c r="H250" i="9"/>
  <c r="G250" i="9"/>
  <c r="F250" i="9"/>
  <c r="D250" i="9"/>
  <c r="K249" i="9"/>
  <c r="I249" i="9"/>
  <c r="H249" i="9"/>
  <c r="G249" i="9"/>
  <c r="F249" i="9"/>
  <c r="D249" i="9"/>
  <c r="K248" i="9"/>
  <c r="I248" i="9"/>
  <c r="H248" i="9"/>
  <c r="G248" i="9"/>
  <c r="F248" i="9"/>
  <c r="E248" i="9"/>
  <c r="D248" i="9"/>
  <c r="K247" i="9"/>
  <c r="I247" i="9"/>
  <c r="H247" i="9"/>
  <c r="G247" i="9"/>
  <c r="F247" i="9"/>
  <c r="D247" i="9"/>
  <c r="K245" i="9"/>
  <c r="I245" i="9"/>
  <c r="H245" i="9"/>
  <c r="G245" i="9"/>
  <c r="F245" i="9"/>
  <c r="D245" i="9"/>
  <c r="K244" i="9"/>
  <c r="I244" i="9"/>
  <c r="H244" i="9"/>
  <c r="G244" i="9"/>
  <c r="F244" i="9"/>
  <c r="D244" i="9"/>
  <c r="K243" i="9"/>
  <c r="I243" i="9"/>
  <c r="H243" i="9"/>
  <c r="G243" i="9"/>
  <c r="F243" i="9"/>
  <c r="D243" i="9"/>
  <c r="K242" i="9"/>
  <c r="I242" i="9"/>
  <c r="H242" i="9"/>
  <c r="G242" i="9"/>
  <c r="F242" i="9"/>
  <c r="D242" i="9"/>
  <c r="K241" i="9"/>
  <c r="I241" i="9"/>
  <c r="H241" i="9"/>
  <c r="G241" i="9"/>
  <c r="F241" i="9"/>
  <c r="D241" i="9"/>
  <c r="K240" i="9"/>
  <c r="I240" i="9"/>
  <c r="H240" i="9"/>
  <c r="G240" i="9"/>
  <c r="F240" i="9"/>
  <c r="D240" i="9"/>
  <c r="K239" i="9"/>
  <c r="I239" i="9"/>
  <c r="H239" i="9"/>
  <c r="G239" i="9"/>
  <c r="F239" i="9"/>
  <c r="E239" i="9"/>
  <c r="D239" i="9"/>
  <c r="K238" i="9"/>
  <c r="I238" i="9"/>
  <c r="H238" i="9"/>
  <c r="G238" i="9"/>
  <c r="F238" i="9"/>
  <c r="E238" i="9"/>
  <c r="D238" i="9"/>
  <c r="K237" i="9"/>
  <c r="I237" i="9"/>
  <c r="H237" i="9"/>
  <c r="G237" i="9"/>
  <c r="F237" i="9"/>
  <c r="D237" i="9"/>
  <c r="K235" i="9"/>
  <c r="I235" i="9"/>
  <c r="H235" i="9"/>
  <c r="G235" i="9"/>
  <c r="F235" i="9"/>
  <c r="E235" i="9"/>
  <c r="D235" i="9"/>
  <c r="K234" i="9"/>
  <c r="I234" i="9"/>
  <c r="H234" i="9"/>
  <c r="G234" i="9"/>
  <c r="E234" i="9"/>
  <c r="D234" i="9"/>
  <c r="K233" i="9"/>
  <c r="I233" i="9"/>
  <c r="H233" i="9"/>
  <c r="G233" i="9"/>
  <c r="F233" i="9"/>
  <c r="D233" i="9"/>
  <c r="K232" i="9"/>
  <c r="I232" i="9"/>
  <c r="H232" i="9"/>
  <c r="G232" i="9"/>
  <c r="E232" i="9"/>
  <c r="D232" i="9"/>
  <c r="K231" i="9"/>
  <c r="I231" i="9"/>
  <c r="H231" i="9"/>
  <c r="G231" i="9"/>
  <c r="E231" i="9"/>
  <c r="D231" i="9"/>
  <c r="K230" i="9"/>
  <c r="I230" i="9"/>
  <c r="H230" i="9"/>
  <c r="G230" i="9"/>
  <c r="F230" i="9"/>
  <c r="E230" i="9"/>
  <c r="D230" i="9"/>
  <c r="K229" i="9"/>
  <c r="I229" i="9"/>
  <c r="H229" i="9"/>
  <c r="G229" i="9"/>
  <c r="F229" i="9"/>
  <c r="E229" i="9"/>
  <c r="D229" i="9"/>
  <c r="K228" i="9"/>
  <c r="I228" i="9"/>
  <c r="H228" i="9"/>
  <c r="G228" i="9"/>
  <c r="F228" i="9"/>
  <c r="E228" i="9"/>
  <c r="D228" i="9"/>
  <c r="K227" i="9"/>
  <c r="I227" i="9"/>
  <c r="H227" i="9"/>
  <c r="G227" i="9"/>
  <c r="F227" i="9"/>
  <c r="D227" i="9"/>
  <c r="J216" i="9"/>
  <c r="L216" i="9" s="1"/>
  <c r="J215" i="9"/>
  <c r="L215" i="9" s="1"/>
  <c r="K214" i="9"/>
  <c r="I214" i="9"/>
  <c r="H214" i="9"/>
  <c r="G214" i="9"/>
  <c r="F214" i="9"/>
  <c r="D214" i="9"/>
  <c r="J212" i="9"/>
  <c r="L212" i="9" s="1"/>
  <c r="J210" i="9"/>
  <c r="L210" i="9" s="1"/>
  <c r="J208" i="9"/>
  <c r="L208" i="9" s="1"/>
  <c r="J206" i="9"/>
  <c r="L206" i="9" s="1"/>
  <c r="K205" i="9"/>
  <c r="I205" i="9"/>
  <c r="H205" i="9"/>
  <c r="G205" i="9"/>
  <c r="G217" i="9" s="1"/>
  <c r="F205" i="9"/>
  <c r="F217" i="9" s="1"/>
  <c r="D205" i="9"/>
  <c r="J204" i="9"/>
  <c r="L204" i="9" s="1"/>
  <c r="J203" i="9"/>
  <c r="L203" i="9" s="1"/>
  <c r="J202" i="9"/>
  <c r="L202" i="9" s="1"/>
  <c r="J201" i="9"/>
  <c r="L201" i="9" s="1"/>
  <c r="J200" i="9"/>
  <c r="L200" i="9" s="1"/>
  <c r="J199" i="9"/>
  <c r="J197" i="9"/>
  <c r="L197" i="9" s="1"/>
  <c r="K196" i="9"/>
  <c r="I196" i="9"/>
  <c r="H196" i="9"/>
  <c r="G196" i="9"/>
  <c r="F196" i="9"/>
  <c r="D196" i="9"/>
  <c r="J194" i="9"/>
  <c r="L194" i="9" s="1"/>
  <c r="K192" i="9"/>
  <c r="I192" i="9"/>
  <c r="H192" i="9"/>
  <c r="G192" i="9"/>
  <c r="F192" i="9"/>
  <c r="D192" i="9"/>
  <c r="J191" i="9"/>
  <c r="L191" i="9" s="1"/>
  <c r="J190" i="9"/>
  <c r="L190" i="9" s="1"/>
  <c r="J189" i="9"/>
  <c r="L189" i="9" s="1"/>
  <c r="J188" i="9"/>
  <c r="L188" i="9" s="1"/>
  <c r="J187" i="9"/>
  <c r="L187" i="9" s="1"/>
  <c r="J186" i="9"/>
  <c r="L186" i="9" s="1"/>
  <c r="J185" i="9"/>
  <c r="L185" i="9" s="1"/>
  <c r="J184" i="9"/>
  <c r="J183" i="9"/>
  <c r="L183" i="9" s="1"/>
  <c r="K182" i="9"/>
  <c r="I182" i="9"/>
  <c r="H182" i="9"/>
  <c r="G182" i="9"/>
  <c r="F182" i="9"/>
  <c r="D182" i="9"/>
  <c r="J181" i="9"/>
  <c r="L181" i="9" s="1"/>
  <c r="J180" i="9"/>
  <c r="L180" i="9" s="1"/>
  <c r="J178" i="9"/>
  <c r="L178" i="9" s="1"/>
  <c r="J177" i="9"/>
  <c r="L177" i="9" s="1"/>
  <c r="J176" i="9"/>
  <c r="L176" i="9" s="1"/>
  <c r="J175" i="9"/>
  <c r="L175" i="9" s="1"/>
  <c r="K174" i="9"/>
  <c r="I174" i="9"/>
  <c r="H174" i="9"/>
  <c r="G174" i="9"/>
  <c r="F174" i="9"/>
  <c r="D174" i="9"/>
  <c r="J172" i="9"/>
  <c r="L172" i="9" s="1"/>
  <c r="J170" i="9"/>
  <c r="L170" i="9" s="1"/>
  <c r="J168" i="9"/>
  <c r="L168" i="9" s="1"/>
  <c r="J166" i="9"/>
  <c r="L166" i="9" s="1"/>
  <c r="J164" i="9"/>
  <c r="L164" i="9" s="1"/>
  <c r="K163" i="9"/>
  <c r="I163" i="9"/>
  <c r="H163" i="9"/>
  <c r="G163" i="9"/>
  <c r="F163" i="9"/>
  <c r="D163" i="9"/>
  <c r="J162" i="9"/>
  <c r="L162" i="9" s="1"/>
  <c r="J160" i="9"/>
  <c r="L160" i="9" s="1"/>
  <c r="J158" i="9"/>
  <c r="L158" i="9" s="1"/>
  <c r="J155" i="9"/>
  <c r="L155" i="9" s="1"/>
  <c r="J154" i="9"/>
  <c r="L154" i="9" s="1"/>
  <c r="K153" i="9"/>
  <c r="I153" i="9"/>
  <c r="H153" i="9"/>
  <c r="G153" i="9"/>
  <c r="F153" i="9"/>
  <c r="D153" i="9"/>
  <c r="J152" i="9"/>
  <c r="L152" i="9" s="1"/>
  <c r="J150" i="9"/>
  <c r="L150" i="9" s="1"/>
  <c r="J148" i="9"/>
  <c r="L148" i="9" s="1"/>
  <c r="L147" i="9"/>
  <c r="J146" i="9"/>
  <c r="L146" i="9" s="1"/>
  <c r="J144" i="9"/>
  <c r="L144" i="9" s="1"/>
  <c r="K143" i="9"/>
  <c r="I143" i="9"/>
  <c r="I156" i="9" s="1"/>
  <c r="H143" i="9"/>
  <c r="H156" i="9" s="1"/>
  <c r="G143" i="9"/>
  <c r="G156" i="9" s="1"/>
  <c r="F143" i="9"/>
  <c r="D143" i="9"/>
  <c r="D156" i="9" s="1"/>
  <c r="J142" i="9"/>
  <c r="L142" i="9" s="1"/>
  <c r="J141" i="9"/>
  <c r="L141" i="9" s="1"/>
  <c r="J140" i="9"/>
  <c r="L140" i="9" s="1"/>
  <c r="J139" i="9"/>
  <c r="L139" i="9" s="1"/>
  <c r="J138" i="9"/>
  <c r="L138" i="9" s="1"/>
  <c r="J137" i="9"/>
  <c r="L137" i="9" s="1"/>
  <c r="J136" i="9"/>
  <c r="J134" i="9"/>
  <c r="L134" i="9" s="1"/>
  <c r="J133" i="9"/>
  <c r="L133" i="9" s="1"/>
  <c r="J132" i="9"/>
  <c r="L132" i="9" s="1"/>
  <c r="J131" i="9"/>
  <c r="L131" i="9" s="1"/>
  <c r="K130" i="9"/>
  <c r="I130" i="9"/>
  <c r="H130" i="9"/>
  <c r="G130" i="9"/>
  <c r="F130" i="9"/>
  <c r="D130" i="9"/>
  <c r="J128" i="9"/>
  <c r="L128" i="9" s="1"/>
  <c r="J126" i="9"/>
  <c r="L126" i="9" s="1"/>
  <c r="J124" i="9"/>
  <c r="L124" i="9" s="1"/>
  <c r="J122" i="9"/>
  <c r="L122" i="9" s="1"/>
  <c r="K120" i="9"/>
  <c r="I120" i="9"/>
  <c r="H120" i="9"/>
  <c r="G120" i="9"/>
  <c r="G135" i="9" s="1"/>
  <c r="F120" i="9"/>
  <c r="D120" i="9"/>
  <c r="J119" i="9"/>
  <c r="L119" i="9" s="1"/>
  <c r="J118" i="9"/>
  <c r="L118" i="9" s="1"/>
  <c r="J117" i="9"/>
  <c r="L117" i="9" s="1"/>
  <c r="J116" i="9"/>
  <c r="L116" i="9" s="1"/>
  <c r="J115" i="9"/>
  <c r="L115" i="9" s="1"/>
  <c r="J114" i="9"/>
  <c r="J112" i="9"/>
  <c r="L112" i="9" s="1"/>
  <c r="J111" i="9"/>
  <c r="L111" i="9" s="1"/>
  <c r="J110" i="9"/>
  <c r="L110" i="9" s="1"/>
  <c r="J109" i="9"/>
  <c r="L109" i="9" s="1"/>
  <c r="K108" i="9"/>
  <c r="I108" i="9"/>
  <c r="H108" i="9"/>
  <c r="G108" i="9"/>
  <c r="F108" i="9"/>
  <c r="D108" i="9"/>
  <c r="J107" i="9"/>
  <c r="L107" i="9" s="1"/>
  <c r="J106" i="9"/>
  <c r="L106" i="9" s="1"/>
  <c r="J105" i="9"/>
  <c r="L105" i="9" s="1"/>
  <c r="J104" i="9"/>
  <c r="L104" i="9" s="1"/>
  <c r="J103" i="9"/>
  <c r="L103" i="9" s="1"/>
  <c r="J102" i="9"/>
  <c r="L102" i="9" s="1"/>
  <c r="J101" i="9"/>
  <c r="L101" i="9" s="1"/>
  <c r="J100" i="9"/>
  <c r="L100" i="9" s="1"/>
  <c r="J99" i="9"/>
  <c r="L99" i="9" s="1"/>
  <c r="J98" i="9"/>
  <c r="L98" i="9" s="1"/>
  <c r="J97" i="9"/>
  <c r="L97" i="9" s="1"/>
  <c r="K96" i="9"/>
  <c r="I96" i="9"/>
  <c r="H96" i="9"/>
  <c r="G96" i="9"/>
  <c r="F96" i="9"/>
  <c r="D96" i="9"/>
  <c r="J95" i="9"/>
  <c r="L95" i="9" s="1"/>
  <c r="J94" i="9"/>
  <c r="L94" i="9" s="1"/>
  <c r="J93" i="9"/>
  <c r="L93" i="9" s="1"/>
  <c r="J92" i="9"/>
  <c r="L92" i="9" s="1"/>
  <c r="J91" i="9"/>
  <c r="L91" i="9" s="1"/>
  <c r="J90" i="9"/>
  <c r="L90" i="9" s="1"/>
  <c r="J89" i="9"/>
  <c r="J87" i="9"/>
  <c r="L87" i="9" s="1"/>
  <c r="J85" i="9"/>
  <c r="L85" i="9" s="1"/>
  <c r="J83" i="9"/>
  <c r="L83" i="9" s="1"/>
  <c r="J81" i="9"/>
  <c r="L81" i="9" s="1"/>
  <c r="K79" i="9"/>
  <c r="I79" i="9"/>
  <c r="H79" i="9"/>
  <c r="G79" i="9"/>
  <c r="F79" i="9"/>
  <c r="D79" i="9"/>
  <c r="J78" i="9"/>
  <c r="L78" i="9" s="1"/>
  <c r="J77" i="9"/>
  <c r="K76" i="9"/>
  <c r="I76" i="9"/>
  <c r="H76" i="9"/>
  <c r="G76" i="9"/>
  <c r="F76" i="9"/>
  <c r="D76" i="9"/>
  <c r="J75" i="9"/>
  <c r="L75" i="9" s="1"/>
  <c r="J73" i="9"/>
  <c r="L73" i="9" s="1"/>
  <c r="J72" i="9"/>
  <c r="L72" i="9" s="1"/>
  <c r="J71" i="9"/>
  <c r="L71" i="9" s="1"/>
  <c r="J70" i="9"/>
  <c r="L70" i="9" s="1"/>
  <c r="J69" i="9"/>
  <c r="L69" i="9" s="1"/>
  <c r="J68" i="9"/>
  <c r="L68" i="9" s="1"/>
  <c r="J67" i="9"/>
  <c r="L67" i="9" s="1"/>
  <c r="J66" i="9"/>
  <c r="L66" i="9" s="1"/>
  <c r="J65" i="9"/>
  <c r="L65" i="9" s="1"/>
  <c r="J64" i="9"/>
  <c r="L64" i="9" s="1"/>
  <c r="J63" i="9"/>
  <c r="L63" i="9" s="1"/>
  <c r="J62" i="9"/>
  <c r="L62" i="9" s="1"/>
  <c r="K61" i="9"/>
  <c r="I61" i="9"/>
  <c r="H61" i="9"/>
  <c r="G61" i="9"/>
  <c r="F61" i="9"/>
  <c r="D61" i="9"/>
  <c r="J59" i="9"/>
  <c r="L59" i="9" s="1"/>
  <c r="J57" i="9"/>
  <c r="L57" i="9" s="1"/>
  <c r="J55" i="9"/>
  <c r="L55" i="9" s="1"/>
  <c r="J53" i="9"/>
  <c r="J238" i="9" s="1"/>
  <c r="K51" i="9"/>
  <c r="I51" i="9"/>
  <c r="H51" i="9"/>
  <c r="G51" i="9"/>
  <c r="F51" i="9"/>
  <c r="D51" i="9"/>
  <c r="J50" i="9"/>
  <c r="L50" i="9" s="1"/>
  <c r="K48" i="9"/>
  <c r="I48" i="9"/>
  <c r="H48" i="9"/>
  <c r="G48" i="9"/>
  <c r="F48" i="9"/>
  <c r="D48" i="9"/>
  <c r="J47" i="9"/>
  <c r="L47" i="9" s="1"/>
  <c r="J46" i="9"/>
  <c r="L46" i="9" s="1"/>
  <c r="J45" i="9"/>
  <c r="L45" i="9" s="1"/>
  <c r="J44" i="9"/>
  <c r="L44" i="9" s="1"/>
  <c r="J43" i="9"/>
  <c r="J42" i="9"/>
  <c r="L42" i="9" s="1"/>
  <c r="J41" i="9"/>
  <c r="J255" i="9" s="1"/>
  <c r="J40" i="9"/>
  <c r="J39" i="9"/>
  <c r="J38" i="9"/>
  <c r="L38" i="9" s="1"/>
  <c r="J37" i="9"/>
  <c r="J36" i="9"/>
  <c r="L36" i="9" s="1"/>
  <c r="J35" i="9"/>
  <c r="J34" i="9"/>
  <c r="J33" i="9"/>
  <c r="K32" i="9"/>
  <c r="I32" i="9"/>
  <c r="H32" i="9"/>
  <c r="G32" i="9"/>
  <c r="F32" i="9"/>
  <c r="D32" i="9"/>
  <c r="J31" i="9"/>
  <c r="L31" i="9" s="1"/>
  <c r="J30" i="9"/>
  <c r="L30" i="9" s="1"/>
  <c r="J29" i="9"/>
  <c r="L29" i="9" s="1"/>
  <c r="J28" i="9"/>
  <c r="L28" i="9" s="1"/>
  <c r="J27" i="9"/>
  <c r="L27" i="9" s="1"/>
  <c r="J26" i="9"/>
  <c r="L26" i="9" s="1"/>
  <c r="J25" i="9"/>
  <c r="K24" i="9"/>
  <c r="K236" i="9" s="1"/>
  <c r="I24" i="9"/>
  <c r="I236" i="9" s="1"/>
  <c r="H24" i="9"/>
  <c r="H236" i="9" s="1"/>
  <c r="G24" i="9"/>
  <c r="G236" i="9" s="1"/>
  <c r="E24" i="9"/>
  <c r="E236" i="9" s="1"/>
  <c r="D24" i="9"/>
  <c r="D236" i="9" s="1"/>
  <c r="J23" i="9"/>
  <c r="J21" i="9"/>
  <c r="L21" i="9" s="1"/>
  <c r="J19" i="9"/>
  <c r="L19" i="9" s="1"/>
  <c r="J17" i="9"/>
  <c r="L17" i="9" s="1"/>
  <c r="J15" i="9"/>
  <c r="L15" i="9" s="1"/>
  <c r="J13" i="9"/>
  <c r="J11" i="9"/>
  <c r="L11" i="9" s="1"/>
  <c r="F234" i="9"/>
  <c r="F231" i="9"/>
  <c r="J7" i="9"/>
  <c r="J229" i="9" s="1"/>
  <c r="J5" i="9"/>
  <c r="D135" i="9" l="1"/>
  <c r="I135" i="9"/>
  <c r="D217" i="9"/>
  <c r="I217" i="9"/>
  <c r="K32" i="11"/>
  <c r="M25" i="11"/>
  <c r="K238" i="11"/>
  <c r="F247" i="11"/>
  <c r="F88" i="11"/>
  <c r="F219" i="11" s="1"/>
  <c r="F268" i="11" s="1"/>
  <c r="M30" i="11"/>
  <c r="K245" i="11"/>
  <c r="H113" i="9"/>
  <c r="F198" i="9"/>
  <c r="E88" i="9"/>
  <c r="H135" i="9"/>
  <c r="L88" i="10"/>
  <c r="H198" i="9"/>
  <c r="J219" i="10"/>
  <c r="J268" i="10" s="1"/>
  <c r="L198" i="10"/>
  <c r="J247" i="10"/>
  <c r="G88" i="9"/>
  <c r="D113" i="9"/>
  <c r="G113" i="9"/>
  <c r="I113" i="9"/>
  <c r="F113" i="9"/>
  <c r="H179" i="9"/>
  <c r="G179" i="9"/>
  <c r="I179" i="9"/>
  <c r="D198" i="9"/>
  <c r="G198" i="9"/>
  <c r="I198" i="9"/>
  <c r="F135" i="9"/>
  <c r="H246" i="9"/>
  <c r="H262" i="9"/>
  <c r="H217" i="9"/>
  <c r="F88" i="9"/>
  <c r="H88" i="9"/>
  <c r="L53" i="9"/>
  <c r="D262" i="9"/>
  <c r="I88" i="9"/>
  <c r="D266" i="9"/>
  <c r="F156" i="9"/>
  <c r="D179" i="9"/>
  <c r="F179" i="9"/>
  <c r="F266" i="9"/>
  <c r="H266" i="9"/>
  <c r="K198" i="9"/>
  <c r="K156" i="9"/>
  <c r="K135" i="9"/>
  <c r="K88" i="9"/>
  <c r="K179" i="9"/>
  <c r="K113" i="9"/>
  <c r="L76" i="9"/>
  <c r="J259" i="9"/>
  <c r="L108" i="9"/>
  <c r="J120" i="9"/>
  <c r="J263" i="9"/>
  <c r="J257" i="9"/>
  <c r="J192" i="9"/>
  <c r="L184" i="9"/>
  <c r="L192" i="9" s="1"/>
  <c r="J205" i="9"/>
  <c r="L199" i="9"/>
  <c r="L205" i="9" s="1"/>
  <c r="J165" i="9"/>
  <c r="J248" i="9" s="1"/>
  <c r="E250" i="9"/>
  <c r="J167" i="9"/>
  <c r="L167" i="9" s="1"/>
  <c r="E254" i="9"/>
  <c r="J169" i="9"/>
  <c r="L169" i="9" s="1"/>
  <c r="E260" i="9"/>
  <c r="J173" i="9"/>
  <c r="L173" i="9" s="1"/>
  <c r="E266" i="9"/>
  <c r="J193" i="9"/>
  <c r="J207" i="9"/>
  <c r="E258" i="9"/>
  <c r="J211" i="9"/>
  <c r="L211" i="9" s="1"/>
  <c r="J254" i="9"/>
  <c r="J261" i="9"/>
  <c r="L114" i="9"/>
  <c r="L120" i="9" s="1"/>
  <c r="J123" i="9"/>
  <c r="L123" i="9" s="1"/>
  <c r="L130" i="9" s="1"/>
  <c r="J143" i="9"/>
  <c r="L136" i="9"/>
  <c r="L143" i="9" s="1"/>
  <c r="J157" i="9"/>
  <c r="L182" i="9"/>
  <c r="E257" i="9"/>
  <c r="E261" i="9"/>
  <c r="E240" i="9"/>
  <c r="E256" i="9"/>
  <c r="J149" i="9"/>
  <c r="L149" i="9" s="1"/>
  <c r="L153" i="9" s="1"/>
  <c r="E244" i="9"/>
  <c r="E247" i="9"/>
  <c r="L40" i="9"/>
  <c r="L41" i="9"/>
  <c r="L43" i="9"/>
  <c r="F262" i="9"/>
  <c r="F246" i="9"/>
  <c r="J239" i="9"/>
  <c r="L54" i="9"/>
  <c r="E246" i="9"/>
  <c r="J247" i="9"/>
  <c r="J251" i="9"/>
  <c r="J253" i="9"/>
  <c r="J52" i="9"/>
  <c r="J56" i="9"/>
  <c r="L56" i="9" s="1"/>
  <c r="J60" i="9"/>
  <c r="L60" i="9" s="1"/>
  <c r="J86" i="9"/>
  <c r="L86" i="9" s="1"/>
  <c r="J51" i="9"/>
  <c r="L49" i="9"/>
  <c r="L51" i="9" s="1"/>
  <c r="J48" i="9"/>
  <c r="L33" i="9"/>
  <c r="L34" i="9"/>
  <c r="L35" i="9"/>
  <c r="L37" i="9"/>
  <c r="L39" i="9"/>
  <c r="J32" i="9"/>
  <c r="L25" i="9"/>
  <c r="L32" i="9" s="1"/>
  <c r="J243" i="9"/>
  <c r="J228" i="9"/>
  <c r="J235" i="9"/>
  <c r="J10" i="9"/>
  <c r="J14" i="9"/>
  <c r="L14" i="9" s="1"/>
  <c r="F24" i="9"/>
  <c r="F236" i="9" s="1"/>
  <c r="J79" i="9"/>
  <c r="L77" i="9"/>
  <c r="L79" i="9" s="1"/>
  <c r="D88" i="9"/>
  <c r="J96" i="9"/>
  <c r="L89" i="9"/>
  <c r="L96" i="9" s="1"/>
  <c r="J108" i="9"/>
  <c r="J182" i="9"/>
  <c r="J252" i="9"/>
  <c r="L5" i="9"/>
  <c r="L6" i="9"/>
  <c r="L7" i="9"/>
  <c r="L8" i="9"/>
  <c r="J9" i="9"/>
  <c r="L13" i="9"/>
  <c r="L23" i="9"/>
  <c r="J76" i="9"/>
  <c r="G266" i="9"/>
  <c r="I266" i="9"/>
  <c r="K266" i="9"/>
  <c r="G246" i="9"/>
  <c r="I246" i="9"/>
  <c r="K246" i="9"/>
  <c r="G262" i="9"/>
  <c r="I262" i="9"/>
  <c r="K262" i="9"/>
  <c r="F232" i="9"/>
  <c r="J232" i="9"/>
  <c r="J240" i="9"/>
  <c r="J242" i="9"/>
  <c r="J244" i="9"/>
  <c r="D246" i="9"/>
  <c r="J264" i="9"/>
  <c r="J265" i="9"/>
  <c r="K217" i="9"/>
  <c r="F211" i="8"/>
  <c r="F210" i="8"/>
  <c r="F204" i="8"/>
  <c r="F171" i="8"/>
  <c r="F150" i="8"/>
  <c r="F146" i="8"/>
  <c r="F141" i="8"/>
  <c r="F136" i="8"/>
  <c r="F127" i="8"/>
  <c r="F118" i="8"/>
  <c r="F114" i="8"/>
  <c r="F94" i="8"/>
  <c r="F89" i="8"/>
  <c r="F30" i="8"/>
  <c r="F25" i="8"/>
  <c r="F12" i="8"/>
  <c r="F11" i="8"/>
  <c r="F10" i="8"/>
  <c r="F291" i="8"/>
  <c r="F290" i="8"/>
  <c r="F289" i="8"/>
  <c r="F279" i="8"/>
  <c r="F276" i="8"/>
  <c r="F331" i="8" s="1"/>
  <c r="F274" i="8"/>
  <c r="F329" i="8" s="1"/>
  <c r="F273" i="8"/>
  <c r="F349" i="8"/>
  <c r="F343" i="8"/>
  <c r="F333" i="8"/>
  <c r="F332" i="8"/>
  <c r="F330" i="8"/>
  <c r="F327" i="8"/>
  <c r="F335" i="8"/>
  <c r="J256" i="9" l="1"/>
  <c r="G218" i="9"/>
  <c r="G267" i="9" s="1"/>
  <c r="M32" i="11"/>
  <c r="M88" i="11" s="1"/>
  <c r="M219" i="11" s="1"/>
  <c r="K88" i="11"/>
  <c r="K247" i="11"/>
  <c r="L219" i="10"/>
  <c r="H218" i="9"/>
  <c r="H267" i="9" s="1"/>
  <c r="J258" i="9"/>
  <c r="I218" i="9"/>
  <c r="I267" i="9" s="1"/>
  <c r="F218" i="9"/>
  <c r="F267" i="9" s="1"/>
  <c r="D218" i="9"/>
  <c r="D267" i="9" s="1"/>
  <c r="K218" i="9"/>
  <c r="K267" i="9" s="1"/>
  <c r="L156" i="9"/>
  <c r="J250" i="9"/>
  <c r="J153" i="9"/>
  <c r="J156" i="9" s="1"/>
  <c r="J130" i="9"/>
  <c r="J135" i="9" s="1"/>
  <c r="J260" i="9"/>
  <c r="L113" i="9"/>
  <c r="J249" i="9"/>
  <c r="L135" i="9"/>
  <c r="J163" i="9"/>
  <c r="L157" i="9"/>
  <c r="L163" i="9" s="1"/>
  <c r="J214" i="9"/>
  <c r="J217" i="9" s="1"/>
  <c r="L207" i="9"/>
  <c r="L214" i="9" s="1"/>
  <c r="L217" i="9" s="1"/>
  <c r="J196" i="9"/>
  <c r="J266" i="9" s="1"/>
  <c r="L193" i="9"/>
  <c r="L196" i="9" s="1"/>
  <c r="L198" i="9" s="1"/>
  <c r="E262" i="9"/>
  <c r="J174" i="9"/>
  <c r="L165" i="9"/>
  <c r="L174" i="9" s="1"/>
  <c r="E218" i="9"/>
  <c r="E267" i="9" s="1"/>
  <c r="J241" i="9"/>
  <c r="J61" i="9"/>
  <c r="J88" i="9" s="1"/>
  <c r="L52" i="9"/>
  <c r="L61" i="9" s="1"/>
  <c r="J237" i="9"/>
  <c r="J245" i="9"/>
  <c r="L48" i="9"/>
  <c r="J233" i="9"/>
  <c r="L10" i="9"/>
  <c r="J227" i="9"/>
  <c r="J231" i="9"/>
  <c r="L9" i="9"/>
  <c r="J113" i="9"/>
  <c r="J24" i="9"/>
  <c r="J236" i="9" s="1"/>
  <c r="J234" i="9"/>
  <c r="F281" i="8"/>
  <c r="F328" i="8"/>
  <c r="F295" i="8"/>
  <c r="K219" i="11" l="1"/>
  <c r="K268" i="11" s="1"/>
  <c r="J246" i="9"/>
  <c r="L88" i="9"/>
  <c r="J179" i="9"/>
  <c r="J198" i="9"/>
  <c r="J262" i="9"/>
  <c r="L179" i="9"/>
  <c r="L24" i="9"/>
  <c r="J204" i="8"/>
  <c r="J203" i="8"/>
  <c r="J161" i="8"/>
  <c r="J162" i="8"/>
  <c r="L162" i="8" s="1"/>
  <c r="J164" i="8"/>
  <c r="L164" i="8" s="1"/>
  <c r="J165" i="8"/>
  <c r="L165" i="8" s="1"/>
  <c r="J166" i="8"/>
  <c r="L166" i="8" s="1"/>
  <c r="J167" i="8"/>
  <c r="L167" i="8" s="1"/>
  <c r="J168" i="8"/>
  <c r="L168" i="8" s="1"/>
  <c r="J171" i="8"/>
  <c r="J172" i="8"/>
  <c r="L172" i="8" s="1"/>
  <c r="J175" i="8"/>
  <c r="L175" i="8" s="1"/>
  <c r="J176" i="8"/>
  <c r="L176" i="8" s="1"/>
  <c r="J177" i="8"/>
  <c r="L177" i="8" s="1"/>
  <c r="J178" i="8"/>
  <c r="L178" i="8" s="1"/>
  <c r="J180" i="8"/>
  <c r="L180" i="8" s="1"/>
  <c r="J185" i="8"/>
  <c r="J186" i="8"/>
  <c r="J188" i="8"/>
  <c r="L188" i="8" s="1"/>
  <c r="J189" i="8"/>
  <c r="L189" i="8" s="1"/>
  <c r="J190" i="8"/>
  <c r="L190" i="8" s="1"/>
  <c r="J191" i="8"/>
  <c r="L191" i="8" s="1"/>
  <c r="J193" i="8"/>
  <c r="L193" i="8" s="1"/>
  <c r="J194" i="8"/>
  <c r="J195" i="8"/>
  <c r="L195" i="8" s="1"/>
  <c r="J197" i="8"/>
  <c r="J263" i="8" s="1"/>
  <c r="J199" i="8"/>
  <c r="J200" i="8"/>
  <c r="J201" i="8"/>
  <c r="L201" i="8" s="1"/>
  <c r="G243" i="8"/>
  <c r="F213" i="8"/>
  <c r="J213" i="8" s="1"/>
  <c r="J211" i="8"/>
  <c r="F202" i="8"/>
  <c r="J202" i="8" s="1"/>
  <c r="F184" i="8"/>
  <c r="J184" i="8" s="1"/>
  <c r="F183" i="8"/>
  <c r="F181" i="8"/>
  <c r="F245" i="8" s="1"/>
  <c r="F173" i="8"/>
  <c r="F170" i="8"/>
  <c r="J170" i="8" s="1"/>
  <c r="F169" i="8"/>
  <c r="J169" i="8" s="1"/>
  <c r="F149" i="8"/>
  <c r="J149" i="8" s="1"/>
  <c r="L149" i="8" s="1"/>
  <c r="F148" i="8"/>
  <c r="J148" i="8" s="1"/>
  <c r="L148" i="8" s="1"/>
  <c r="J146" i="8"/>
  <c r="L146" i="8" s="1"/>
  <c r="F151" i="8"/>
  <c r="J151" i="8" s="1"/>
  <c r="L151" i="8" s="1"/>
  <c r="F143" i="8"/>
  <c r="F126" i="8"/>
  <c r="J126" i="8" s="1"/>
  <c r="L126" i="8" s="1"/>
  <c r="F125" i="8"/>
  <c r="J125" i="8" s="1"/>
  <c r="L125" i="8" s="1"/>
  <c r="F128" i="8"/>
  <c r="J128" i="8" s="1"/>
  <c r="L128" i="8" s="1"/>
  <c r="J127" i="8"/>
  <c r="L127" i="8" s="1"/>
  <c r="J118" i="8"/>
  <c r="L118" i="8" s="1"/>
  <c r="F104" i="8"/>
  <c r="F103" i="8"/>
  <c r="J103" i="8" s="1"/>
  <c r="L103" i="8" s="1"/>
  <c r="F102" i="8"/>
  <c r="F252" i="8" s="1"/>
  <c r="F107" i="8"/>
  <c r="J107" i="8" s="1"/>
  <c r="L107" i="8" s="1"/>
  <c r="J94" i="8"/>
  <c r="L94" i="8" s="1"/>
  <c r="J89" i="8"/>
  <c r="F75" i="8"/>
  <c r="J75" i="8" s="1"/>
  <c r="L75" i="8" s="1"/>
  <c r="F71" i="8"/>
  <c r="J71" i="8" s="1"/>
  <c r="L71" i="8" s="1"/>
  <c r="F72" i="8"/>
  <c r="F59" i="8"/>
  <c r="J59" i="8" s="1"/>
  <c r="L59" i="8" s="1"/>
  <c r="F57" i="8"/>
  <c r="J57" i="8" s="1"/>
  <c r="L57" i="8" s="1"/>
  <c r="F43" i="8"/>
  <c r="J43" i="8" s="1"/>
  <c r="L43" i="8" s="1"/>
  <c r="F41" i="8"/>
  <c r="J41" i="8" s="1"/>
  <c r="F44" i="8"/>
  <c r="J44" i="8" s="1"/>
  <c r="J30" i="8"/>
  <c r="L30" i="8" s="1"/>
  <c r="F28" i="8"/>
  <c r="F9" i="8"/>
  <c r="F306" i="8" s="1"/>
  <c r="F307" i="8" s="1"/>
  <c r="E214" i="8"/>
  <c r="E205" i="8"/>
  <c r="E192" i="8"/>
  <c r="E182" i="8"/>
  <c r="E174" i="8"/>
  <c r="E163" i="8"/>
  <c r="E153" i="8"/>
  <c r="E143" i="8"/>
  <c r="E130" i="8"/>
  <c r="E120" i="8"/>
  <c r="E108" i="8"/>
  <c r="E96" i="8"/>
  <c r="E76" i="8"/>
  <c r="E61" i="8"/>
  <c r="E48" i="8"/>
  <c r="E32" i="8"/>
  <c r="E266" i="8"/>
  <c r="K265" i="8"/>
  <c r="I265" i="8"/>
  <c r="H265" i="8"/>
  <c r="G265" i="8"/>
  <c r="F265" i="8"/>
  <c r="E265" i="8"/>
  <c r="D265" i="8"/>
  <c r="K264" i="8"/>
  <c r="I264" i="8"/>
  <c r="H264" i="8"/>
  <c r="G264" i="8"/>
  <c r="F264" i="8"/>
  <c r="E264" i="8"/>
  <c r="D264" i="8"/>
  <c r="K263" i="8"/>
  <c r="I263" i="8"/>
  <c r="H263" i="8"/>
  <c r="G263" i="8"/>
  <c r="F263" i="8"/>
  <c r="E263" i="8"/>
  <c r="D263" i="8"/>
  <c r="K261" i="8"/>
  <c r="I261" i="8"/>
  <c r="H261" i="8"/>
  <c r="G261" i="8"/>
  <c r="E261" i="8"/>
  <c r="D261" i="8"/>
  <c r="K260" i="8"/>
  <c r="I260" i="8"/>
  <c r="H260" i="8"/>
  <c r="G260" i="8"/>
  <c r="E260" i="8"/>
  <c r="D260" i="8"/>
  <c r="K259" i="8"/>
  <c r="I259" i="8"/>
  <c r="H259" i="8"/>
  <c r="G259" i="8"/>
  <c r="F259" i="8"/>
  <c r="E259" i="8"/>
  <c r="D259" i="8"/>
  <c r="K258" i="8"/>
  <c r="I258" i="8"/>
  <c r="H258" i="8"/>
  <c r="G258" i="8"/>
  <c r="E258" i="8"/>
  <c r="D258" i="8"/>
  <c r="K257" i="8"/>
  <c r="I257" i="8"/>
  <c r="H257" i="8"/>
  <c r="G257" i="8"/>
  <c r="E257" i="8"/>
  <c r="D257" i="8"/>
  <c r="K256" i="8"/>
  <c r="I256" i="8"/>
  <c r="H256" i="8"/>
  <c r="G256" i="8"/>
  <c r="E256" i="8"/>
  <c r="D256" i="8"/>
  <c r="K255" i="8"/>
  <c r="I255" i="8"/>
  <c r="H255" i="8"/>
  <c r="G255" i="8"/>
  <c r="E255" i="8"/>
  <c r="D255" i="8"/>
  <c r="K254" i="8"/>
  <c r="I254" i="8"/>
  <c r="H254" i="8"/>
  <c r="G254" i="8"/>
  <c r="E254" i="8"/>
  <c r="D254" i="8"/>
  <c r="K253" i="8"/>
  <c r="I253" i="8"/>
  <c r="H253" i="8"/>
  <c r="G253" i="8"/>
  <c r="F253" i="8"/>
  <c r="E253" i="8"/>
  <c r="D253" i="8"/>
  <c r="K252" i="8"/>
  <c r="I252" i="8"/>
  <c r="H252" i="8"/>
  <c r="G252" i="8"/>
  <c r="E252" i="8"/>
  <c r="D252" i="8"/>
  <c r="K251" i="8"/>
  <c r="I251" i="8"/>
  <c r="H251" i="8"/>
  <c r="G251" i="8"/>
  <c r="F251" i="8"/>
  <c r="E251" i="8"/>
  <c r="D251" i="8"/>
  <c r="K250" i="8"/>
  <c r="I250" i="8"/>
  <c r="H250" i="8"/>
  <c r="G250" i="8"/>
  <c r="F250" i="8"/>
  <c r="E250" i="8"/>
  <c r="D250" i="8"/>
  <c r="K249" i="8"/>
  <c r="I249" i="8"/>
  <c r="H249" i="8"/>
  <c r="G249" i="8"/>
  <c r="E249" i="8"/>
  <c r="D249" i="8"/>
  <c r="K248" i="8"/>
  <c r="I248" i="8"/>
  <c r="H248" i="8"/>
  <c r="G248" i="8"/>
  <c r="F248" i="8"/>
  <c r="E248" i="8"/>
  <c r="D248" i="8"/>
  <c r="K247" i="8"/>
  <c r="I247" i="8"/>
  <c r="H247" i="8"/>
  <c r="G247" i="8"/>
  <c r="E247" i="8"/>
  <c r="D247" i="8"/>
  <c r="K245" i="8"/>
  <c r="I245" i="8"/>
  <c r="H245" i="8"/>
  <c r="G245" i="8"/>
  <c r="E245" i="8"/>
  <c r="D245" i="8"/>
  <c r="K244" i="8"/>
  <c r="I244" i="8"/>
  <c r="H244" i="8"/>
  <c r="G244" i="8"/>
  <c r="E244" i="8"/>
  <c r="D244" i="8"/>
  <c r="K243" i="8"/>
  <c r="I243" i="8"/>
  <c r="H243" i="8"/>
  <c r="F243" i="8"/>
  <c r="E243" i="8"/>
  <c r="D243" i="8"/>
  <c r="K242" i="8"/>
  <c r="I242" i="8"/>
  <c r="H242" i="8"/>
  <c r="G242" i="8"/>
  <c r="E242" i="8"/>
  <c r="D242" i="8"/>
  <c r="K241" i="8"/>
  <c r="I241" i="8"/>
  <c r="H241" i="8"/>
  <c r="G241" i="8"/>
  <c r="F241" i="8"/>
  <c r="E241" i="8"/>
  <c r="D241" i="8"/>
  <c r="K240" i="8"/>
  <c r="I240" i="8"/>
  <c r="H240" i="8"/>
  <c r="G240" i="8"/>
  <c r="F240" i="8"/>
  <c r="E240" i="8"/>
  <c r="D240" i="8"/>
  <c r="K239" i="8"/>
  <c r="I239" i="8"/>
  <c r="H239" i="8"/>
  <c r="G239" i="8"/>
  <c r="F239" i="8"/>
  <c r="E239" i="8"/>
  <c r="D239" i="8"/>
  <c r="K238" i="8"/>
  <c r="I238" i="8"/>
  <c r="H238" i="8"/>
  <c r="G238" i="8"/>
  <c r="F238" i="8"/>
  <c r="E238" i="8"/>
  <c r="D238" i="8"/>
  <c r="K237" i="8"/>
  <c r="I237" i="8"/>
  <c r="H237" i="8"/>
  <c r="G237" i="8"/>
  <c r="E237" i="8"/>
  <c r="D237" i="8"/>
  <c r="K235" i="8"/>
  <c r="I235" i="8"/>
  <c r="H235" i="8"/>
  <c r="G235" i="8"/>
  <c r="F235" i="8"/>
  <c r="E235" i="8"/>
  <c r="D235" i="8"/>
  <c r="K234" i="8"/>
  <c r="I234" i="8"/>
  <c r="H234" i="8"/>
  <c r="G234" i="8"/>
  <c r="E234" i="8"/>
  <c r="D234" i="8"/>
  <c r="K233" i="8"/>
  <c r="I233" i="8"/>
  <c r="H233" i="8"/>
  <c r="G233" i="8"/>
  <c r="F233" i="8"/>
  <c r="E233" i="8"/>
  <c r="D233" i="8"/>
  <c r="K232" i="8"/>
  <c r="I232" i="8"/>
  <c r="H232" i="8"/>
  <c r="G232" i="8"/>
  <c r="E232" i="8"/>
  <c r="D232" i="8"/>
  <c r="K231" i="8"/>
  <c r="I231" i="8"/>
  <c r="H231" i="8"/>
  <c r="G231" i="8"/>
  <c r="E231" i="8"/>
  <c r="D231" i="8"/>
  <c r="K230" i="8"/>
  <c r="I230" i="8"/>
  <c r="H230" i="8"/>
  <c r="G230" i="8"/>
  <c r="F230" i="8"/>
  <c r="E230" i="8"/>
  <c r="D230" i="8"/>
  <c r="K229" i="8"/>
  <c r="I229" i="8"/>
  <c r="H229" i="8"/>
  <c r="G229" i="8"/>
  <c r="F229" i="8"/>
  <c r="E229" i="8"/>
  <c r="D229" i="8"/>
  <c r="K228" i="8"/>
  <c r="I228" i="8"/>
  <c r="H228" i="8"/>
  <c r="G228" i="8"/>
  <c r="F228" i="8"/>
  <c r="E228" i="8"/>
  <c r="D228" i="8"/>
  <c r="K227" i="8"/>
  <c r="I227" i="8"/>
  <c r="H227" i="8"/>
  <c r="G227" i="8"/>
  <c r="F227" i="8"/>
  <c r="E227" i="8"/>
  <c r="D227" i="8"/>
  <c r="J216" i="8"/>
  <c r="L216" i="8" s="1"/>
  <c r="J215" i="8"/>
  <c r="L215" i="8" s="1"/>
  <c r="K214" i="8"/>
  <c r="I214" i="8"/>
  <c r="H214" i="8"/>
  <c r="G214" i="8"/>
  <c r="D214" i="8"/>
  <c r="J212" i="8"/>
  <c r="L212" i="8" s="1"/>
  <c r="J209" i="8"/>
  <c r="L209" i="8" s="1"/>
  <c r="J208" i="8"/>
  <c r="L208" i="8" s="1"/>
  <c r="J207" i="8"/>
  <c r="J206" i="8"/>
  <c r="L206" i="8" s="1"/>
  <c r="K205" i="8"/>
  <c r="I205" i="8"/>
  <c r="H205" i="8"/>
  <c r="G205" i="8"/>
  <c r="D205" i="8"/>
  <c r="K196" i="8"/>
  <c r="I196" i="8"/>
  <c r="H196" i="8"/>
  <c r="G196" i="8"/>
  <c r="F318" i="8" s="1"/>
  <c r="F347" i="8" s="1"/>
  <c r="F196" i="8"/>
  <c r="D196" i="8"/>
  <c r="K192" i="8"/>
  <c r="I192" i="8"/>
  <c r="H192" i="8"/>
  <c r="G192" i="8"/>
  <c r="D192" i="8"/>
  <c r="L186" i="8"/>
  <c r="K182" i="8"/>
  <c r="I182" i="8"/>
  <c r="H182" i="8"/>
  <c r="G182" i="8"/>
  <c r="D182" i="8"/>
  <c r="K174" i="8"/>
  <c r="I174" i="8"/>
  <c r="H174" i="8"/>
  <c r="G174" i="8"/>
  <c r="D174" i="8"/>
  <c r="K163" i="8"/>
  <c r="I163" i="8"/>
  <c r="H163" i="8"/>
  <c r="G163" i="8"/>
  <c r="F163" i="8"/>
  <c r="D163" i="8"/>
  <c r="J160" i="8"/>
  <c r="L160" i="8" s="1"/>
  <c r="J159" i="8"/>
  <c r="L159" i="8" s="1"/>
  <c r="J158" i="8"/>
  <c r="L158" i="8" s="1"/>
  <c r="J157" i="8"/>
  <c r="J155" i="8"/>
  <c r="L155" i="8" s="1"/>
  <c r="J154" i="8"/>
  <c r="L154" i="8" s="1"/>
  <c r="K153" i="8"/>
  <c r="I153" i="8"/>
  <c r="H153" i="8"/>
  <c r="G153" i="8"/>
  <c r="D153" i="8"/>
  <c r="J152" i="8"/>
  <c r="L152" i="8" s="1"/>
  <c r="J147" i="8"/>
  <c r="L147" i="8" s="1"/>
  <c r="J145" i="8"/>
  <c r="J144" i="8"/>
  <c r="L144" i="8" s="1"/>
  <c r="K143" i="8"/>
  <c r="I143" i="8"/>
  <c r="H143" i="8"/>
  <c r="G143" i="8"/>
  <c r="D143" i="8"/>
  <c r="J142" i="8"/>
  <c r="L142" i="8" s="1"/>
  <c r="J141" i="8"/>
  <c r="L141" i="8" s="1"/>
  <c r="J140" i="8"/>
  <c r="L140" i="8" s="1"/>
  <c r="J139" i="8"/>
  <c r="L139" i="8" s="1"/>
  <c r="J138" i="8"/>
  <c r="L138" i="8" s="1"/>
  <c r="J137" i="8"/>
  <c r="L137" i="8" s="1"/>
  <c r="J136" i="8"/>
  <c r="J134" i="8"/>
  <c r="L134" i="8" s="1"/>
  <c r="J133" i="8"/>
  <c r="L133" i="8" s="1"/>
  <c r="J132" i="8"/>
  <c r="L132" i="8" s="1"/>
  <c r="J131" i="8"/>
  <c r="L131" i="8" s="1"/>
  <c r="K130" i="8"/>
  <c r="I130" i="8"/>
  <c r="H130" i="8"/>
  <c r="G130" i="8"/>
  <c r="D130" i="8"/>
  <c r="J129" i="8"/>
  <c r="L129" i="8" s="1"/>
  <c r="J124" i="8"/>
  <c r="L124" i="8" s="1"/>
  <c r="J123" i="8"/>
  <c r="L123" i="8" s="1"/>
  <c r="J122" i="8"/>
  <c r="J121" i="8"/>
  <c r="L121" i="8" s="1"/>
  <c r="K120" i="8"/>
  <c r="I120" i="8"/>
  <c r="H120" i="8"/>
  <c r="G120" i="8"/>
  <c r="D120" i="8"/>
  <c r="J119" i="8"/>
  <c r="L119" i="8" s="1"/>
  <c r="J117" i="8"/>
  <c r="L117" i="8" s="1"/>
  <c r="J116" i="8"/>
  <c r="L116" i="8" s="1"/>
  <c r="J115" i="8"/>
  <c r="L115" i="8" s="1"/>
  <c r="J112" i="8"/>
  <c r="L112" i="8" s="1"/>
  <c r="J111" i="8"/>
  <c r="L111" i="8" s="1"/>
  <c r="J110" i="8"/>
  <c r="L110" i="8" s="1"/>
  <c r="J109" i="8"/>
  <c r="L109" i="8" s="1"/>
  <c r="K108" i="8"/>
  <c r="I108" i="8"/>
  <c r="H108" i="8"/>
  <c r="G108" i="8"/>
  <c r="D108" i="8"/>
  <c r="J106" i="8"/>
  <c r="L106" i="8" s="1"/>
  <c r="J101" i="8"/>
  <c r="L101" i="8" s="1"/>
  <c r="J100" i="8"/>
  <c r="L100" i="8" s="1"/>
  <c r="J99" i="8"/>
  <c r="L99" i="8" s="1"/>
  <c r="J98" i="8"/>
  <c r="L98" i="8" s="1"/>
  <c r="J97" i="8"/>
  <c r="L97" i="8" s="1"/>
  <c r="K96" i="8"/>
  <c r="I96" i="8"/>
  <c r="H96" i="8"/>
  <c r="G96" i="8"/>
  <c r="D96" i="8"/>
  <c r="J95" i="8"/>
  <c r="L95" i="8" s="1"/>
  <c r="J93" i="8"/>
  <c r="L93" i="8" s="1"/>
  <c r="J92" i="8"/>
  <c r="L92" i="8" s="1"/>
  <c r="J91" i="8"/>
  <c r="L91" i="8" s="1"/>
  <c r="J90" i="8"/>
  <c r="L90" i="8" s="1"/>
  <c r="J87" i="8"/>
  <c r="L87" i="8" s="1"/>
  <c r="J86" i="8"/>
  <c r="L86" i="8" s="1"/>
  <c r="J85" i="8"/>
  <c r="L85" i="8" s="1"/>
  <c r="J84" i="8"/>
  <c r="L84" i="8" s="1"/>
  <c r="J83" i="8"/>
  <c r="L83" i="8" s="1"/>
  <c r="J82" i="8"/>
  <c r="L82" i="8" s="1"/>
  <c r="J81" i="8"/>
  <c r="L81" i="8" s="1"/>
  <c r="J80" i="8"/>
  <c r="L80" i="8" s="1"/>
  <c r="K79" i="8"/>
  <c r="I79" i="8"/>
  <c r="H79" i="8"/>
  <c r="G79" i="8"/>
  <c r="F79" i="8"/>
  <c r="D79" i="8"/>
  <c r="J78" i="8"/>
  <c r="L78" i="8" s="1"/>
  <c r="J77" i="8"/>
  <c r="K76" i="8"/>
  <c r="I76" i="8"/>
  <c r="H76" i="8"/>
  <c r="G76" i="8"/>
  <c r="D76" i="8"/>
  <c r="J74" i="8"/>
  <c r="L74" i="8" s="1"/>
  <c r="J73" i="8"/>
  <c r="L73" i="8" s="1"/>
  <c r="J70" i="8"/>
  <c r="L70" i="8" s="1"/>
  <c r="J69" i="8"/>
  <c r="L69" i="8" s="1"/>
  <c r="J68" i="8"/>
  <c r="L68" i="8" s="1"/>
  <c r="J67" i="8"/>
  <c r="L67" i="8" s="1"/>
  <c r="J66" i="8"/>
  <c r="L66" i="8" s="1"/>
  <c r="J65" i="8"/>
  <c r="L65" i="8" s="1"/>
  <c r="J64" i="8"/>
  <c r="L64" i="8" s="1"/>
  <c r="J63" i="8"/>
  <c r="L63" i="8" s="1"/>
  <c r="J62" i="8"/>
  <c r="L62" i="8" s="1"/>
  <c r="K61" i="8"/>
  <c r="I61" i="8"/>
  <c r="H61" i="8"/>
  <c r="G61" i="8"/>
  <c r="D61" i="8"/>
  <c r="J60" i="8"/>
  <c r="L60" i="8" s="1"/>
  <c r="J58" i="8"/>
  <c r="L58" i="8" s="1"/>
  <c r="J56" i="8"/>
  <c r="L56" i="8" s="1"/>
  <c r="J55" i="8"/>
  <c r="L55" i="8" s="1"/>
  <c r="J54" i="8"/>
  <c r="J239" i="8" s="1"/>
  <c r="J53" i="8"/>
  <c r="J238" i="8" s="1"/>
  <c r="J52" i="8"/>
  <c r="L52" i="8" s="1"/>
  <c r="K51" i="8"/>
  <c r="I51" i="8"/>
  <c r="H51" i="8"/>
  <c r="G51" i="8"/>
  <c r="F51" i="8"/>
  <c r="D51" i="8"/>
  <c r="J50" i="8"/>
  <c r="L50" i="8" s="1"/>
  <c r="J49" i="8"/>
  <c r="K48" i="8"/>
  <c r="I48" i="8"/>
  <c r="H48" i="8"/>
  <c r="G48" i="8"/>
  <c r="D48" i="8"/>
  <c r="J47" i="8"/>
  <c r="L47" i="8" s="1"/>
  <c r="J46" i="8"/>
  <c r="L46" i="8" s="1"/>
  <c r="J45" i="8"/>
  <c r="J42" i="8"/>
  <c r="L42" i="8" s="1"/>
  <c r="J40" i="8"/>
  <c r="L40" i="8" s="1"/>
  <c r="J39" i="8"/>
  <c r="L39" i="8" s="1"/>
  <c r="J38" i="8"/>
  <c r="L38" i="8" s="1"/>
  <c r="J37" i="8"/>
  <c r="L37" i="8" s="1"/>
  <c r="J36" i="8"/>
  <c r="L36" i="8" s="1"/>
  <c r="J35" i="8"/>
  <c r="L35" i="8" s="1"/>
  <c r="J34" i="8"/>
  <c r="L34" i="8" s="1"/>
  <c r="J33" i="8"/>
  <c r="L33" i="8" s="1"/>
  <c r="K32" i="8"/>
  <c r="I32" i="8"/>
  <c r="H32" i="8"/>
  <c r="G32" i="8"/>
  <c r="D32" i="8"/>
  <c r="J31" i="8"/>
  <c r="L31" i="8" s="1"/>
  <c r="J29" i="8"/>
  <c r="L29" i="8" s="1"/>
  <c r="J27" i="8"/>
  <c r="L27" i="8" s="1"/>
  <c r="J26" i="8"/>
  <c r="L26" i="8" s="1"/>
  <c r="J25" i="8"/>
  <c r="L25" i="8" s="1"/>
  <c r="K24" i="8"/>
  <c r="K236" i="8" s="1"/>
  <c r="I24" i="8"/>
  <c r="I236" i="8" s="1"/>
  <c r="H24" i="8"/>
  <c r="H236" i="8" s="1"/>
  <c r="G24" i="8"/>
  <c r="G236" i="8" s="1"/>
  <c r="E24" i="8"/>
  <c r="E236" i="8" s="1"/>
  <c r="D24" i="8"/>
  <c r="D236" i="8" s="1"/>
  <c r="J23" i="8"/>
  <c r="J22" i="8"/>
  <c r="L22" i="8" s="1"/>
  <c r="J21" i="8"/>
  <c r="L21" i="8" s="1"/>
  <c r="J20" i="8"/>
  <c r="L20" i="8" s="1"/>
  <c r="J19" i="8"/>
  <c r="L19" i="8" s="1"/>
  <c r="J18" i="8"/>
  <c r="L18" i="8" s="1"/>
  <c r="J17" i="8"/>
  <c r="L17" i="8" s="1"/>
  <c r="J16" i="8"/>
  <c r="L16" i="8" s="1"/>
  <c r="J15" i="8"/>
  <c r="L15" i="8" s="1"/>
  <c r="J14" i="8"/>
  <c r="L14" i="8" s="1"/>
  <c r="J13" i="8"/>
  <c r="J12" i="8"/>
  <c r="L12" i="8" s="1"/>
  <c r="J11" i="8"/>
  <c r="L11" i="8" s="1"/>
  <c r="J10" i="8"/>
  <c r="J8" i="8"/>
  <c r="J230" i="8" s="1"/>
  <c r="J7" i="8"/>
  <c r="J229" i="8" s="1"/>
  <c r="J6" i="8"/>
  <c r="J5" i="8"/>
  <c r="J9" i="8" l="1"/>
  <c r="J231" i="8" s="1"/>
  <c r="F234" i="8"/>
  <c r="F24" i="8"/>
  <c r="F236" i="8" s="1"/>
  <c r="F231" i="8"/>
  <c r="L218" i="9"/>
  <c r="K217" i="8"/>
  <c r="J259" i="8"/>
  <c r="J218" i="9"/>
  <c r="J267" i="9" s="1"/>
  <c r="D179" i="8"/>
  <c r="F247" i="8"/>
  <c r="F316" i="8"/>
  <c r="F345" i="8" s="1"/>
  <c r="F244" i="8"/>
  <c r="J183" i="8"/>
  <c r="L183" i="8" s="1"/>
  <c r="J181" i="8"/>
  <c r="L181" i="8" s="1"/>
  <c r="L182" i="8" s="1"/>
  <c r="J173" i="8"/>
  <c r="L173" i="8" s="1"/>
  <c r="F334" i="8"/>
  <c r="F336" i="8" s="1"/>
  <c r="H113" i="8"/>
  <c r="E179" i="8"/>
  <c r="J51" i="8"/>
  <c r="G217" i="8"/>
  <c r="J163" i="8"/>
  <c r="I113" i="8"/>
  <c r="E113" i="8"/>
  <c r="G88" i="8"/>
  <c r="G135" i="8"/>
  <c r="J196" i="8"/>
  <c r="L49" i="8"/>
  <c r="L51" i="8" s="1"/>
  <c r="K135" i="8"/>
  <c r="L161" i="8"/>
  <c r="H217" i="8"/>
  <c r="E88" i="8"/>
  <c r="J79" i="8"/>
  <c r="E135" i="8"/>
  <c r="I156" i="8"/>
  <c r="K156" i="8"/>
  <c r="I179" i="8"/>
  <c r="L171" i="8"/>
  <c r="G179" i="8"/>
  <c r="D198" i="8"/>
  <c r="L169" i="8"/>
  <c r="J233" i="8"/>
  <c r="L77" i="8"/>
  <c r="H266" i="8"/>
  <c r="E217" i="8"/>
  <c r="H135" i="8"/>
  <c r="D88" i="8"/>
  <c r="K88" i="8"/>
  <c r="K179" i="8"/>
  <c r="E156" i="8"/>
  <c r="E198" i="8"/>
  <c r="L170" i="8"/>
  <c r="J228" i="8"/>
  <c r="L10" i="8"/>
  <c r="J235" i="8"/>
  <c r="L54" i="8"/>
  <c r="D113" i="8"/>
  <c r="K113" i="8"/>
  <c r="G156" i="8"/>
  <c r="H156" i="8"/>
  <c r="I198" i="8"/>
  <c r="J264" i="8"/>
  <c r="G266" i="8"/>
  <c r="D246" i="8"/>
  <c r="J227" i="8"/>
  <c r="H88" i="8"/>
  <c r="L79" i="8"/>
  <c r="D135" i="8"/>
  <c r="H246" i="8"/>
  <c r="J253" i="8"/>
  <c r="G198" i="8"/>
  <c r="F319" i="8" s="1"/>
  <c r="F348" i="8" s="1"/>
  <c r="F266" i="8"/>
  <c r="K266" i="8"/>
  <c r="I246" i="8"/>
  <c r="G262" i="8"/>
  <c r="L7" i="8"/>
  <c r="L9" i="8"/>
  <c r="L45" i="8"/>
  <c r="L53" i="8"/>
  <c r="I135" i="8"/>
  <c r="D156" i="8"/>
  <c r="H179" i="8"/>
  <c r="K198" i="8"/>
  <c r="D266" i="8"/>
  <c r="I266" i="8"/>
  <c r="J240" i="8"/>
  <c r="D262" i="8"/>
  <c r="K262" i="8"/>
  <c r="F214" i="8"/>
  <c r="J210" i="8"/>
  <c r="L210" i="8" s="1"/>
  <c r="F205" i="8"/>
  <c r="F182" i="8"/>
  <c r="J182" i="8" s="1"/>
  <c r="F174" i="8"/>
  <c r="F179" i="8" s="1"/>
  <c r="F249" i="8"/>
  <c r="F153" i="8"/>
  <c r="F156" i="8" s="1"/>
  <c r="J150" i="8"/>
  <c r="L150" i="8" s="1"/>
  <c r="F256" i="8"/>
  <c r="F254" i="8"/>
  <c r="F258" i="8"/>
  <c r="F130" i="8"/>
  <c r="F120" i="8"/>
  <c r="J114" i="8"/>
  <c r="J120" i="8" s="1"/>
  <c r="J104" i="8"/>
  <c r="L104" i="8" s="1"/>
  <c r="J102" i="8"/>
  <c r="J252" i="8" s="1"/>
  <c r="F260" i="8"/>
  <c r="F96" i="8"/>
  <c r="J96" i="8"/>
  <c r="F261" i="8"/>
  <c r="J72" i="8"/>
  <c r="L72" i="8" s="1"/>
  <c r="L76" i="8" s="1"/>
  <c r="F76" i="8"/>
  <c r="F61" i="8"/>
  <c r="F242" i="8"/>
  <c r="J255" i="8"/>
  <c r="L41" i="8"/>
  <c r="F48" i="8"/>
  <c r="F255" i="8"/>
  <c r="F32" i="8"/>
  <c r="J28" i="8"/>
  <c r="L28" i="8" s="1"/>
  <c r="L32" i="8" s="1"/>
  <c r="F237" i="8"/>
  <c r="H262" i="8"/>
  <c r="G113" i="8"/>
  <c r="L5" i="8"/>
  <c r="I262" i="8"/>
  <c r="I88" i="8"/>
  <c r="J48" i="8"/>
  <c r="J234" i="8"/>
  <c r="J143" i="8"/>
  <c r="J130" i="8"/>
  <c r="E246" i="8"/>
  <c r="L89" i="8"/>
  <c r="L96" i="8" s="1"/>
  <c r="E262" i="8"/>
  <c r="J261" i="8"/>
  <c r="J61" i="8"/>
  <c r="L44" i="8"/>
  <c r="J24" i="8"/>
  <c r="J236" i="8" s="1"/>
  <c r="D217" i="8"/>
  <c r="I217" i="8"/>
  <c r="G246" i="8"/>
  <c r="K246" i="8"/>
  <c r="L6" i="8"/>
  <c r="L8" i="8"/>
  <c r="L13" i="8"/>
  <c r="L23" i="8"/>
  <c r="L122" i="8"/>
  <c r="L130" i="8" s="1"/>
  <c r="L136" i="8"/>
  <c r="L143" i="8" s="1"/>
  <c r="L145" i="8"/>
  <c r="L157" i="8"/>
  <c r="L163" i="8" s="1"/>
  <c r="L185" i="8"/>
  <c r="L194" i="8"/>
  <c r="L196" i="8" s="1"/>
  <c r="L197" i="8"/>
  <c r="H198" i="8"/>
  <c r="L200" i="8"/>
  <c r="L202" i="8"/>
  <c r="L207" i="8"/>
  <c r="L211" i="8"/>
  <c r="L213" i="8"/>
  <c r="F232" i="8"/>
  <c r="J232" i="8"/>
  <c r="J241" i="8"/>
  <c r="J248" i="8"/>
  <c r="J249" i="8"/>
  <c r="J250" i="8"/>
  <c r="J251" i="8"/>
  <c r="J254" i="8"/>
  <c r="J260" i="8"/>
  <c r="J265" i="8"/>
  <c r="L184" i="8"/>
  <c r="L199" i="8"/>
  <c r="F105" i="7"/>
  <c r="F105" i="8" s="1"/>
  <c r="F108" i="8" s="1"/>
  <c r="F11" i="7"/>
  <c r="F9" i="7"/>
  <c r="E246" i="7"/>
  <c r="J174" i="8" l="1"/>
  <c r="J247" i="8"/>
  <c r="J266" i="8"/>
  <c r="J179" i="8"/>
  <c r="J105" i="8"/>
  <c r="L105" i="8" s="1"/>
  <c r="L174" i="8"/>
  <c r="L179" i="8" s="1"/>
  <c r="F315" i="8"/>
  <c r="L61" i="8"/>
  <c r="K218" i="8"/>
  <c r="K267" i="8" s="1"/>
  <c r="L153" i="8"/>
  <c r="L156" i="8" s="1"/>
  <c r="G218" i="8"/>
  <c r="G267" i="8" s="1"/>
  <c r="J32" i="8"/>
  <c r="L48" i="8"/>
  <c r="E218" i="8"/>
  <c r="E267" i="8" s="1"/>
  <c r="J244" i="8"/>
  <c r="L204" i="8"/>
  <c r="I218" i="8"/>
  <c r="I267" i="8" s="1"/>
  <c r="D218" i="8"/>
  <c r="D267" i="8" s="1"/>
  <c r="J242" i="8"/>
  <c r="H218" i="8"/>
  <c r="H267" i="8" s="1"/>
  <c r="J258" i="8"/>
  <c r="L203" i="8"/>
  <c r="J243" i="8"/>
  <c r="J76" i="8"/>
  <c r="F217" i="8"/>
  <c r="J214" i="8"/>
  <c r="J205" i="8"/>
  <c r="J245" i="8"/>
  <c r="J153" i="8"/>
  <c r="J156" i="8" s="1"/>
  <c r="F135" i="8"/>
  <c r="J237" i="8"/>
  <c r="J135" i="8"/>
  <c r="L114" i="8"/>
  <c r="L120" i="8" s="1"/>
  <c r="L135" i="8" s="1"/>
  <c r="J256" i="8"/>
  <c r="L102" i="8"/>
  <c r="F113" i="8"/>
  <c r="J108" i="8"/>
  <c r="J113" i="8" s="1"/>
  <c r="F88" i="8"/>
  <c r="F246" i="8"/>
  <c r="L24" i="8"/>
  <c r="L214" i="8"/>
  <c r="J30" i="7"/>
  <c r="L30" i="7" s="1"/>
  <c r="J28" i="7"/>
  <c r="L28" i="7" s="1"/>
  <c r="J26" i="7"/>
  <c r="L26" i="7" s="1"/>
  <c r="E266" i="7"/>
  <c r="K265" i="7"/>
  <c r="I265" i="7"/>
  <c r="H265" i="7"/>
  <c r="G265" i="7"/>
  <c r="F265" i="7"/>
  <c r="E265" i="7"/>
  <c r="D265" i="7"/>
  <c r="K264" i="7"/>
  <c r="I264" i="7"/>
  <c r="H264" i="7"/>
  <c r="G264" i="7"/>
  <c r="F264" i="7"/>
  <c r="E264" i="7"/>
  <c r="D264" i="7"/>
  <c r="K263" i="7"/>
  <c r="I263" i="7"/>
  <c r="H263" i="7"/>
  <c r="G263" i="7"/>
  <c r="F263" i="7"/>
  <c r="E263" i="7"/>
  <c r="D263" i="7"/>
  <c r="E262" i="7"/>
  <c r="K261" i="7"/>
  <c r="I261" i="7"/>
  <c r="H261" i="7"/>
  <c r="G261" i="7"/>
  <c r="F261" i="7"/>
  <c r="E261" i="7"/>
  <c r="D261" i="7"/>
  <c r="K260" i="7"/>
  <c r="I260" i="7"/>
  <c r="H260" i="7"/>
  <c r="G260" i="7"/>
  <c r="F260" i="7"/>
  <c r="E260" i="7"/>
  <c r="D260" i="7"/>
  <c r="K259" i="7"/>
  <c r="I259" i="7"/>
  <c r="H259" i="7"/>
  <c r="G259" i="7"/>
  <c r="F259" i="7"/>
  <c r="E259" i="7"/>
  <c r="D259" i="7"/>
  <c r="K258" i="7"/>
  <c r="I258" i="7"/>
  <c r="H258" i="7"/>
  <c r="G258" i="7"/>
  <c r="F258" i="7"/>
  <c r="E258" i="7"/>
  <c r="D258" i="7"/>
  <c r="K257" i="7"/>
  <c r="I257" i="7"/>
  <c r="H257" i="7"/>
  <c r="G257" i="7"/>
  <c r="F257" i="7"/>
  <c r="E257" i="7"/>
  <c r="D257" i="7"/>
  <c r="K256" i="7"/>
  <c r="I256" i="7"/>
  <c r="H256" i="7"/>
  <c r="G256" i="7"/>
  <c r="F256" i="7"/>
  <c r="E256" i="7"/>
  <c r="D256" i="7"/>
  <c r="K255" i="7"/>
  <c r="I255" i="7"/>
  <c r="H255" i="7"/>
  <c r="G255" i="7"/>
  <c r="F255" i="7"/>
  <c r="E255" i="7"/>
  <c r="D255" i="7"/>
  <c r="K254" i="7"/>
  <c r="I254" i="7"/>
  <c r="H254" i="7"/>
  <c r="G254" i="7"/>
  <c r="F254" i="7"/>
  <c r="E254" i="7"/>
  <c r="D254" i="7"/>
  <c r="K253" i="7"/>
  <c r="I253" i="7"/>
  <c r="H253" i="7"/>
  <c r="G253" i="7"/>
  <c r="F253" i="7"/>
  <c r="E253" i="7"/>
  <c r="D253" i="7"/>
  <c r="K252" i="7"/>
  <c r="I252" i="7"/>
  <c r="H252" i="7"/>
  <c r="G252" i="7"/>
  <c r="F252" i="7"/>
  <c r="E252" i="7"/>
  <c r="D252" i="7"/>
  <c r="K251" i="7"/>
  <c r="I251" i="7"/>
  <c r="H251" i="7"/>
  <c r="G251" i="7"/>
  <c r="F251" i="7"/>
  <c r="E251" i="7"/>
  <c r="D251" i="7"/>
  <c r="K250" i="7"/>
  <c r="I250" i="7"/>
  <c r="H250" i="7"/>
  <c r="G250" i="7"/>
  <c r="F250" i="7"/>
  <c r="E250" i="7"/>
  <c r="D250" i="7"/>
  <c r="K249" i="7"/>
  <c r="I249" i="7"/>
  <c r="H249" i="7"/>
  <c r="G249" i="7"/>
  <c r="F249" i="7"/>
  <c r="E249" i="7"/>
  <c r="D249" i="7"/>
  <c r="K248" i="7"/>
  <c r="I248" i="7"/>
  <c r="H248" i="7"/>
  <c r="G248" i="7"/>
  <c r="F248" i="7"/>
  <c r="E248" i="7"/>
  <c r="D248" i="7"/>
  <c r="K247" i="7"/>
  <c r="I247" i="7"/>
  <c r="H247" i="7"/>
  <c r="G247" i="7"/>
  <c r="F247" i="7"/>
  <c r="E247" i="7"/>
  <c r="D247" i="7"/>
  <c r="K245" i="7"/>
  <c r="I245" i="7"/>
  <c r="H245" i="7"/>
  <c r="G245" i="7"/>
  <c r="F245" i="7"/>
  <c r="E245" i="7"/>
  <c r="D245" i="7"/>
  <c r="K244" i="7"/>
  <c r="I244" i="7"/>
  <c r="H244" i="7"/>
  <c r="G244" i="7"/>
  <c r="F244" i="7"/>
  <c r="E244" i="7"/>
  <c r="D244" i="7"/>
  <c r="K243" i="7"/>
  <c r="I243" i="7"/>
  <c r="H243" i="7"/>
  <c r="G243" i="7"/>
  <c r="F243" i="7"/>
  <c r="E243" i="7"/>
  <c r="D243" i="7"/>
  <c r="K242" i="7"/>
  <c r="I242" i="7"/>
  <c r="H242" i="7"/>
  <c r="G242" i="7"/>
  <c r="F242" i="7"/>
  <c r="E242" i="7"/>
  <c r="D242" i="7"/>
  <c r="K241" i="7"/>
  <c r="I241" i="7"/>
  <c r="H241" i="7"/>
  <c r="G241" i="7"/>
  <c r="F241" i="7"/>
  <c r="E241" i="7"/>
  <c r="D241" i="7"/>
  <c r="K240" i="7"/>
  <c r="I240" i="7"/>
  <c r="H240" i="7"/>
  <c r="G240" i="7"/>
  <c r="F240" i="7"/>
  <c r="E240" i="7"/>
  <c r="D240" i="7"/>
  <c r="K239" i="7"/>
  <c r="I239" i="7"/>
  <c r="H239" i="7"/>
  <c r="G239" i="7"/>
  <c r="F239" i="7"/>
  <c r="E239" i="7"/>
  <c r="D239" i="7"/>
  <c r="K238" i="7"/>
  <c r="I238" i="7"/>
  <c r="H238" i="7"/>
  <c r="G238" i="7"/>
  <c r="F238" i="7"/>
  <c r="E238" i="7"/>
  <c r="D238" i="7"/>
  <c r="K237" i="7"/>
  <c r="I237" i="7"/>
  <c r="H237" i="7"/>
  <c r="G237" i="7"/>
  <c r="F237" i="7"/>
  <c r="E237" i="7"/>
  <c r="D237" i="7"/>
  <c r="K235" i="7"/>
  <c r="I235" i="7"/>
  <c r="H235" i="7"/>
  <c r="G235" i="7"/>
  <c r="F235" i="7"/>
  <c r="E235" i="7"/>
  <c r="D235" i="7"/>
  <c r="K234" i="7"/>
  <c r="I234" i="7"/>
  <c r="H234" i="7"/>
  <c r="G234" i="7"/>
  <c r="F234" i="7"/>
  <c r="E234" i="7"/>
  <c r="D234" i="7"/>
  <c r="K233" i="7"/>
  <c r="I233" i="7"/>
  <c r="H233" i="7"/>
  <c r="G233" i="7"/>
  <c r="F233" i="7"/>
  <c r="E233" i="7"/>
  <c r="D233" i="7"/>
  <c r="K232" i="7"/>
  <c r="I232" i="7"/>
  <c r="H232" i="7"/>
  <c r="G232" i="7"/>
  <c r="F232" i="7"/>
  <c r="E232" i="7"/>
  <c r="D232" i="7"/>
  <c r="K231" i="7"/>
  <c r="I231" i="7"/>
  <c r="H231" i="7"/>
  <c r="G231" i="7"/>
  <c r="F231" i="7"/>
  <c r="E231" i="7"/>
  <c r="D231" i="7"/>
  <c r="K230" i="7"/>
  <c r="I230" i="7"/>
  <c r="H230" i="7"/>
  <c r="G230" i="7"/>
  <c r="F230" i="7"/>
  <c r="E230" i="7"/>
  <c r="D230" i="7"/>
  <c r="K229" i="7"/>
  <c r="I229" i="7"/>
  <c r="H229" i="7"/>
  <c r="G229" i="7"/>
  <c r="F229" i="7"/>
  <c r="E229" i="7"/>
  <c r="D229" i="7"/>
  <c r="K228" i="7"/>
  <c r="I228" i="7"/>
  <c r="H228" i="7"/>
  <c r="G228" i="7"/>
  <c r="F228" i="7"/>
  <c r="E228" i="7"/>
  <c r="D228" i="7"/>
  <c r="K227" i="7"/>
  <c r="I227" i="7"/>
  <c r="H227" i="7"/>
  <c r="G227" i="7"/>
  <c r="F227" i="7"/>
  <c r="E227" i="7"/>
  <c r="D227" i="7"/>
  <c r="E218" i="7"/>
  <c r="E267" i="7" s="1"/>
  <c r="J216" i="7"/>
  <c r="L216" i="7" s="1"/>
  <c r="J215" i="7"/>
  <c r="L215" i="7" s="1"/>
  <c r="K214" i="7"/>
  <c r="I214" i="7"/>
  <c r="H214" i="7"/>
  <c r="G214" i="7"/>
  <c r="F214" i="7"/>
  <c r="D214" i="7"/>
  <c r="J213" i="7"/>
  <c r="L213" i="7" s="1"/>
  <c r="J212" i="7"/>
  <c r="L212" i="7" s="1"/>
  <c r="J211" i="7"/>
  <c r="J210" i="7"/>
  <c r="L210" i="7" s="1"/>
  <c r="J209" i="7"/>
  <c r="L209" i="7" s="1"/>
  <c r="J208" i="7"/>
  <c r="L208" i="7" s="1"/>
  <c r="J207" i="7"/>
  <c r="L207" i="7" s="1"/>
  <c r="J206" i="7"/>
  <c r="L206" i="7" s="1"/>
  <c r="K205" i="7"/>
  <c r="I205" i="7"/>
  <c r="H205" i="7"/>
  <c r="G205" i="7"/>
  <c r="F205" i="7"/>
  <c r="D205" i="7"/>
  <c r="J204" i="7"/>
  <c r="L204" i="7" s="1"/>
  <c r="J203" i="7"/>
  <c r="L203" i="7" s="1"/>
  <c r="J202" i="7"/>
  <c r="J201" i="7"/>
  <c r="L201" i="7" s="1"/>
  <c r="J200" i="7"/>
  <c r="L200" i="7" s="1"/>
  <c r="J199" i="7"/>
  <c r="L199" i="7" s="1"/>
  <c r="J197" i="7"/>
  <c r="L197" i="7" s="1"/>
  <c r="K196" i="7"/>
  <c r="I196" i="7"/>
  <c r="H196" i="7"/>
  <c r="G196" i="7"/>
  <c r="F196" i="7"/>
  <c r="D196" i="7"/>
  <c r="J195" i="7"/>
  <c r="L195" i="7" s="1"/>
  <c r="J194" i="7"/>
  <c r="L194" i="7" s="1"/>
  <c r="J193" i="7"/>
  <c r="K192" i="7"/>
  <c r="I192" i="7"/>
  <c r="H192" i="7"/>
  <c r="G192" i="7"/>
  <c r="F192" i="7"/>
  <c r="D192" i="7"/>
  <c r="J191" i="7"/>
  <c r="L191" i="7" s="1"/>
  <c r="J190" i="7"/>
  <c r="L190" i="7" s="1"/>
  <c r="J189" i="7"/>
  <c r="L189" i="7" s="1"/>
  <c r="J188" i="7"/>
  <c r="L188" i="7" s="1"/>
  <c r="J187" i="7"/>
  <c r="J186" i="7"/>
  <c r="L186" i="7" s="1"/>
  <c r="J185" i="7"/>
  <c r="L185" i="7" s="1"/>
  <c r="J184" i="7"/>
  <c r="L184" i="7" s="1"/>
  <c r="J183" i="7"/>
  <c r="L183" i="7" s="1"/>
  <c r="K182" i="7"/>
  <c r="I182" i="7"/>
  <c r="H182" i="7"/>
  <c r="G182" i="7"/>
  <c r="F182" i="7"/>
  <c r="D182" i="7"/>
  <c r="J181" i="7"/>
  <c r="L181" i="7" s="1"/>
  <c r="J180" i="7"/>
  <c r="L180" i="7" s="1"/>
  <c r="J178" i="7"/>
  <c r="L178" i="7" s="1"/>
  <c r="J177" i="7"/>
  <c r="L177" i="7" s="1"/>
  <c r="J176" i="7"/>
  <c r="L176" i="7" s="1"/>
  <c r="J175" i="7"/>
  <c r="L175" i="7" s="1"/>
  <c r="K174" i="7"/>
  <c r="I174" i="7"/>
  <c r="H174" i="7"/>
  <c r="G174" i="7"/>
  <c r="F174" i="7"/>
  <c r="D174" i="7"/>
  <c r="J173" i="7"/>
  <c r="L173" i="7" s="1"/>
  <c r="J172" i="7"/>
  <c r="L172" i="7" s="1"/>
  <c r="J171" i="7"/>
  <c r="L171" i="7" s="1"/>
  <c r="J170" i="7"/>
  <c r="L170" i="7" s="1"/>
  <c r="J169" i="7"/>
  <c r="L169" i="7" s="1"/>
  <c r="J168" i="7"/>
  <c r="L168" i="7" s="1"/>
  <c r="J167" i="7"/>
  <c r="L167" i="7" s="1"/>
  <c r="J166" i="7"/>
  <c r="L166" i="7" s="1"/>
  <c r="J165" i="7"/>
  <c r="J164" i="7"/>
  <c r="L164" i="7" s="1"/>
  <c r="K163" i="7"/>
  <c r="K179" i="7" s="1"/>
  <c r="I163" i="7"/>
  <c r="I179" i="7" s="1"/>
  <c r="H163" i="7"/>
  <c r="H179" i="7" s="1"/>
  <c r="G163" i="7"/>
  <c r="G179" i="7" s="1"/>
  <c r="F163" i="7"/>
  <c r="F179" i="7" s="1"/>
  <c r="D163" i="7"/>
  <c r="D179" i="7" s="1"/>
  <c r="J162" i="7"/>
  <c r="L162" i="7" s="1"/>
  <c r="J161" i="7"/>
  <c r="L161" i="7" s="1"/>
  <c r="J160" i="7"/>
  <c r="L160" i="7" s="1"/>
  <c r="J159" i="7"/>
  <c r="L159" i="7" s="1"/>
  <c r="J158" i="7"/>
  <c r="L158" i="7" s="1"/>
  <c r="J157" i="7"/>
  <c r="J155" i="7"/>
  <c r="L155" i="7" s="1"/>
  <c r="J154" i="7"/>
  <c r="L154" i="7" s="1"/>
  <c r="K153" i="7"/>
  <c r="I153" i="7"/>
  <c r="H153" i="7"/>
  <c r="G153" i="7"/>
  <c r="F153" i="7"/>
  <c r="D153" i="7"/>
  <c r="J152" i="7"/>
  <c r="L152" i="7" s="1"/>
  <c r="J151" i="7"/>
  <c r="L151" i="7" s="1"/>
  <c r="J150" i="7"/>
  <c r="L150" i="7" s="1"/>
  <c r="J149" i="7"/>
  <c r="L149" i="7" s="1"/>
  <c r="J148" i="7"/>
  <c r="L148" i="7" s="1"/>
  <c r="J147" i="7"/>
  <c r="L147" i="7" s="1"/>
  <c r="J146" i="7"/>
  <c r="L146" i="7" s="1"/>
  <c r="J145" i="7"/>
  <c r="J144" i="7"/>
  <c r="L144" i="7" s="1"/>
  <c r="K143" i="7"/>
  <c r="I143" i="7"/>
  <c r="H143" i="7"/>
  <c r="G143" i="7"/>
  <c r="F143" i="7"/>
  <c r="D143" i="7"/>
  <c r="J142" i="7"/>
  <c r="L142" i="7" s="1"/>
  <c r="J141" i="7"/>
  <c r="L141" i="7" s="1"/>
  <c r="J140" i="7"/>
  <c r="L140" i="7" s="1"/>
  <c r="J139" i="7"/>
  <c r="L139" i="7" s="1"/>
  <c r="J138" i="7"/>
  <c r="L138" i="7" s="1"/>
  <c r="J137" i="7"/>
  <c r="L137" i="7" s="1"/>
  <c r="J136" i="7"/>
  <c r="J134" i="7"/>
  <c r="L134" i="7" s="1"/>
  <c r="J133" i="7"/>
  <c r="L133" i="7" s="1"/>
  <c r="J132" i="7"/>
  <c r="L132" i="7" s="1"/>
  <c r="J131" i="7"/>
  <c r="L131" i="7" s="1"/>
  <c r="K130" i="7"/>
  <c r="I130" i="7"/>
  <c r="H130" i="7"/>
  <c r="G130" i="7"/>
  <c r="F130" i="7"/>
  <c r="D130" i="7"/>
  <c r="J129" i="7"/>
  <c r="L129" i="7" s="1"/>
  <c r="J128" i="7"/>
  <c r="L128" i="7" s="1"/>
  <c r="J127" i="7"/>
  <c r="L127" i="7" s="1"/>
  <c r="J126" i="7"/>
  <c r="L126" i="7" s="1"/>
  <c r="J125" i="7"/>
  <c r="L125" i="7" s="1"/>
  <c r="J124" i="7"/>
  <c r="L124" i="7" s="1"/>
  <c r="J123" i="7"/>
  <c r="L123" i="7" s="1"/>
  <c r="J122" i="7"/>
  <c r="J121" i="7"/>
  <c r="L121" i="7" s="1"/>
  <c r="K120" i="7"/>
  <c r="I120" i="7"/>
  <c r="H120" i="7"/>
  <c r="G120" i="7"/>
  <c r="F120" i="7"/>
  <c r="D120" i="7"/>
  <c r="J119" i="7"/>
  <c r="L119" i="7" s="1"/>
  <c r="J118" i="7"/>
  <c r="L118" i="7" s="1"/>
  <c r="J117" i="7"/>
  <c r="L117" i="7" s="1"/>
  <c r="J116" i="7"/>
  <c r="L116" i="7" s="1"/>
  <c r="J115" i="7"/>
  <c r="L115" i="7" s="1"/>
  <c r="J114" i="7"/>
  <c r="J112" i="7"/>
  <c r="L112" i="7" s="1"/>
  <c r="J111" i="7"/>
  <c r="L111" i="7" s="1"/>
  <c r="J110" i="7"/>
  <c r="L110" i="7" s="1"/>
  <c r="J109" i="7"/>
  <c r="L109" i="7" s="1"/>
  <c r="K108" i="7"/>
  <c r="I108" i="7"/>
  <c r="H108" i="7"/>
  <c r="G108" i="7"/>
  <c r="F108" i="7"/>
  <c r="D108" i="7"/>
  <c r="J107" i="7"/>
  <c r="L107" i="7" s="1"/>
  <c r="J106" i="7"/>
  <c r="L106" i="7" s="1"/>
  <c r="J105" i="7"/>
  <c r="L105" i="7" s="1"/>
  <c r="J104" i="7"/>
  <c r="L104" i="7" s="1"/>
  <c r="J103" i="7"/>
  <c r="L103" i="7" s="1"/>
  <c r="J102" i="7"/>
  <c r="L102" i="7" s="1"/>
  <c r="J101" i="7"/>
  <c r="L101" i="7" s="1"/>
  <c r="J100" i="7"/>
  <c r="L100" i="7" s="1"/>
  <c r="J99" i="7"/>
  <c r="L99" i="7" s="1"/>
  <c r="J98" i="7"/>
  <c r="L98" i="7" s="1"/>
  <c r="J97" i="7"/>
  <c r="L97" i="7" s="1"/>
  <c r="K96" i="7"/>
  <c r="I96" i="7"/>
  <c r="H96" i="7"/>
  <c r="G96" i="7"/>
  <c r="F96" i="7"/>
  <c r="D96" i="7"/>
  <c r="J95" i="7"/>
  <c r="L95" i="7" s="1"/>
  <c r="J94" i="7"/>
  <c r="L94" i="7" s="1"/>
  <c r="J93" i="7"/>
  <c r="L93" i="7" s="1"/>
  <c r="J92" i="7"/>
  <c r="L92" i="7" s="1"/>
  <c r="J91" i="7"/>
  <c r="L91" i="7" s="1"/>
  <c r="J90" i="7"/>
  <c r="L90" i="7" s="1"/>
  <c r="J89" i="7"/>
  <c r="J87" i="7"/>
  <c r="L87" i="7" s="1"/>
  <c r="J86" i="7"/>
  <c r="L86" i="7" s="1"/>
  <c r="J85" i="7"/>
  <c r="L85" i="7" s="1"/>
  <c r="J84" i="7"/>
  <c r="L84" i="7" s="1"/>
  <c r="J83" i="7"/>
  <c r="L83" i="7" s="1"/>
  <c r="J82" i="7"/>
  <c r="L82" i="7" s="1"/>
  <c r="J81" i="7"/>
  <c r="L81" i="7" s="1"/>
  <c r="J80" i="7"/>
  <c r="L80" i="7" s="1"/>
  <c r="K79" i="7"/>
  <c r="I79" i="7"/>
  <c r="H79" i="7"/>
  <c r="G79" i="7"/>
  <c r="F79" i="7"/>
  <c r="D79" i="7"/>
  <c r="J78" i="7"/>
  <c r="L78" i="7" s="1"/>
  <c r="J77" i="7"/>
  <c r="K76" i="7"/>
  <c r="I76" i="7"/>
  <c r="H76" i="7"/>
  <c r="G76" i="7"/>
  <c r="F76" i="7"/>
  <c r="D76" i="7"/>
  <c r="J75" i="7"/>
  <c r="J74" i="7"/>
  <c r="L74" i="7" s="1"/>
  <c r="J73" i="7"/>
  <c r="L73" i="7" s="1"/>
  <c r="J72" i="7"/>
  <c r="L72" i="7" s="1"/>
  <c r="J71" i="7"/>
  <c r="L71" i="7" s="1"/>
  <c r="J70" i="7"/>
  <c r="L70" i="7" s="1"/>
  <c r="J69" i="7"/>
  <c r="L69" i="7" s="1"/>
  <c r="J68" i="7"/>
  <c r="L68" i="7" s="1"/>
  <c r="J67" i="7"/>
  <c r="L67" i="7" s="1"/>
  <c r="J66" i="7"/>
  <c r="L66" i="7" s="1"/>
  <c r="J65" i="7"/>
  <c r="L65" i="7" s="1"/>
  <c r="J64" i="7"/>
  <c r="L64" i="7" s="1"/>
  <c r="J63" i="7"/>
  <c r="J62" i="7"/>
  <c r="L62" i="7" s="1"/>
  <c r="K61" i="7"/>
  <c r="I61" i="7"/>
  <c r="H61" i="7"/>
  <c r="G61" i="7"/>
  <c r="F61" i="7"/>
  <c r="D61" i="7"/>
  <c r="J60" i="7"/>
  <c r="L60" i="7" s="1"/>
  <c r="J59" i="7"/>
  <c r="L59" i="7" s="1"/>
  <c r="J58" i="7"/>
  <c r="L58" i="7" s="1"/>
  <c r="J57" i="7"/>
  <c r="L57" i="7" s="1"/>
  <c r="J56" i="7"/>
  <c r="L56" i="7" s="1"/>
  <c r="J55" i="7"/>
  <c r="L55" i="7" s="1"/>
  <c r="J54" i="7"/>
  <c r="J239" i="7" s="1"/>
  <c r="J53" i="7"/>
  <c r="J238" i="7" s="1"/>
  <c r="J52" i="7"/>
  <c r="L52" i="7" s="1"/>
  <c r="K51" i="7"/>
  <c r="I51" i="7"/>
  <c r="H51" i="7"/>
  <c r="G51" i="7"/>
  <c r="F51" i="7"/>
  <c r="D51" i="7"/>
  <c r="J50" i="7"/>
  <c r="L50" i="7" s="1"/>
  <c r="J49" i="7"/>
  <c r="K48" i="7"/>
  <c r="I48" i="7"/>
  <c r="H48" i="7"/>
  <c r="G48" i="7"/>
  <c r="F48" i="7"/>
  <c r="D48" i="7"/>
  <c r="J47" i="7"/>
  <c r="L47" i="7" s="1"/>
  <c r="J46" i="7"/>
  <c r="L46" i="7" s="1"/>
  <c r="J45" i="7"/>
  <c r="L45" i="7" s="1"/>
  <c r="J44" i="7"/>
  <c r="L44" i="7" s="1"/>
  <c r="J43" i="7"/>
  <c r="L43" i="7" s="1"/>
  <c r="J42" i="7"/>
  <c r="L42" i="7" s="1"/>
  <c r="J41" i="7"/>
  <c r="J255" i="7" s="1"/>
  <c r="J40" i="7"/>
  <c r="L40" i="7" s="1"/>
  <c r="J39" i="7"/>
  <c r="L39" i="7" s="1"/>
  <c r="J38" i="7"/>
  <c r="L38" i="7" s="1"/>
  <c r="J37" i="7"/>
  <c r="L37" i="7" s="1"/>
  <c r="J36" i="7"/>
  <c r="L36" i="7" s="1"/>
  <c r="J35" i="7"/>
  <c r="L35" i="7" s="1"/>
  <c r="J34" i="7"/>
  <c r="J33" i="7"/>
  <c r="L33" i="7" s="1"/>
  <c r="K32" i="7"/>
  <c r="I32" i="7"/>
  <c r="H32" i="7"/>
  <c r="G32" i="7"/>
  <c r="F32" i="7"/>
  <c r="D32" i="7"/>
  <c r="J31" i="7"/>
  <c r="L31" i="7" s="1"/>
  <c r="J29" i="7"/>
  <c r="L29" i="7" s="1"/>
  <c r="J27" i="7"/>
  <c r="L27" i="7" s="1"/>
  <c r="J25" i="7"/>
  <c r="L25" i="7" s="1"/>
  <c r="K24" i="7"/>
  <c r="K236" i="7" s="1"/>
  <c r="I24" i="7"/>
  <c r="I236" i="7" s="1"/>
  <c r="H24" i="7"/>
  <c r="H236" i="7" s="1"/>
  <c r="G24" i="7"/>
  <c r="G236" i="7" s="1"/>
  <c r="F24" i="7"/>
  <c r="F236" i="7" s="1"/>
  <c r="E24" i="7"/>
  <c r="E236" i="7" s="1"/>
  <c r="D24" i="7"/>
  <c r="D236" i="7" s="1"/>
  <c r="J23" i="7"/>
  <c r="J22" i="7"/>
  <c r="L22" i="7" s="1"/>
  <c r="J21" i="7"/>
  <c r="L21" i="7" s="1"/>
  <c r="J20" i="7"/>
  <c r="L20" i="7" s="1"/>
  <c r="J19" i="7"/>
  <c r="L19" i="7" s="1"/>
  <c r="J18" i="7"/>
  <c r="L18" i="7" s="1"/>
  <c r="J17" i="7"/>
  <c r="L17" i="7" s="1"/>
  <c r="J16" i="7"/>
  <c r="L16" i="7" s="1"/>
  <c r="J15" i="7"/>
  <c r="L15" i="7" s="1"/>
  <c r="J14" i="7"/>
  <c r="L14" i="7" s="1"/>
  <c r="J13" i="7"/>
  <c r="J12" i="7"/>
  <c r="L12" i="7" s="1"/>
  <c r="J11" i="7"/>
  <c r="L11" i="7" s="1"/>
  <c r="J10" i="7"/>
  <c r="J9" i="7"/>
  <c r="J231" i="7" s="1"/>
  <c r="J8" i="7"/>
  <c r="J230" i="7" s="1"/>
  <c r="J7" i="7"/>
  <c r="J229" i="7" s="1"/>
  <c r="J6" i="7"/>
  <c r="J5" i="7"/>
  <c r="F187" i="6"/>
  <c r="F187" i="8" s="1"/>
  <c r="L108" i="8" l="1"/>
  <c r="L113" i="8" s="1"/>
  <c r="J187" i="8"/>
  <c r="F192" i="8"/>
  <c r="F257" i="8"/>
  <c r="F344" i="8"/>
  <c r="J88" i="8"/>
  <c r="L88" i="8"/>
  <c r="L205" i="8"/>
  <c r="L217" i="8" s="1"/>
  <c r="J217" i="8"/>
  <c r="J246" i="8"/>
  <c r="J79" i="7"/>
  <c r="J182" i="7"/>
  <c r="J257" i="7"/>
  <c r="L187" i="7"/>
  <c r="L192" i="7" s="1"/>
  <c r="F135" i="7"/>
  <c r="H135" i="7"/>
  <c r="J143" i="7"/>
  <c r="F156" i="7"/>
  <c r="H156" i="7"/>
  <c r="F246" i="7"/>
  <c r="H246" i="7"/>
  <c r="L53" i="7"/>
  <c r="L54" i="7"/>
  <c r="L77" i="7"/>
  <c r="L79" i="7" s="1"/>
  <c r="J120" i="7"/>
  <c r="D156" i="7"/>
  <c r="G156" i="7"/>
  <c r="I156" i="7"/>
  <c r="G246" i="7"/>
  <c r="I246" i="7"/>
  <c r="J48" i="7"/>
  <c r="D262" i="7"/>
  <c r="J263" i="7"/>
  <c r="J228" i="7"/>
  <c r="L34" i="7"/>
  <c r="L41" i="7"/>
  <c r="D113" i="7"/>
  <c r="G113" i="7"/>
  <c r="I113" i="7"/>
  <c r="L114" i="7"/>
  <c r="L120" i="7" s="1"/>
  <c r="L136" i="7"/>
  <c r="L143" i="7" s="1"/>
  <c r="J51" i="7"/>
  <c r="L49" i="7"/>
  <c r="L51" i="7" s="1"/>
  <c r="J227" i="7"/>
  <c r="J235" i="7"/>
  <c r="J237" i="7"/>
  <c r="J32" i="7"/>
  <c r="D88" i="7"/>
  <c r="G88" i="7"/>
  <c r="I88" i="7"/>
  <c r="J76" i="7"/>
  <c r="L63" i="7"/>
  <c r="J261" i="7"/>
  <c r="L75" i="7"/>
  <c r="J130" i="7"/>
  <c r="L122" i="7"/>
  <c r="L130" i="7" s="1"/>
  <c r="J196" i="7"/>
  <c r="L193" i="7"/>
  <c r="L196" i="7" s="1"/>
  <c r="J259" i="7"/>
  <c r="J251" i="7"/>
  <c r="J252" i="7"/>
  <c r="J253" i="7"/>
  <c r="H88" i="7"/>
  <c r="J258" i="7"/>
  <c r="J61" i="7"/>
  <c r="J264" i="7"/>
  <c r="J265" i="7"/>
  <c r="D266" i="7"/>
  <c r="F113" i="7"/>
  <c r="H113" i="7"/>
  <c r="D135" i="7"/>
  <c r="G135" i="7"/>
  <c r="I135" i="7"/>
  <c r="K135" i="7"/>
  <c r="D198" i="7"/>
  <c r="G198" i="7"/>
  <c r="I198" i="7"/>
  <c r="H198" i="7"/>
  <c r="F266" i="7"/>
  <c r="H266" i="7"/>
  <c r="D217" i="7"/>
  <c r="J214" i="7"/>
  <c r="H262" i="7"/>
  <c r="J205" i="7"/>
  <c r="L211" i="7"/>
  <c r="L214" i="7" s="1"/>
  <c r="J233" i="7"/>
  <c r="J234" i="7"/>
  <c r="K198" i="7"/>
  <c r="L32" i="7"/>
  <c r="L202" i="7"/>
  <c r="L205" i="7" s="1"/>
  <c r="F198" i="7"/>
  <c r="J108" i="7"/>
  <c r="L108" i="7"/>
  <c r="J96" i="7"/>
  <c r="L89" i="7"/>
  <c r="L96" i="7" s="1"/>
  <c r="F88" i="7"/>
  <c r="F262" i="7"/>
  <c r="J242" i="7"/>
  <c r="K156" i="7"/>
  <c r="K113" i="7"/>
  <c r="K88" i="7"/>
  <c r="J24" i="7"/>
  <c r="J236" i="7" s="1"/>
  <c r="J174" i="7"/>
  <c r="L165" i="7"/>
  <c r="L174" i="7" s="1"/>
  <c r="J192" i="7"/>
  <c r="H217" i="7"/>
  <c r="J247" i="7"/>
  <c r="J248" i="7"/>
  <c r="J249" i="7"/>
  <c r="J250" i="7"/>
  <c r="J254" i="7"/>
  <c r="J256" i="7"/>
  <c r="J260" i="7"/>
  <c r="L5" i="7"/>
  <c r="L6" i="7"/>
  <c r="L7" i="7"/>
  <c r="L8" i="7"/>
  <c r="L9" i="7"/>
  <c r="L10" i="7"/>
  <c r="L13" i="7"/>
  <c r="L23" i="7"/>
  <c r="J153" i="7"/>
  <c r="L145" i="7"/>
  <c r="L153" i="7" s="1"/>
  <c r="J163" i="7"/>
  <c r="L157" i="7"/>
  <c r="L163" i="7" s="1"/>
  <c r="L182" i="7"/>
  <c r="G266" i="7"/>
  <c r="I266" i="7"/>
  <c r="K266" i="7"/>
  <c r="K246" i="7"/>
  <c r="G262" i="7"/>
  <c r="I262" i="7"/>
  <c r="K262" i="7"/>
  <c r="F217" i="7"/>
  <c r="J232" i="7"/>
  <c r="J240" i="7"/>
  <c r="J241" i="7"/>
  <c r="J243" i="7"/>
  <c r="J244" i="7"/>
  <c r="J245" i="7"/>
  <c r="D246" i="7"/>
  <c r="G217" i="7"/>
  <c r="I217" i="7"/>
  <c r="K217" i="7"/>
  <c r="E218" i="6"/>
  <c r="E267" i="6" s="1"/>
  <c r="J217" i="7" l="1"/>
  <c r="L156" i="7"/>
  <c r="L113" i="7"/>
  <c r="J113" i="7"/>
  <c r="F317" i="8"/>
  <c r="F262" i="8"/>
  <c r="F198" i="8"/>
  <c r="F218" i="8" s="1"/>
  <c r="F267" i="8" s="1"/>
  <c r="J192" i="8"/>
  <c r="L187" i="8"/>
  <c r="L192" i="8" s="1"/>
  <c r="L198" i="8" s="1"/>
  <c r="L218" i="8" s="1"/>
  <c r="J257" i="8"/>
  <c r="J156" i="7"/>
  <c r="L61" i="7"/>
  <c r="J179" i="7"/>
  <c r="H218" i="7"/>
  <c r="H267" i="7" s="1"/>
  <c r="G218" i="7"/>
  <c r="G267" i="7" s="1"/>
  <c r="J88" i="7"/>
  <c r="J246" i="7"/>
  <c r="J266" i="7"/>
  <c r="J135" i="7"/>
  <c r="I218" i="7"/>
  <c r="I267" i="7" s="1"/>
  <c r="J198" i="7"/>
  <c r="L135" i="7"/>
  <c r="L48" i="7"/>
  <c r="L217" i="7"/>
  <c r="L76" i="7"/>
  <c r="D218" i="7"/>
  <c r="D267" i="7" s="1"/>
  <c r="L179" i="7"/>
  <c r="F218" i="7"/>
  <c r="F267" i="7" s="1"/>
  <c r="L198" i="7"/>
  <c r="K218" i="7"/>
  <c r="K267" i="7" s="1"/>
  <c r="L24" i="7"/>
  <c r="J262" i="7"/>
  <c r="E228" i="6"/>
  <c r="E234" i="6"/>
  <c r="K265" i="6"/>
  <c r="I265" i="6"/>
  <c r="H265" i="6"/>
  <c r="G265" i="6"/>
  <c r="F265" i="6"/>
  <c r="E265" i="6"/>
  <c r="D265" i="6"/>
  <c r="K264" i="6"/>
  <c r="I264" i="6"/>
  <c r="H264" i="6"/>
  <c r="G264" i="6"/>
  <c r="F264" i="6"/>
  <c r="E264" i="6"/>
  <c r="D264" i="6"/>
  <c r="K263" i="6"/>
  <c r="I263" i="6"/>
  <c r="H263" i="6"/>
  <c r="G263" i="6"/>
  <c r="F263" i="6"/>
  <c r="E263" i="6"/>
  <c r="D263" i="6"/>
  <c r="K261" i="6"/>
  <c r="I261" i="6"/>
  <c r="H261" i="6"/>
  <c r="G261" i="6"/>
  <c r="F261" i="6"/>
  <c r="E261" i="6"/>
  <c r="D261" i="6"/>
  <c r="K260" i="6"/>
  <c r="I260" i="6"/>
  <c r="H260" i="6"/>
  <c r="G260" i="6"/>
  <c r="F260" i="6"/>
  <c r="E260" i="6"/>
  <c r="D260" i="6"/>
  <c r="K259" i="6"/>
  <c r="I259" i="6"/>
  <c r="H259" i="6"/>
  <c r="G259" i="6"/>
  <c r="F259" i="6"/>
  <c r="E259" i="6"/>
  <c r="D259" i="6"/>
  <c r="K258" i="6"/>
  <c r="I258" i="6"/>
  <c r="H258" i="6"/>
  <c r="G258" i="6"/>
  <c r="F258" i="6"/>
  <c r="E258" i="6"/>
  <c r="D258" i="6"/>
  <c r="K257" i="6"/>
  <c r="I257" i="6"/>
  <c r="H257" i="6"/>
  <c r="G257" i="6"/>
  <c r="F257" i="6"/>
  <c r="E257" i="6"/>
  <c r="D257" i="6"/>
  <c r="K256" i="6"/>
  <c r="I256" i="6"/>
  <c r="H256" i="6"/>
  <c r="G256" i="6"/>
  <c r="F256" i="6"/>
  <c r="E256" i="6"/>
  <c r="D256" i="6"/>
  <c r="K255" i="6"/>
  <c r="I255" i="6"/>
  <c r="H255" i="6"/>
  <c r="G255" i="6"/>
  <c r="F255" i="6"/>
  <c r="E255" i="6"/>
  <c r="D255" i="6"/>
  <c r="K254" i="6"/>
  <c r="I254" i="6"/>
  <c r="H254" i="6"/>
  <c r="G254" i="6"/>
  <c r="F254" i="6"/>
  <c r="E254" i="6"/>
  <c r="D254" i="6"/>
  <c r="K253" i="6"/>
  <c r="I253" i="6"/>
  <c r="H253" i="6"/>
  <c r="G253" i="6"/>
  <c r="F253" i="6"/>
  <c r="E253" i="6"/>
  <c r="D253" i="6"/>
  <c r="K252" i="6"/>
  <c r="I252" i="6"/>
  <c r="H252" i="6"/>
  <c r="G252" i="6"/>
  <c r="F252" i="6"/>
  <c r="E252" i="6"/>
  <c r="D252" i="6"/>
  <c r="K251" i="6"/>
  <c r="I251" i="6"/>
  <c r="H251" i="6"/>
  <c r="G251" i="6"/>
  <c r="F251" i="6"/>
  <c r="E251" i="6"/>
  <c r="D251" i="6"/>
  <c r="K250" i="6"/>
  <c r="I250" i="6"/>
  <c r="H250" i="6"/>
  <c r="G250" i="6"/>
  <c r="F250" i="6"/>
  <c r="E250" i="6"/>
  <c r="D250" i="6"/>
  <c r="K249" i="6"/>
  <c r="I249" i="6"/>
  <c r="H249" i="6"/>
  <c r="G249" i="6"/>
  <c r="F249" i="6"/>
  <c r="E249" i="6"/>
  <c r="D249" i="6"/>
  <c r="K248" i="6"/>
  <c r="I248" i="6"/>
  <c r="H248" i="6"/>
  <c r="G248" i="6"/>
  <c r="F248" i="6"/>
  <c r="E248" i="6"/>
  <c r="D248" i="6"/>
  <c r="K247" i="6"/>
  <c r="I247" i="6"/>
  <c r="H247" i="6"/>
  <c r="G247" i="6"/>
  <c r="F247" i="6"/>
  <c r="E247" i="6"/>
  <c r="D247" i="6"/>
  <c r="K245" i="6"/>
  <c r="I245" i="6"/>
  <c r="H245" i="6"/>
  <c r="G245" i="6"/>
  <c r="F245" i="6"/>
  <c r="E245" i="6"/>
  <c r="D245" i="6"/>
  <c r="K244" i="6"/>
  <c r="I244" i="6"/>
  <c r="H244" i="6"/>
  <c r="G244" i="6"/>
  <c r="F244" i="6"/>
  <c r="E244" i="6"/>
  <c r="D244" i="6"/>
  <c r="K243" i="6"/>
  <c r="I243" i="6"/>
  <c r="H243" i="6"/>
  <c r="G243" i="6"/>
  <c r="F243" i="6"/>
  <c r="E243" i="6"/>
  <c r="D243" i="6"/>
  <c r="K242" i="6"/>
  <c r="I242" i="6"/>
  <c r="H242" i="6"/>
  <c r="G242" i="6"/>
  <c r="F242" i="6"/>
  <c r="E242" i="6"/>
  <c r="D242" i="6"/>
  <c r="K241" i="6"/>
  <c r="I241" i="6"/>
  <c r="H241" i="6"/>
  <c r="G241" i="6"/>
  <c r="F241" i="6"/>
  <c r="E241" i="6"/>
  <c r="D241" i="6"/>
  <c r="K240" i="6"/>
  <c r="I240" i="6"/>
  <c r="H240" i="6"/>
  <c r="G240" i="6"/>
  <c r="F240" i="6"/>
  <c r="E240" i="6"/>
  <c r="D240" i="6"/>
  <c r="K239" i="6"/>
  <c r="I239" i="6"/>
  <c r="H239" i="6"/>
  <c r="G239" i="6"/>
  <c r="F239" i="6"/>
  <c r="E239" i="6"/>
  <c r="D239" i="6"/>
  <c r="K238" i="6"/>
  <c r="I238" i="6"/>
  <c r="H238" i="6"/>
  <c r="G238" i="6"/>
  <c r="F238" i="6"/>
  <c r="E238" i="6"/>
  <c r="D238" i="6"/>
  <c r="K237" i="6"/>
  <c r="I237" i="6"/>
  <c r="H237" i="6"/>
  <c r="G237" i="6"/>
  <c r="F237" i="6"/>
  <c r="E237" i="6"/>
  <c r="D237" i="6"/>
  <c r="K235" i="6"/>
  <c r="I235" i="6"/>
  <c r="H235" i="6"/>
  <c r="G235" i="6"/>
  <c r="F235" i="6"/>
  <c r="E235" i="6"/>
  <c r="D235" i="6"/>
  <c r="K234" i="6"/>
  <c r="I234" i="6"/>
  <c r="H234" i="6"/>
  <c r="G234" i="6"/>
  <c r="F234" i="6"/>
  <c r="D234" i="6"/>
  <c r="K233" i="6"/>
  <c r="I233" i="6"/>
  <c r="H233" i="6"/>
  <c r="G233" i="6"/>
  <c r="F233" i="6"/>
  <c r="E233" i="6"/>
  <c r="D233" i="6"/>
  <c r="K232" i="6"/>
  <c r="I232" i="6"/>
  <c r="H232" i="6"/>
  <c r="G232" i="6"/>
  <c r="F232" i="6"/>
  <c r="D232" i="6"/>
  <c r="K231" i="6"/>
  <c r="I231" i="6"/>
  <c r="H231" i="6"/>
  <c r="G231" i="6"/>
  <c r="F231" i="6"/>
  <c r="E231" i="6"/>
  <c r="D231" i="6"/>
  <c r="K230" i="6"/>
  <c r="I230" i="6"/>
  <c r="H230" i="6"/>
  <c r="G230" i="6"/>
  <c r="F230" i="6"/>
  <c r="E230" i="6"/>
  <c r="D230" i="6"/>
  <c r="K229" i="6"/>
  <c r="I229" i="6"/>
  <c r="H229" i="6"/>
  <c r="G229" i="6"/>
  <c r="F229" i="6"/>
  <c r="E229" i="6"/>
  <c r="D229" i="6"/>
  <c r="K228" i="6"/>
  <c r="I228" i="6"/>
  <c r="H228" i="6"/>
  <c r="G228" i="6"/>
  <c r="F228" i="6"/>
  <c r="D228" i="6"/>
  <c r="K227" i="6"/>
  <c r="I227" i="6"/>
  <c r="H227" i="6"/>
  <c r="G227" i="6"/>
  <c r="F227" i="6"/>
  <c r="E227" i="6"/>
  <c r="D227" i="6"/>
  <c r="J216" i="6"/>
  <c r="L216" i="6" s="1"/>
  <c r="J215" i="6"/>
  <c r="L215" i="6" s="1"/>
  <c r="K214" i="6"/>
  <c r="I214" i="6"/>
  <c r="H214" i="6"/>
  <c r="G214" i="6"/>
  <c r="F214" i="6"/>
  <c r="D214" i="6"/>
  <c r="J213" i="6"/>
  <c r="J212" i="6"/>
  <c r="J211" i="6"/>
  <c r="J210" i="6"/>
  <c r="L210" i="6" s="1"/>
  <c r="J209" i="6"/>
  <c r="L209" i="6" s="1"/>
  <c r="J208" i="6"/>
  <c r="J207" i="6"/>
  <c r="L207" i="6" s="1"/>
  <c r="J206" i="6"/>
  <c r="K205" i="6"/>
  <c r="I205" i="6"/>
  <c r="H205" i="6"/>
  <c r="G205" i="6"/>
  <c r="F205" i="6"/>
  <c r="D205" i="6"/>
  <c r="J204" i="6"/>
  <c r="L204" i="6" s="1"/>
  <c r="J203" i="6"/>
  <c r="L203" i="6" s="1"/>
  <c r="J202" i="6"/>
  <c r="L202" i="6" s="1"/>
  <c r="J201" i="6"/>
  <c r="L201" i="6" s="1"/>
  <c r="J200" i="6"/>
  <c r="L200" i="6" s="1"/>
  <c r="J199" i="6"/>
  <c r="L199" i="6" s="1"/>
  <c r="J197" i="6"/>
  <c r="K196" i="6"/>
  <c r="I196" i="6"/>
  <c r="H196" i="6"/>
  <c r="G196" i="6"/>
  <c r="F196" i="6"/>
  <c r="D196" i="6"/>
  <c r="J195" i="6"/>
  <c r="J194" i="6"/>
  <c r="L194" i="6" s="1"/>
  <c r="J193" i="6"/>
  <c r="K192" i="6"/>
  <c r="I192" i="6"/>
  <c r="H192" i="6"/>
  <c r="G192" i="6"/>
  <c r="F192" i="6"/>
  <c r="D192" i="6"/>
  <c r="J191" i="6"/>
  <c r="L191" i="6" s="1"/>
  <c r="J190" i="6"/>
  <c r="L190" i="6" s="1"/>
  <c r="J189" i="6"/>
  <c r="L189" i="6" s="1"/>
  <c r="J188" i="6"/>
  <c r="L188" i="6" s="1"/>
  <c r="J187" i="6"/>
  <c r="J186" i="6"/>
  <c r="J185" i="6"/>
  <c r="L185" i="6" s="1"/>
  <c r="J184" i="6"/>
  <c r="L184" i="6" s="1"/>
  <c r="J183" i="6"/>
  <c r="L183" i="6" s="1"/>
  <c r="K182" i="6"/>
  <c r="I182" i="6"/>
  <c r="H182" i="6"/>
  <c r="G182" i="6"/>
  <c r="F182" i="6"/>
  <c r="D182" i="6"/>
  <c r="J181" i="6"/>
  <c r="L181" i="6" s="1"/>
  <c r="J180" i="6"/>
  <c r="L180" i="6" s="1"/>
  <c r="J178" i="6"/>
  <c r="L178" i="6" s="1"/>
  <c r="J177" i="6"/>
  <c r="L177" i="6" s="1"/>
  <c r="J176" i="6"/>
  <c r="L176" i="6" s="1"/>
  <c r="J175" i="6"/>
  <c r="L175" i="6" s="1"/>
  <c r="K174" i="6"/>
  <c r="I174" i="6"/>
  <c r="H174" i="6"/>
  <c r="G174" i="6"/>
  <c r="F174" i="6"/>
  <c r="D174" i="6"/>
  <c r="J173" i="6"/>
  <c r="L173" i="6" s="1"/>
  <c r="J172" i="6"/>
  <c r="L172" i="6" s="1"/>
  <c r="J171" i="6"/>
  <c r="L171" i="6" s="1"/>
  <c r="J170" i="6"/>
  <c r="L170" i="6" s="1"/>
  <c r="J169" i="6"/>
  <c r="J168" i="6"/>
  <c r="L168" i="6" s="1"/>
  <c r="J167" i="6"/>
  <c r="J166" i="6"/>
  <c r="L166" i="6" s="1"/>
  <c r="J165" i="6"/>
  <c r="J164" i="6"/>
  <c r="L164" i="6" s="1"/>
  <c r="K163" i="6"/>
  <c r="I163" i="6"/>
  <c r="I179" i="6" s="1"/>
  <c r="H163" i="6"/>
  <c r="H179" i="6" s="1"/>
  <c r="G163" i="6"/>
  <c r="G179" i="6" s="1"/>
  <c r="F163" i="6"/>
  <c r="F179" i="6" s="1"/>
  <c r="D163" i="6"/>
  <c r="D179" i="6" s="1"/>
  <c r="J162" i="6"/>
  <c r="L162" i="6" s="1"/>
  <c r="J161" i="6"/>
  <c r="L161" i="6" s="1"/>
  <c r="J160" i="6"/>
  <c r="L160" i="6" s="1"/>
  <c r="J159" i="6"/>
  <c r="L159" i="6" s="1"/>
  <c r="J158" i="6"/>
  <c r="L158" i="6" s="1"/>
  <c r="J157" i="6"/>
  <c r="J155" i="6"/>
  <c r="L155" i="6" s="1"/>
  <c r="J154" i="6"/>
  <c r="L154" i="6" s="1"/>
  <c r="K153" i="6"/>
  <c r="I153" i="6"/>
  <c r="H153" i="6"/>
  <c r="G153" i="6"/>
  <c r="F153" i="6"/>
  <c r="D153" i="6"/>
  <c r="J152" i="6"/>
  <c r="L152" i="6" s="1"/>
  <c r="J151" i="6"/>
  <c r="L151" i="6" s="1"/>
  <c r="J150" i="6"/>
  <c r="L150" i="6" s="1"/>
  <c r="J149" i="6"/>
  <c r="L149" i="6" s="1"/>
  <c r="J148" i="6"/>
  <c r="L148" i="6" s="1"/>
  <c r="J147" i="6"/>
  <c r="L147" i="6" s="1"/>
  <c r="J146" i="6"/>
  <c r="L146" i="6" s="1"/>
  <c r="J145" i="6"/>
  <c r="J144" i="6"/>
  <c r="L144" i="6" s="1"/>
  <c r="K143" i="6"/>
  <c r="I143" i="6"/>
  <c r="H143" i="6"/>
  <c r="G143" i="6"/>
  <c r="F143" i="6"/>
  <c r="D143" i="6"/>
  <c r="J142" i="6"/>
  <c r="L142" i="6" s="1"/>
  <c r="J141" i="6"/>
  <c r="L141" i="6" s="1"/>
  <c r="J140" i="6"/>
  <c r="L140" i="6" s="1"/>
  <c r="J139" i="6"/>
  <c r="L139" i="6" s="1"/>
  <c r="J138" i="6"/>
  <c r="L138" i="6" s="1"/>
  <c r="J137" i="6"/>
  <c r="L137" i="6" s="1"/>
  <c r="J136" i="6"/>
  <c r="L136" i="6" s="1"/>
  <c r="J134" i="6"/>
  <c r="L134" i="6" s="1"/>
  <c r="J133" i="6"/>
  <c r="L133" i="6" s="1"/>
  <c r="J132" i="6"/>
  <c r="L132" i="6" s="1"/>
  <c r="J131" i="6"/>
  <c r="L131" i="6" s="1"/>
  <c r="K130" i="6"/>
  <c r="I130" i="6"/>
  <c r="H130" i="6"/>
  <c r="G130" i="6"/>
  <c r="F130" i="6"/>
  <c r="D130" i="6"/>
  <c r="J129" i="6"/>
  <c r="L129" i="6" s="1"/>
  <c r="J128" i="6"/>
  <c r="L128" i="6" s="1"/>
  <c r="J127" i="6"/>
  <c r="L127" i="6" s="1"/>
  <c r="J126" i="6"/>
  <c r="L126" i="6" s="1"/>
  <c r="J125" i="6"/>
  <c r="L125" i="6" s="1"/>
  <c r="J124" i="6"/>
  <c r="L124" i="6" s="1"/>
  <c r="J123" i="6"/>
  <c r="L123" i="6" s="1"/>
  <c r="J122" i="6"/>
  <c r="L122" i="6" s="1"/>
  <c r="J121" i="6"/>
  <c r="L121" i="6" s="1"/>
  <c r="K120" i="6"/>
  <c r="I120" i="6"/>
  <c r="H120" i="6"/>
  <c r="G120" i="6"/>
  <c r="F120" i="6"/>
  <c r="D120" i="6"/>
  <c r="J119" i="6"/>
  <c r="L119" i="6" s="1"/>
  <c r="J118" i="6"/>
  <c r="L118" i="6" s="1"/>
  <c r="J117" i="6"/>
  <c r="L117" i="6" s="1"/>
  <c r="J116" i="6"/>
  <c r="L116" i="6" s="1"/>
  <c r="J115" i="6"/>
  <c r="L115" i="6" s="1"/>
  <c r="J114" i="6"/>
  <c r="J112" i="6"/>
  <c r="L112" i="6" s="1"/>
  <c r="J111" i="6"/>
  <c r="L111" i="6" s="1"/>
  <c r="J110" i="6"/>
  <c r="L110" i="6" s="1"/>
  <c r="J109" i="6"/>
  <c r="L109" i="6" s="1"/>
  <c r="K108" i="6"/>
  <c r="I108" i="6"/>
  <c r="H108" i="6"/>
  <c r="G108" i="6"/>
  <c r="F108" i="6"/>
  <c r="D108" i="6"/>
  <c r="J107" i="6"/>
  <c r="L107" i="6" s="1"/>
  <c r="J106" i="6"/>
  <c r="L106" i="6" s="1"/>
  <c r="J105" i="6"/>
  <c r="L105" i="6" s="1"/>
  <c r="J104" i="6"/>
  <c r="L104" i="6" s="1"/>
  <c r="J103" i="6"/>
  <c r="L103" i="6" s="1"/>
  <c r="J102" i="6"/>
  <c r="L102" i="6" s="1"/>
  <c r="J101" i="6"/>
  <c r="L101" i="6" s="1"/>
  <c r="J100" i="6"/>
  <c r="L100" i="6" s="1"/>
  <c r="J99" i="6"/>
  <c r="L99" i="6" s="1"/>
  <c r="J98" i="6"/>
  <c r="J97" i="6"/>
  <c r="L97" i="6" s="1"/>
  <c r="K96" i="6"/>
  <c r="I96" i="6"/>
  <c r="H96" i="6"/>
  <c r="G96" i="6"/>
  <c r="F96" i="6"/>
  <c r="D96" i="6"/>
  <c r="J95" i="6"/>
  <c r="L95" i="6" s="1"/>
  <c r="J94" i="6"/>
  <c r="L94" i="6" s="1"/>
  <c r="J93" i="6"/>
  <c r="L93" i="6" s="1"/>
  <c r="J92" i="6"/>
  <c r="L92" i="6" s="1"/>
  <c r="J91" i="6"/>
  <c r="L91" i="6" s="1"/>
  <c r="J90" i="6"/>
  <c r="L90" i="6" s="1"/>
  <c r="J89" i="6"/>
  <c r="J87" i="6"/>
  <c r="L87" i="6" s="1"/>
  <c r="J86" i="6"/>
  <c r="L86" i="6" s="1"/>
  <c r="J85" i="6"/>
  <c r="L85" i="6" s="1"/>
  <c r="J84" i="6"/>
  <c r="L84" i="6" s="1"/>
  <c r="J83" i="6"/>
  <c r="L83" i="6" s="1"/>
  <c r="J82" i="6"/>
  <c r="L82" i="6" s="1"/>
  <c r="J81" i="6"/>
  <c r="L81" i="6" s="1"/>
  <c r="J80" i="6"/>
  <c r="L80" i="6" s="1"/>
  <c r="K79" i="6"/>
  <c r="I79" i="6"/>
  <c r="H79" i="6"/>
  <c r="G79" i="6"/>
  <c r="F79" i="6"/>
  <c r="D79" i="6"/>
  <c r="J78" i="6"/>
  <c r="L78" i="6" s="1"/>
  <c r="J77" i="6"/>
  <c r="L77" i="6" s="1"/>
  <c r="K76" i="6"/>
  <c r="I76" i="6"/>
  <c r="H76" i="6"/>
  <c r="G76" i="6"/>
  <c r="F76" i="6"/>
  <c r="D76" i="6"/>
  <c r="J75" i="6"/>
  <c r="L75" i="6" s="1"/>
  <c r="J74" i="6"/>
  <c r="L74" i="6" s="1"/>
  <c r="J73" i="6"/>
  <c r="L73" i="6" s="1"/>
  <c r="J72" i="6"/>
  <c r="L72" i="6" s="1"/>
  <c r="J71" i="6"/>
  <c r="L71" i="6" s="1"/>
  <c r="J70" i="6"/>
  <c r="L70" i="6" s="1"/>
  <c r="J69" i="6"/>
  <c r="L69" i="6" s="1"/>
  <c r="J68" i="6"/>
  <c r="L68" i="6" s="1"/>
  <c r="J67" i="6"/>
  <c r="L67" i="6" s="1"/>
  <c r="J66" i="6"/>
  <c r="L66" i="6" s="1"/>
  <c r="J65" i="6"/>
  <c r="L65" i="6" s="1"/>
  <c r="J64" i="6"/>
  <c r="L64" i="6" s="1"/>
  <c r="J63" i="6"/>
  <c r="L63" i="6" s="1"/>
  <c r="J62" i="6"/>
  <c r="L62" i="6" s="1"/>
  <c r="K61" i="6"/>
  <c r="I61" i="6"/>
  <c r="H61" i="6"/>
  <c r="G61" i="6"/>
  <c r="F61" i="6"/>
  <c r="D61" i="6"/>
  <c r="J60" i="6"/>
  <c r="L60" i="6" s="1"/>
  <c r="J59" i="6"/>
  <c r="L59" i="6" s="1"/>
  <c r="J58" i="6"/>
  <c r="L58" i="6" s="1"/>
  <c r="J57" i="6"/>
  <c r="L57" i="6" s="1"/>
  <c r="J56" i="6"/>
  <c r="L56" i="6" s="1"/>
  <c r="J55" i="6"/>
  <c r="L55" i="6" s="1"/>
  <c r="J54" i="6"/>
  <c r="J53" i="6"/>
  <c r="J52" i="6"/>
  <c r="L52" i="6" s="1"/>
  <c r="K51" i="6"/>
  <c r="I51" i="6"/>
  <c r="H51" i="6"/>
  <c r="G51" i="6"/>
  <c r="F51" i="6"/>
  <c r="D51" i="6"/>
  <c r="J50" i="6"/>
  <c r="L50" i="6" s="1"/>
  <c r="J49" i="6"/>
  <c r="K48" i="6"/>
  <c r="I48" i="6"/>
  <c r="H48" i="6"/>
  <c r="G48" i="6"/>
  <c r="F48" i="6"/>
  <c r="D48" i="6"/>
  <c r="J47" i="6"/>
  <c r="L47" i="6" s="1"/>
  <c r="J46" i="6"/>
  <c r="L46" i="6" s="1"/>
  <c r="J45" i="6"/>
  <c r="J44" i="6"/>
  <c r="L44" i="6" s="1"/>
  <c r="J43" i="6"/>
  <c r="L43" i="6" s="1"/>
  <c r="J42" i="6"/>
  <c r="L42" i="6" s="1"/>
  <c r="J41" i="6"/>
  <c r="J40" i="6"/>
  <c r="L40" i="6" s="1"/>
  <c r="J39" i="6"/>
  <c r="L39" i="6" s="1"/>
  <c r="J38" i="6"/>
  <c r="L38" i="6" s="1"/>
  <c r="J37" i="6"/>
  <c r="L37" i="6" s="1"/>
  <c r="J36" i="6"/>
  <c r="L36" i="6" s="1"/>
  <c r="J35" i="6"/>
  <c r="L35" i="6" s="1"/>
  <c r="J34" i="6"/>
  <c r="L34" i="6" s="1"/>
  <c r="J33" i="6"/>
  <c r="L33" i="6" s="1"/>
  <c r="K32" i="6"/>
  <c r="I32" i="6"/>
  <c r="H32" i="6"/>
  <c r="G32" i="6"/>
  <c r="F32" i="6"/>
  <c r="D32" i="6"/>
  <c r="J31" i="6"/>
  <c r="L31" i="6" s="1"/>
  <c r="J30" i="6"/>
  <c r="L30" i="6" s="1"/>
  <c r="J29" i="6"/>
  <c r="L29" i="6" s="1"/>
  <c r="J28" i="6"/>
  <c r="L28" i="6" s="1"/>
  <c r="J27" i="6"/>
  <c r="L27" i="6" s="1"/>
  <c r="J26" i="6"/>
  <c r="L26" i="6" s="1"/>
  <c r="J25" i="6"/>
  <c r="L25" i="6" s="1"/>
  <c r="K24" i="6"/>
  <c r="K236" i="6" s="1"/>
  <c r="I24" i="6"/>
  <c r="I236" i="6" s="1"/>
  <c r="H24" i="6"/>
  <c r="H236" i="6" s="1"/>
  <c r="G24" i="6"/>
  <c r="G236" i="6" s="1"/>
  <c r="F24" i="6"/>
  <c r="F236" i="6" s="1"/>
  <c r="E24" i="6"/>
  <c r="E236" i="6" s="1"/>
  <c r="D24" i="6"/>
  <c r="D236" i="6" s="1"/>
  <c r="J23" i="6"/>
  <c r="J22" i="6"/>
  <c r="L22" i="6" s="1"/>
  <c r="J21" i="6"/>
  <c r="L21" i="6" s="1"/>
  <c r="J20" i="6"/>
  <c r="L20" i="6" s="1"/>
  <c r="J19" i="6"/>
  <c r="L19" i="6" s="1"/>
  <c r="J18" i="6"/>
  <c r="L18" i="6" s="1"/>
  <c r="J17" i="6"/>
  <c r="L17" i="6" s="1"/>
  <c r="J16" i="6"/>
  <c r="L16" i="6" s="1"/>
  <c r="J15" i="6"/>
  <c r="L15" i="6" s="1"/>
  <c r="J14" i="6"/>
  <c r="L14" i="6" s="1"/>
  <c r="J13" i="6"/>
  <c r="J12" i="6"/>
  <c r="L12" i="6" s="1"/>
  <c r="J11" i="6"/>
  <c r="L11" i="6" s="1"/>
  <c r="J10" i="6"/>
  <c r="J9" i="6"/>
  <c r="J8" i="6"/>
  <c r="J7" i="6"/>
  <c r="J6" i="6"/>
  <c r="J5" i="6"/>
  <c r="G135" i="6" l="1"/>
  <c r="J163" i="6"/>
  <c r="G156" i="6"/>
  <c r="D135" i="6"/>
  <c r="I135" i="6"/>
  <c r="D156" i="6"/>
  <c r="I156" i="6"/>
  <c r="G266" i="6"/>
  <c r="H113" i="6"/>
  <c r="J51" i="6"/>
  <c r="L157" i="6"/>
  <c r="L163" i="6" s="1"/>
  <c r="J198" i="8"/>
  <c r="J218" i="8" s="1"/>
  <c r="J267" i="8" s="1"/>
  <c r="J262" i="8"/>
  <c r="F346" i="8"/>
  <c r="F350" i="8" s="1"/>
  <c r="F321" i="8"/>
  <c r="L88" i="7"/>
  <c r="L218" i="7" s="1"/>
  <c r="J218" i="7"/>
  <c r="J267" i="7" s="1"/>
  <c r="J76" i="6"/>
  <c r="F113" i="6"/>
  <c r="J108" i="6"/>
  <c r="D198" i="6"/>
  <c r="G198" i="6"/>
  <c r="I198" i="6"/>
  <c r="D246" i="6"/>
  <c r="J32" i="6"/>
  <c r="G88" i="6"/>
  <c r="I88" i="6"/>
  <c r="D113" i="6"/>
  <c r="F135" i="6"/>
  <c r="H135" i="6"/>
  <c r="H156" i="6"/>
  <c r="H198" i="6"/>
  <c r="J196" i="6"/>
  <c r="J205" i="6"/>
  <c r="L205" i="6"/>
  <c r="F198" i="6"/>
  <c r="L182" i="6"/>
  <c r="K156" i="6"/>
  <c r="L76" i="6"/>
  <c r="L32" i="6"/>
  <c r="K88" i="6"/>
  <c r="K113" i="6"/>
  <c r="K135" i="6"/>
  <c r="K246" i="6"/>
  <c r="K217" i="6"/>
  <c r="F156" i="6"/>
  <c r="J153" i="6"/>
  <c r="J120" i="6"/>
  <c r="J265" i="6"/>
  <c r="L49" i="6"/>
  <c r="L51" i="6" s="1"/>
  <c r="L79" i="6"/>
  <c r="L98" i="6"/>
  <c r="L108" i="6" s="1"/>
  <c r="L114" i="6"/>
  <c r="L120" i="6" s="1"/>
  <c r="L130" i="6"/>
  <c r="L143" i="6"/>
  <c r="L145" i="6"/>
  <c r="L153" i="6" s="1"/>
  <c r="L193" i="6"/>
  <c r="L195" i="6"/>
  <c r="E232" i="6"/>
  <c r="J228" i="6"/>
  <c r="L6" i="6"/>
  <c r="J230" i="6"/>
  <c r="L8" i="6"/>
  <c r="J233" i="6"/>
  <c r="L10" i="6"/>
  <c r="J24" i="6"/>
  <c r="J236" i="6" s="1"/>
  <c r="J255" i="6"/>
  <c r="L41" i="6"/>
  <c r="J259" i="6"/>
  <c r="L45" i="6"/>
  <c r="J238" i="6"/>
  <c r="L53" i="6"/>
  <c r="J61" i="6"/>
  <c r="J79" i="6"/>
  <c r="J96" i="6"/>
  <c r="J248" i="6"/>
  <c r="L165" i="6"/>
  <c r="J250" i="6"/>
  <c r="L167" i="6"/>
  <c r="J254" i="6"/>
  <c r="L169" i="6"/>
  <c r="G262" i="6"/>
  <c r="K262" i="6"/>
  <c r="J182" i="6"/>
  <c r="J257" i="6"/>
  <c r="L187" i="6"/>
  <c r="J264" i="6"/>
  <c r="D266" i="6"/>
  <c r="F266" i="6"/>
  <c r="H266" i="6"/>
  <c r="K266" i="6"/>
  <c r="E246" i="6"/>
  <c r="G246" i="6"/>
  <c r="G217" i="6"/>
  <c r="I246" i="6"/>
  <c r="I217" i="6"/>
  <c r="J247" i="6"/>
  <c r="L206" i="6"/>
  <c r="J251" i="6"/>
  <c r="L208" i="6"/>
  <c r="J214" i="6"/>
  <c r="J260" i="6"/>
  <c r="L212" i="6"/>
  <c r="J227" i="6"/>
  <c r="L5" i="6"/>
  <c r="J229" i="6"/>
  <c r="L7" i="6"/>
  <c r="J231" i="6"/>
  <c r="L9" i="6"/>
  <c r="J234" i="6"/>
  <c r="J232" i="6"/>
  <c r="L13" i="6"/>
  <c r="J235" i="6"/>
  <c r="L23" i="6"/>
  <c r="D88" i="6"/>
  <c r="F88" i="6"/>
  <c r="H88" i="6"/>
  <c r="J48" i="6"/>
  <c r="J239" i="6"/>
  <c r="L54" i="6"/>
  <c r="J237" i="6"/>
  <c r="L89" i="6"/>
  <c r="L96" i="6" s="1"/>
  <c r="G113" i="6"/>
  <c r="I113" i="6"/>
  <c r="J130" i="6"/>
  <c r="J143" i="6"/>
  <c r="J156" i="6" s="1"/>
  <c r="E262" i="6"/>
  <c r="I262" i="6"/>
  <c r="J174" i="6"/>
  <c r="K179" i="6"/>
  <c r="E266" i="6"/>
  <c r="I266" i="6"/>
  <c r="D262" i="6"/>
  <c r="F262" i="6"/>
  <c r="H262" i="6"/>
  <c r="J252" i="6"/>
  <c r="J245" i="6"/>
  <c r="K198" i="6"/>
  <c r="J249" i="6"/>
  <c r="J253" i="6"/>
  <c r="J256" i="6"/>
  <c r="L186" i="6"/>
  <c r="J192" i="6"/>
  <c r="J263" i="6"/>
  <c r="L197" i="6"/>
  <c r="J240" i="6"/>
  <c r="J241" i="6"/>
  <c r="J242" i="6"/>
  <c r="J243" i="6"/>
  <c r="J244" i="6"/>
  <c r="F246" i="6"/>
  <c r="H246" i="6"/>
  <c r="J258" i="6"/>
  <c r="L211" i="6"/>
  <c r="J261" i="6"/>
  <c r="L213" i="6"/>
  <c r="D217" i="6"/>
  <c r="F217" i="6"/>
  <c r="H217" i="6"/>
  <c r="F237" i="5"/>
  <c r="F244" i="5"/>
  <c r="E237" i="5"/>
  <c r="J179" i="6" l="1"/>
  <c r="J266" i="6"/>
  <c r="I218" i="6"/>
  <c r="I267" i="6" s="1"/>
  <c r="J113" i="6"/>
  <c r="J217" i="6"/>
  <c r="L135" i="6"/>
  <c r="J135" i="6"/>
  <c r="G218" i="6"/>
  <c r="G267" i="6" s="1"/>
  <c r="H218" i="6"/>
  <c r="H267" i="6" s="1"/>
  <c r="D218" i="6"/>
  <c r="D267" i="6" s="1"/>
  <c r="L48" i="6"/>
  <c r="L113" i="6"/>
  <c r="K218" i="6"/>
  <c r="K267" i="6" s="1"/>
  <c r="J88" i="6"/>
  <c r="L192" i="6"/>
  <c r="L196" i="6"/>
  <c r="L156" i="6"/>
  <c r="J262" i="6"/>
  <c r="L174" i="6"/>
  <c r="L179" i="6" s="1"/>
  <c r="J246" i="6"/>
  <c r="F218" i="6"/>
  <c r="F267" i="6" s="1"/>
  <c r="L24" i="6"/>
  <c r="L214" i="6"/>
  <c r="L217" i="6" s="1"/>
  <c r="J198" i="6"/>
  <c r="L61" i="6"/>
  <c r="E257" i="5"/>
  <c r="F257" i="5"/>
  <c r="G257" i="5"/>
  <c r="H257" i="5"/>
  <c r="I257" i="5"/>
  <c r="K257" i="5"/>
  <c r="D257" i="5"/>
  <c r="K214" i="5"/>
  <c r="J210" i="5"/>
  <c r="L210" i="5" s="1"/>
  <c r="J218" i="6" l="1"/>
  <c r="J267" i="6" s="1"/>
  <c r="L88" i="6"/>
  <c r="L198" i="6"/>
  <c r="E32" i="5"/>
  <c r="E48" i="5"/>
  <c r="E51" i="5"/>
  <c r="E61" i="5"/>
  <c r="E76" i="5"/>
  <c r="E79" i="5"/>
  <c r="E96" i="5"/>
  <c r="E108" i="5"/>
  <c r="E120" i="5"/>
  <c r="E130" i="5"/>
  <c r="E143" i="5"/>
  <c r="E153" i="5"/>
  <c r="E163" i="5"/>
  <c r="E174" i="5"/>
  <c r="E182" i="5"/>
  <c r="E192" i="5"/>
  <c r="E196" i="5"/>
  <c r="E205" i="5"/>
  <c r="E214" i="5"/>
  <c r="J197" i="5"/>
  <c r="L197" i="5" s="1"/>
  <c r="J77" i="5"/>
  <c r="E260" i="5"/>
  <c r="E258" i="5"/>
  <c r="E256" i="5"/>
  <c r="E264" i="5"/>
  <c r="J22" i="5"/>
  <c r="L22" i="5" s="1"/>
  <c r="J20" i="5"/>
  <c r="L20" i="5" s="1"/>
  <c r="J18" i="5"/>
  <c r="L18" i="5" s="1"/>
  <c r="J16" i="5"/>
  <c r="L16" i="5" s="1"/>
  <c r="E227" i="5"/>
  <c r="J12" i="5"/>
  <c r="L12" i="5" s="1"/>
  <c r="E233" i="5"/>
  <c r="J8" i="5"/>
  <c r="J230" i="5" s="1"/>
  <c r="E235" i="5"/>
  <c r="K265" i="5"/>
  <c r="I265" i="5"/>
  <c r="H265" i="5"/>
  <c r="G265" i="5"/>
  <c r="F265" i="5"/>
  <c r="E265" i="5"/>
  <c r="D265" i="5"/>
  <c r="K264" i="5"/>
  <c r="I264" i="5"/>
  <c r="H264" i="5"/>
  <c r="G264" i="5"/>
  <c r="F264" i="5"/>
  <c r="D264" i="5"/>
  <c r="K263" i="5"/>
  <c r="I263" i="5"/>
  <c r="H263" i="5"/>
  <c r="G263" i="5"/>
  <c r="F263" i="5"/>
  <c r="E263" i="5"/>
  <c r="D263" i="5"/>
  <c r="K261" i="5"/>
  <c r="I261" i="5"/>
  <c r="H261" i="5"/>
  <c r="G261" i="5"/>
  <c r="F261" i="5"/>
  <c r="E261" i="5"/>
  <c r="D261" i="5"/>
  <c r="K260" i="5"/>
  <c r="I260" i="5"/>
  <c r="H260" i="5"/>
  <c r="G260" i="5"/>
  <c r="D260" i="5"/>
  <c r="K259" i="5"/>
  <c r="I259" i="5"/>
  <c r="H259" i="5"/>
  <c r="G259" i="5"/>
  <c r="F259" i="5"/>
  <c r="E259" i="5"/>
  <c r="D259" i="5"/>
  <c r="K258" i="5"/>
  <c r="I258" i="5"/>
  <c r="H258" i="5"/>
  <c r="G258" i="5"/>
  <c r="F258" i="5"/>
  <c r="D258" i="5"/>
  <c r="K256" i="5"/>
  <c r="I256" i="5"/>
  <c r="H256" i="5"/>
  <c r="G256" i="5"/>
  <c r="F256" i="5"/>
  <c r="D256" i="5"/>
  <c r="K255" i="5"/>
  <c r="I255" i="5"/>
  <c r="H255" i="5"/>
  <c r="G255" i="5"/>
  <c r="F255" i="5"/>
  <c r="E255" i="5"/>
  <c r="D255" i="5"/>
  <c r="K254" i="5"/>
  <c r="I254" i="5"/>
  <c r="H254" i="5"/>
  <c r="G254" i="5"/>
  <c r="F254" i="5"/>
  <c r="E254" i="5"/>
  <c r="D254" i="5"/>
  <c r="K253" i="5"/>
  <c r="I253" i="5"/>
  <c r="H253" i="5"/>
  <c r="G253" i="5"/>
  <c r="F253" i="5"/>
  <c r="E253" i="5"/>
  <c r="D253" i="5"/>
  <c r="K252" i="5"/>
  <c r="I252" i="5"/>
  <c r="H252" i="5"/>
  <c r="G252" i="5"/>
  <c r="F252" i="5"/>
  <c r="E252" i="5"/>
  <c r="D252" i="5"/>
  <c r="K251" i="5"/>
  <c r="I251" i="5"/>
  <c r="H251" i="5"/>
  <c r="G251" i="5"/>
  <c r="F251" i="5"/>
  <c r="E251" i="5"/>
  <c r="D251" i="5"/>
  <c r="K250" i="5"/>
  <c r="I250" i="5"/>
  <c r="H250" i="5"/>
  <c r="G250" i="5"/>
  <c r="F250" i="5"/>
  <c r="E250" i="5"/>
  <c r="D250" i="5"/>
  <c r="K249" i="5"/>
  <c r="I249" i="5"/>
  <c r="H249" i="5"/>
  <c r="G249" i="5"/>
  <c r="F249" i="5"/>
  <c r="E249" i="5"/>
  <c r="D249" i="5"/>
  <c r="K248" i="5"/>
  <c r="I248" i="5"/>
  <c r="H248" i="5"/>
  <c r="G248" i="5"/>
  <c r="F248" i="5"/>
  <c r="E248" i="5"/>
  <c r="D248" i="5"/>
  <c r="K247" i="5"/>
  <c r="I247" i="5"/>
  <c r="H247" i="5"/>
  <c r="G247" i="5"/>
  <c r="F247" i="5"/>
  <c r="E247" i="5"/>
  <c r="D247" i="5"/>
  <c r="K245" i="5"/>
  <c r="I245" i="5"/>
  <c r="H245" i="5"/>
  <c r="G245" i="5"/>
  <c r="F245" i="5"/>
  <c r="E245" i="5"/>
  <c r="D245" i="5"/>
  <c r="K244" i="5"/>
  <c r="I244" i="5"/>
  <c r="H244" i="5"/>
  <c r="G244" i="5"/>
  <c r="E244" i="5"/>
  <c r="D244" i="5"/>
  <c r="K243" i="5"/>
  <c r="I243" i="5"/>
  <c r="H243" i="5"/>
  <c r="G243" i="5"/>
  <c r="F243" i="5"/>
  <c r="E243" i="5"/>
  <c r="D243" i="5"/>
  <c r="K242" i="5"/>
  <c r="I242" i="5"/>
  <c r="H242" i="5"/>
  <c r="G242" i="5"/>
  <c r="F242" i="5"/>
  <c r="E242" i="5"/>
  <c r="D242" i="5"/>
  <c r="K241" i="5"/>
  <c r="I241" i="5"/>
  <c r="H241" i="5"/>
  <c r="G241" i="5"/>
  <c r="F241" i="5"/>
  <c r="E241" i="5"/>
  <c r="D241" i="5"/>
  <c r="K240" i="5"/>
  <c r="I240" i="5"/>
  <c r="H240" i="5"/>
  <c r="G240" i="5"/>
  <c r="F240" i="5"/>
  <c r="E240" i="5"/>
  <c r="D240" i="5"/>
  <c r="K239" i="5"/>
  <c r="I239" i="5"/>
  <c r="H239" i="5"/>
  <c r="G239" i="5"/>
  <c r="F239" i="5"/>
  <c r="E239" i="5"/>
  <c r="D239" i="5"/>
  <c r="K238" i="5"/>
  <c r="I238" i="5"/>
  <c r="H238" i="5"/>
  <c r="G238" i="5"/>
  <c r="F238" i="5"/>
  <c r="E238" i="5"/>
  <c r="D238" i="5"/>
  <c r="K237" i="5"/>
  <c r="I237" i="5"/>
  <c r="H237" i="5"/>
  <c r="G237" i="5"/>
  <c r="D237" i="5"/>
  <c r="K236" i="5"/>
  <c r="I236" i="5"/>
  <c r="H236" i="5"/>
  <c r="G236" i="5"/>
  <c r="F236" i="5"/>
  <c r="E236" i="5"/>
  <c r="D236" i="5"/>
  <c r="K235" i="5"/>
  <c r="I235" i="5"/>
  <c r="H235" i="5"/>
  <c r="G235" i="5"/>
  <c r="F235" i="5"/>
  <c r="D235" i="5"/>
  <c r="K234" i="5"/>
  <c r="I234" i="5"/>
  <c r="H234" i="5"/>
  <c r="G234" i="5"/>
  <c r="F234" i="5"/>
  <c r="E234" i="5"/>
  <c r="D234" i="5"/>
  <c r="K233" i="5"/>
  <c r="I233" i="5"/>
  <c r="H233" i="5"/>
  <c r="G233" i="5"/>
  <c r="F233" i="5"/>
  <c r="D233" i="5"/>
  <c r="K232" i="5"/>
  <c r="I232" i="5"/>
  <c r="H232" i="5"/>
  <c r="G232" i="5"/>
  <c r="F232" i="5"/>
  <c r="E232" i="5"/>
  <c r="D232" i="5"/>
  <c r="K231" i="5"/>
  <c r="I231" i="5"/>
  <c r="H231" i="5"/>
  <c r="G231" i="5"/>
  <c r="F231" i="5"/>
  <c r="E231" i="5"/>
  <c r="D231" i="5"/>
  <c r="K230" i="5"/>
  <c r="I230" i="5"/>
  <c r="H230" i="5"/>
  <c r="G230" i="5"/>
  <c r="F230" i="5"/>
  <c r="E230" i="5"/>
  <c r="D230" i="5"/>
  <c r="K229" i="5"/>
  <c r="I229" i="5"/>
  <c r="H229" i="5"/>
  <c r="G229" i="5"/>
  <c r="F229" i="5"/>
  <c r="E229" i="5"/>
  <c r="D229" i="5"/>
  <c r="K228" i="5"/>
  <c r="I228" i="5"/>
  <c r="H228" i="5"/>
  <c r="G228" i="5"/>
  <c r="F228" i="5"/>
  <c r="E228" i="5"/>
  <c r="D228" i="5"/>
  <c r="K227" i="5"/>
  <c r="I227" i="5"/>
  <c r="H227" i="5"/>
  <c r="G227" i="5"/>
  <c r="F227" i="5"/>
  <c r="D227" i="5"/>
  <c r="J216" i="5"/>
  <c r="L216" i="5" s="1"/>
  <c r="J215" i="5"/>
  <c r="L215" i="5" s="1"/>
  <c r="I214" i="5"/>
  <c r="H214" i="5"/>
  <c r="G214" i="5"/>
  <c r="D214" i="5"/>
  <c r="J213" i="5"/>
  <c r="L213" i="5" s="1"/>
  <c r="J211" i="5"/>
  <c r="L211" i="5" s="1"/>
  <c r="J209" i="5"/>
  <c r="L209" i="5" s="1"/>
  <c r="J208" i="5"/>
  <c r="L208" i="5" s="1"/>
  <c r="J207" i="5"/>
  <c r="J206" i="5"/>
  <c r="L206" i="5" s="1"/>
  <c r="K205" i="5"/>
  <c r="I205" i="5"/>
  <c r="H205" i="5"/>
  <c r="G205" i="5"/>
  <c r="F205" i="5"/>
  <c r="D205" i="5"/>
  <c r="J204" i="5"/>
  <c r="L204" i="5" s="1"/>
  <c r="J203" i="5"/>
  <c r="L203" i="5" s="1"/>
  <c r="J202" i="5"/>
  <c r="L202" i="5" s="1"/>
  <c r="J201" i="5"/>
  <c r="L201" i="5" s="1"/>
  <c r="J200" i="5"/>
  <c r="L200" i="5" s="1"/>
  <c r="J199" i="5"/>
  <c r="K196" i="5"/>
  <c r="I196" i="5"/>
  <c r="H196" i="5"/>
  <c r="G196" i="5"/>
  <c r="F196" i="5"/>
  <c r="D196" i="5"/>
  <c r="J195" i="5"/>
  <c r="L195" i="5" s="1"/>
  <c r="J194" i="5"/>
  <c r="L194" i="5" s="1"/>
  <c r="J193" i="5"/>
  <c r="K192" i="5"/>
  <c r="I192" i="5"/>
  <c r="H192" i="5"/>
  <c r="G192" i="5"/>
  <c r="D192" i="5"/>
  <c r="J191" i="5"/>
  <c r="L191" i="5" s="1"/>
  <c r="J190" i="5"/>
  <c r="L190" i="5" s="1"/>
  <c r="J189" i="5"/>
  <c r="L189" i="5" s="1"/>
  <c r="J188" i="5"/>
  <c r="L188" i="5" s="1"/>
  <c r="J187" i="5"/>
  <c r="L187" i="5" s="1"/>
  <c r="F192" i="5"/>
  <c r="J186" i="5"/>
  <c r="L186" i="5" s="1"/>
  <c r="J185" i="5"/>
  <c r="L185" i="5" s="1"/>
  <c r="J184" i="5"/>
  <c r="L184" i="5" s="1"/>
  <c r="J183" i="5"/>
  <c r="L183" i="5" s="1"/>
  <c r="K182" i="5"/>
  <c r="I182" i="5"/>
  <c r="H182" i="5"/>
  <c r="G182" i="5"/>
  <c r="F182" i="5"/>
  <c r="D182" i="5"/>
  <c r="J181" i="5"/>
  <c r="L181" i="5" s="1"/>
  <c r="J180" i="5"/>
  <c r="L180" i="5" s="1"/>
  <c r="J178" i="5"/>
  <c r="L178" i="5" s="1"/>
  <c r="J177" i="5"/>
  <c r="L177" i="5" s="1"/>
  <c r="J176" i="5"/>
  <c r="L176" i="5" s="1"/>
  <c r="J175" i="5"/>
  <c r="L175" i="5" s="1"/>
  <c r="K174" i="5"/>
  <c r="I174" i="5"/>
  <c r="H174" i="5"/>
  <c r="G174" i="5"/>
  <c r="F174" i="5"/>
  <c r="D174" i="5"/>
  <c r="J173" i="5"/>
  <c r="L173" i="5" s="1"/>
  <c r="J172" i="5"/>
  <c r="L172" i="5" s="1"/>
  <c r="J171" i="5"/>
  <c r="L171" i="5" s="1"/>
  <c r="J170" i="5"/>
  <c r="L170" i="5" s="1"/>
  <c r="J169" i="5"/>
  <c r="L169" i="5" s="1"/>
  <c r="J168" i="5"/>
  <c r="L168" i="5" s="1"/>
  <c r="J167" i="5"/>
  <c r="L167" i="5" s="1"/>
  <c r="J166" i="5"/>
  <c r="L166" i="5" s="1"/>
  <c r="J165" i="5"/>
  <c r="J164" i="5"/>
  <c r="L164" i="5" s="1"/>
  <c r="K163" i="5"/>
  <c r="K179" i="5" s="1"/>
  <c r="I163" i="5"/>
  <c r="I179" i="5" s="1"/>
  <c r="H163" i="5"/>
  <c r="H179" i="5" s="1"/>
  <c r="G163" i="5"/>
  <c r="G179" i="5" s="1"/>
  <c r="F163" i="5"/>
  <c r="F179" i="5" s="1"/>
  <c r="D163" i="5"/>
  <c r="D179" i="5" s="1"/>
  <c r="J162" i="5"/>
  <c r="L162" i="5" s="1"/>
  <c r="J161" i="5"/>
  <c r="L161" i="5" s="1"/>
  <c r="J160" i="5"/>
  <c r="L160" i="5" s="1"/>
  <c r="J159" i="5"/>
  <c r="L159" i="5" s="1"/>
  <c r="J158" i="5"/>
  <c r="L158" i="5" s="1"/>
  <c r="J157" i="5"/>
  <c r="J155" i="5"/>
  <c r="L155" i="5" s="1"/>
  <c r="J154" i="5"/>
  <c r="L154" i="5" s="1"/>
  <c r="K153" i="5"/>
  <c r="I153" i="5"/>
  <c r="H153" i="5"/>
  <c r="G153" i="5"/>
  <c r="F153" i="5"/>
  <c r="D153" i="5"/>
  <c r="J152" i="5"/>
  <c r="L152" i="5" s="1"/>
  <c r="J151" i="5"/>
  <c r="L151" i="5" s="1"/>
  <c r="J150" i="5"/>
  <c r="L150" i="5" s="1"/>
  <c r="J149" i="5"/>
  <c r="L149" i="5" s="1"/>
  <c r="J148" i="5"/>
  <c r="L148" i="5" s="1"/>
  <c r="J147" i="5"/>
  <c r="L147" i="5" s="1"/>
  <c r="J146" i="5"/>
  <c r="L146" i="5" s="1"/>
  <c r="J145" i="5"/>
  <c r="J144" i="5"/>
  <c r="L144" i="5" s="1"/>
  <c r="K143" i="5"/>
  <c r="I143" i="5"/>
  <c r="H143" i="5"/>
  <c r="G143" i="5"/>
  <c r="F143" i="5"/>
  <c r="D143" i="5"/>
  <c r="J142" i="5"/>
  <c r="L142" i="5" s="1"/>
  <c r="J141" i="5"/>
  <c r="L141" i="5" s="1"/>
  <c r="J140" i="5"/>
  <c r="L140" i="5" s="1"/>
  <c r="J139" i="5"/>
  <c r="L139" i="5" s="1"/>
  <c r="J138" i="5"/>
  <c r="L138" i="5" s="1"/>
  <c r="J137" i="5"/>
  <c r="L137" i="5" s="1"/>
  <c r="J136" i="5"/>
  <c r="J134" i="5"/>
  <c r="L134" i="5" s="1"/>
  <c r="J133" i="5"/>
  <c r="L133" i="5" s="1"/>
  <c r="J132" i="5"/>
  <c r="L132" i="5" s="1"/>
  <c r="J131" i="5"/>
  <c r="L131" i="5" s="1"/>
  <c r="K130" i="5"/>
  <c r="I130" i="5"/>
  <c r="H130" i="5"/>
  <c r="G130" i="5"/>
  <c r="F130" i="5"/>
  <c r="D130" i="5"/>
  <c r="J129" i="5"/>
  <c r="L129" i="5" s="1"/>
  <c r="J128" i="5"/>
  <c r="L128" i="5" s="1"/>
  <c r="J127" i="5"/>
  <c r="L127" i="5" s="1"/>
  <c r="J126" i="5"/>
  <c r="L126" i="5" s="1"/>
  <c r="J125" i="5"/>
  <c r="L125" i="5" s="1"/>
  <c r="J124" i="5"/>
  <c r="L124" i="5" s="1"/>
  <c r="J123" i="5"/>
  <c r="L123" i="5" s="1"/>
  <c r="J122" i="5"/>
  <c r="J121" i="5"/>
  <c r="L121" i="5" s="1"/>
  <c r="K120" i="5"/>
  <c r="I120" i="5"/>
  <c r="H120" i="5"/>
  <c r="G120" i="5"/>
  <c r="F120" i="5"/>
  <c r="D120" i="5"/>
  <c r="J119" i="5"/>
  <c r="L119" i="5" s="1"/>
  <c r="J118" i="5"/>
  <c r="L118" i="5" s="1"/>
  <c r="J117" i="5"/>
  <c r="L117" i="5" s="1"/>
  <c r="J116" i="5"/>
  <c r="L116" i="5" s="1"/>
  <c r="J115" i="5"/>
  <c r="L115" i="5" s="1"/>
  <c r="J114" i="5"/>
  <c r="J112" i="5"/>
  <c r="L112" i="5" s="1"/>
  <c r="J111" i="5"/>
  <c r="L111" i="5" s="1"/>
  <c r="J110" i="5"/>
  <c r="L110" i="5" s="1"/>
  <c r="J109" i="5"/>
  <c r="L109" i="5" s="1"/>
  <c r="K108" i="5"/>
  <c r="I108" i="5"/>
  <c r="H108" i="5"/>
  <c r="G108" i="5"/>
  <c r="F108" i="5"/>
  <c r="D108" i="5"/>
  <c r="J107" i="5"/>
  <c r="L107" i="5" s="1"/>
  <c r="J106" i="5"/>
  <c r="L106" i="5" s="1"/>
  <c r="J105" i="5"/>
  <c r="L105" i="5" s="1"/>
  <c r="J104" i="5"/>
  <c r="L104" i="5" s="1"/>
  <c r="J103" i="5"/>
  <c r="L103" i="5" s="1"/>
  <c r="J102" i="5"/>
  <c r="L102" i="5" s="1"/>
  <c r="J101" i="5"/>
  <c r="L101" i="5" s="1"/>
  <c r="J100" i="5"/>
  <c r="L100" i="5" s="1"/>
  <c r="J99" i="5"/>
  <c r="L99" i="5" s="1"/>
  <c r="J98" i="5"/>
  <c r="J97" i="5"/>
  <c r="L97" i="5" s="1"/>
  <c r="K96" i="5"/>
  <c r="I96" i="5"/>
  <c r="H96" i="5"/>
  <c r="G96" i="5"/>
  <c r="F96" i="5"/>
  <c r="D96" i="5"/>
  <c r="J95" i="5"/>
  <c r="L95" i="5" s="1"/>
  <c r="J94" i="5"/>
  <c r="L94" i="5" s="1"/>
  <c r="J93" i="5"/>
  <c r="L93" i="5" s="1"/>
  <c r="J92" i="5"/>
  <c r="L92" i="5" s="1"/>
  <c r="J91" i="5"/>
  <c r="L91" i="5" s="1"/>
  <c r="J90" i="5"/>
  <c r="L90" i="5" s="1"/>
  <c r="J89" i="5"/>
  <c r="J87" i="5"/>
  <c r="L87" i="5" s="1"/>
  <c r="J86" i="5"/>
  <c r="L86" i="5" s="1"/>
  <c r="J85" i="5"/>
  <c r="L85" i="5" s="1"/>
  <c r="J84" i="5"/>
  <c r="L84" i="5" s="1"/>
  <c r="J83" i="5"/>
  <c r="L83" i="5" s="1"/>
  <c r="J82" i="5"/>
  <c r="L82" i="5" s="1"/>
  <c r="J81" i="5"/>
  <c r="L81" i="5" s="1"/>
  <c r="J80" i="5"/>
  <c r="L80" i="5" s="1"/>
  <c r="K79" i="5"/>
  <c r="I79" i="5"/>
  <c r="H79" i="5"/>
  <c r="G79" i="5"/>
  <c r="F79" i="5"/>
  <c r="D79" i="5"/>
  <c r="J78" i="5"/>
  <c r="L78" i="5" s="1"/>
  <c r="K76" i="5"/>
  <c r="I76" i="5"/>
  <c r="H76" i="5"/>
  <c r="G76" i="5"/>
  <c r="F76" i="5"/>
  <c r="D76" i="5"/>
  <c r="J75" i="5"/>
  <c r="L75" i="5" s="1"/>
  <c r="J74" i="5"/>
  <c r="L74" i="5" s="1"/>
  <c r="J73" i="5"/>
  <c r="L73" i="5" s="1"/>
  <c r="J72" i="5"/>
  <c r="L72" i="5" s="1"/>
  <c r="J71" i="5"/>
  <c r="J70" i="5"/>
  <c r="L70" i="5" s="1"/>
  <c r="J69" i="5"/>
  <c r="L69" i="5" s="1"/>
  <c r="J68" i="5"/>
  <c r="L68" i="5" s="1"/>
  <c r="J67" i="5"/>
  <c r="L67" i="5" s="1"/>
  <c r="J66" i="5"/>
  <c r="L66" i="5" s="1"/>
  <c r="J65" i="5"/>
  <c r="L65" i="5" s="1"/>
  <c r="J64" i="5"/>
  <c r="L64" i="5" s="1"/>
  <c r="J63" i="5"/>
  <c r="J62" i="5"/>
  <c r="L62" i="5" s="1"/>
  <c r="K61" i="5"/>
  <c r="I61" i="5"/>
  <c r="H61" i="5"/>
  <c r="G61" i="5"/>
  <c r="F61" i="5"/>
  <c r="D61" i="5"/>
  <c r="J60" i="5"/>
  <c r="L60" i="5" s="1"/>
  <c r="J59" i="5"/>
  <c r="L59" i="5" s="1"/>
  <c r="J58" i="5"/>
  <c r="L58" i="5" s="1"/>
  <c r="J57" i="5"/>
  <c r="L57" i="5" s="1"/>
  <c r="J56" i="5"/>
  <c r="L56" i="5" s="1"/>
  <c r="J55" i="5"/>
  <c r="L55" i="5" s="1"/>
  <c r="J54" i="5"/>
  <c r="J239" i="5" s="1"/>
  <c r="J53" i="5"/>
  <c r="J238" i="5" s="1"/>
  <c r="J52" i="5"/>
  <c r="K51" i="5"/>
  <c r="I51" i="5"/>
  <c r="H51" i="5"/>
  <c r="G51" i="5"/>
  <c r="F51" i="5"/>
  <c r="D51" i="5"/>
  <c r="J50" i="5"/>
  <c r="L50" i="5" s="1"/>
  <c r="J49" i="5"/>
  <c r="K48" i="5"/>
  <c r="I48" i="5"/>
  <c r="H48" i="5"/>
  <c r="G48" i="5"/>
  <c r="F48" i="5"/>
  <c r="D48" i="5"/>
  <c r="J47" i="5"/>
  <c r="L47" i="5" s="1"/>
  <c r="J46" i="5"/>
  <c r="L46" i="5" s="1"/>
  <c r="J45" i="5"/>
  <c r="J44" i="5"/>
  <c r="L44" i="5" s="1"/>
  <c r="J43" i="5"/>
  <c r="L43" i="5" s="1"/>
  <c r="J42" i="5"/>
  <c r="L42" i="5" s="1"/>
  <c r="J41" i="5"/>
  <c r="J255" i="5" s="1"/>
  <c r="J40" i="5"/>
  <c r="L40" i="5" s="1"/>
  <c r="J39" i="5"/>
  <c r="L39" i="5" s="1"/>
  <c r="J38" i="5"/>
  <c r="L38" i="5" s="1"/>
  <c r="J37" i="5"/>
  <c r="L37" i="5" s="1"/>
  <c r="J36" i="5"/>
  <c r="L36" i="5" s="1"/>
  <c r="J35" i="5"/>
  <c r="L35" i="5" s="1"/>
  <c r="J34" i="5"/>
  <c r="J33" i="5"/>
  <c r="L33" i="5" s="1"/>
  <c r="K32" i="5"/>
  <c r="I32" i="5"/>
  <c r="H32" i="5"/>
  <c r="G32" i="5"/>
  <c r="D32" i="5"/>
  <c r="J31" i="5"/>
  <c r="L31" i="5" s="1"/>
  <c r="J29" i="5"/>
  <c r="L29" i="5" s="1"/>
  <c r="J28" i="5"/>
  <c r="L28" i="5" s="1"/>
  <c r="J27" i="5"/>
  <c r="L27" i="5" s="1"/>
  <c r="J26" i="5"/>
  <c r="L26" i="5" s="1"/>
  <c r="J25" i="5"/>
  <c r="K24" i="5"/>
  <c r="I24" i="5"/>
  <c r="H24" i="5"/>
  <c r="G24" i="5"/>
  <c r="F24" i="5"/>
  <c r="E24" i="5"/>
  <c r="D24" i="5"/>
  <c r="J23" i="5"/>
  <c r="J21" i="5"/>
  <c r="L21" i="5" s="1"/>
  <c r="J19" i="5"/>
  <c r="L19" i="5" s="1"/>
  <c r="J17" i="5"/>
  <c r="L17" i="5" s="1"/>
  <c r="J15" i="5"/>
  <c r="L15" i="5" s="1"/>
  <c r="J13" i="5"/>
  <c r="J11" i="5"/>
  <c r="L11" i="5" s="1"/>
  <c r="J9" i="5"/>
  <c r="J231" i="5" s="1"/>
  <c r="J7" i="5"/>
  <c r="J229" i="5" s="1"/>
  <c r="J5" i="5"/>
  <c r="E179" i="5" l="1"/>
  <c r="E135" i="5"/>
  <c r="L218" i="6"/>
  <c r="E113" i="5"/>
  <c r="G113" i="5"/>
  <c r="E198" i="5"/>
  <c r="E156" i="5"/>
  <c r="E217" i="5"/>
  <c r="E266" i="5"/>
  <c r="H217" i="5"/>
  <c r="H135" i="5"/>
  <c r="H156" i="5"/>
  <c r="E246" i="5"/>
  <c r="F113" i="5"/>
  <c r="G135" i="5"/>
  <c r="G156" i="5"/>
  <c r="D266" i="5"/>
  <c r="H198" i="5"/>
  <c r="I88" i="5"/>
  <c r="F266" i="5"/>
  <c r="D113" i="5"/>
  <c r="I113" i="5"/>
  <c r="J163" i="5"/>
  <c r="F198" i="5"/>
  <c r="L25" i="5"/>
  <c r="J237" i="5"/>
  <c r="H88" i="5"/>
  <c r="J61" i="5"/>
  <c r="H113" i="5"/>
  <c r="J120" i="5"/>
  <c r="I198" i="5"/>
  <c r="D246" i="5"/>
  <c r="D88" i="5"/>
  <c r="J96" i="5"/>
  <c r="D135" i="5"/>
  <c r="I135" i="5"/>
  <c r="D156" i="5"/>
  <c r="I156" i="5"/>
  <c r="G198" i="5"/>
  <c r="K266" i="5"/>
  <c r="D262" i="5"/>
  <c r="H266" i="5"/>
  <c r="D198" i="5"/>
  <c r="E88" i="5"/>
  <c r="F156" i="5"/>
  <c r="F135" i="5"/>
  <c r="L71" i="5"/>
  <c r="J257" i="5"/>
  <c r="J143" i="5"/>
  <c r="L54" i="5"/>
  <c r="L89" i="5"/>
  <c r="L96" i="5" s="1"/>
  <c r="L136" i="5"/>
  <c r="L143" i="5" s="1"/>
  <c r="L157" i="5"/>
  <c r="L163" i="5" s="1"/>
  <c r="J48" i="5"/>
  <c r="J108" i="5"/>
  <c r="J130" i="5"/>
  <c r="J153" i="5"/>
  <c r="L53" i="5"/>
  <c r="L114" i="5"/>
  <c r="L120" i="5" s="1"/>
  <c r="K198" i="5"/>
  <c r="K156" i="5"/>
  <c r="K135" i="5"/>
  <c r="K113" i="5"/>
  <c r="L192" i="5"/>
  <c r="L182" i="5"/>
  <c r="K88" i="5"/>
  <c r="K262" i="5"/>
  <c r="H262" i="5"/>
  <c r="L52" i="5"/>
  <c r="G88" i="5"/>
  <c r="E262" i="5"/>
  <c r="L145" i="5"/>
  <c r="L153" i="5" s="1"/>
  <c r="L122" i="5"/>
  <c r="L130" i="5" s="1"/>
  <c r="L98" i="5"/>
  <c r="L108" i="5" s="1"/>
  <c r="J79" i="5"/>
  <c r="L77" i="5"/>
  <c r="L79" i="5" s="1"/>
  <c r="J259" i="5"/>
  <c r="J76" i="5"/>
  <c r="L63" i="5"/>
  <c r="J51" i="5"/>
  <c r="L49" i="5"/>
  <c r="L51" i="5" s="1"/>
  <c r="J252" i="5"/>
  <c r="L34" i="5"/>
  <c r="L41" i="5"/>
  <c r="L45" i="5"/>
  <c r="J253" i="5"/>
  <c r="J6" i="5"/>
  <c r="J228" i="5" s="1"/>
  <c r="J10" i="5"/>
  <c r="J233" i="5" s="1"/>
  <c r="J14" i="5"/>
  <c r="L14" i="5" s="1"/>
  <c r="F32" i="5"/>
  <c r="F88" i="5" s="1"/>
  <c r="J182" i="5"/>
  <c r="J196" i="5"/>
  <c r="L193" i="5"/>
  <c r="L196" i="5" s="1"/>
  <c r="J205" i="5"/>
  <c r="L199" i="5"/>
  <c r="L205" i="5" s="1"/>
  <c r="G246" i="5"/>
  <c r="I246" i="5"/>
  <c r="G217" i="5"/>
  <c r="K217" i="5"/>
  <c r="L5" i="5"/>
  <c r="L7" i="5"/>
  <c r="L8" i="5"/>
  <c r="L9" i="5"/>
  <c r="L13" i="5"/>
  <c r="L23" i="5"/>
  <c r="J30" i="5"/>
  <c r="L30" i="5" s="1"/>
  <c r="J174" i="5"/>
  <c r="J179" i="5" s="1"/>
  <c r="L165" i="5"/>
  <c r="L174" i="5" s="1"/>
  <c r="J192" i="5"/>
  <c r="G266" i="5"/>
  <c r="I266" i="5"/>
  <c r="K246" i="5"/>
  <c r="L207" i="5"/>
  <c r="F214" i="5"/>
  <c r="F262" i="5" s="1"/>
  <c r="J212" i="5"/>
  <c r="J214" i="5" s="1"/>
  <c r="G262" i="5"/>
  <c r="I262" i="5"/>
  <c r="D217" i="5"/>
  <c r="I217" i="5"/>
  <c r="J232" i="5"/>
  <c r="J240" i="5"/>
  <c r="J241" i="5"/>
  <c r="J242" i="5"/>
  <c r="J243" i="5"/>
  <c r="J245" i="5"/>
  <c r="H246" i="5"/>
  <c r="J247" i="5"/>
  <c r="J248" i="5"/>
  <c r="J249" i="5"/>
  <c r="J250" i="5"/>
  <c r="J251" i="5"/>
  <c r="J254" i="5"/>
  <c r="J256" i="5"/>
  <c r="J258" i="5"/>
  <c r="F260" i="5"/>
  <c r="J261" i="5"/>
  <c r="J263" i="5"/>
  <c r="J264" i="5"/>
  <c r="J265" i="5"/>
  <c r="J187" i="4"/>
  <c r="J186" i="4"/>
  <c r="E218" i="5" l="1"/>
  <c r="E267" i="5"/>
  <c r="L76" i="5"/>
  <c r="D218" i="5"/>
  <c r="J113" i="5"/>
  <c r="D267" i="5"/>
  <c r="I218" i="5"/>
  <c r="L113" i="5"/>
  <c r="J156" i="5"/>
  <c r="H267" i="5"/>
  <c r="L32" i="5"/>
  <c r="G218" i="5"/>
  <c r="H218" i="5"/>
  <c r="L61" i="5"/>
  <c r="J135" i="5"/>
  <c r="J262" i="5"/>
  <c r="L135" i="5"/>
  <c r="L10" i="5"/>
  <c r="J266" i="5"/>
  <c r="L179" i="5"/>
  <c r="L156" i="5"/>
  <c r="K218" i="5"/>
  <c r="L198" i="5"/>
  <c r="K267" i="5"/>
  <c r="L48" i="5"/>
  <c r="J244" i="5"/>
  <c r="J227" i="5"/>
  <c r="J24" i="5"/>
  <c r="J234" i="5"/>
  <c r="L6" i="5"/>
  <c r="L24" i="5" s="1"/>
  <c r="J235" i="5"/>
  <c r="J236" i="5"/>
  <c r="F217" i="5"/>
  <c r="F218" i="5" s="1"/>
  <c r="G267" i="5"/>
  <c r="J260" i="5"/>
  <c r="L212" i="5"/>
  <c r="L214" i="5" s="1"/>
  <c r="L217" i="5" s="1"/>
  <c r="I267" i="5"/>
  <c r="F246" i="5"/>
  <c r="F267" i="5" s="1"/>
  <c r="J217" i="5"/>
  <c r="J198" i="5"/>
  <c r="J32" i="5"/>
  <c r="J88" i="5" s="1"/>
  <c r="F30" i="3"/>
  <c r="F25" i="3"/>
  <c r="L88" i="5" l="1"/>
  <c r="L218" i="5" s="1"/>
  <c r="J218" i="5"/>
  <c r="J246" i="5"/>
  <c r="J267" i="5" s="1"/>
  <c r="D264" i="4" l="1"/>
  <c r="D263" i="4"/>
  <c r="D262" i="4"/>
  <c r="D260" i="4"/>
  <c r="D259" i="4"/>
  <c r="D258" i="4"/>
  <c r="D257" i="4"/>
  <c r="D256" i="4"/>
  <c r="D255" i="4"/>
  <c r="D254" i="4"/>
  <c r="D253" i="4"/>
  <c r="D252" i="4"/>
  <c r="D251" i="4"/>
  <c r="D250" i="4"/>
  <c r="D249" i="4"/>
  <c r="D248" i="4"/>
  <c r="D247" i="4"/>
  <c r="D246" i="4"/>
  <c r="D244" i="4"/>
  <c r="D243" i="4"/>
  <c r="D242" i="4"/>
  <c r="D241" i="4"/>
  <c r="D240" i="4"/>
  <c r="D239" i="4"/>
  <c r="D238" i="4"/>
  <c r="D237" i="4"/>
  <c r="D236" i="4"/>
  <c r="D235" i="4"/>
  <c r="D234" i="4"/>
  <c r="D233" i="4"/>
  <c r="D232" i="4"/>
  <c r="D231" i="4"/>
  <c r="D230" i="4"/>
  <c r="D229" i="4"/>
  <c r="D228" i="4"/>
  <c r="D227" i="4"/>
  <c r="D226" i="4"/>
  <c r="G7" i="4" l="1"/>
  <c r="G228" i="4" s="1"/>
  <c r="F181" i="4" l="1"/>
  <c r="D182" i="4"/>
  <c r="D213" i="4"/>
  <c r="E262" i="3"/>
  <c r="F262" i="3"/>
  <c r="G262" i="3"/>
  <c r="H262" i="3"/>
  <c r="I262" i="3"/>
  <c r="K262" i="3"/>
  <c r="D262" i="3"/>
  <c r="G181" i="4"/>
  <c r="H181" i="4"/>
  <c r="J181" i="4"/>
  <c r="F207" i="4"/>
  <c r="G207" i="4"/>
  <c r="H207" i="4"/>
  <c r="J207" i="4"/>
  <c r="E248" i="3"/>
  <c r="F248" i="3"/>
  <c r="G248" i="3"/>
  <c r="H248" i="3"/>
  <c r="I248" i="3"/>
  <c r="K248" i="3"/>
  <c r="D248" i="3"/>
  <c r="J207" i="3"/>
  <c r="L207" i="3" s="1"/>
  <c r="E213" i="3"/>
  <c r="G213" i="3"/>
  <c r="H213" i="3"/>
  <c r="I213" i="3"/>
  <c r="K213" i="3"/>
  <c r="D213" i="3"/>
  <c r="F211" i="3"/>
  <c r="F213" i="3" s="1"/>
  <c r="F187" i="3"/>
  <c r="E244" i="3"/>
  <c r="F244" i="3"/>
  <c r="G244" i="3"/>
  <c r="H244" i="3"/>
  <c r="I244" i="3"/>
  <c r="K244" i="3"/>
  <c r="D244" i="3"/>
  <c r="K182" i="3"/>
  <c r="F182" i="3"/>
  <c r="G182" i="3"/>
  <c r="H182" i="3"/>
  <c r="I182" i="3"/>
  <c r="E182" i="3"/>
  <c r="E245" i="3" s="1"/>
  <c r="D182" i="3"/>
  <c r="J181" i="3"/>
  <c r="L181" i="3" s="1"/>
  <c r="I207" i="4" l="1"/>
  <c r="I181" i="4"/>
  <c r="E181" i="4" s="1"/>
  <c r="K253" i="3"/>
  <c r="F253" i="3"/>
  <c r="G253" i="3"/>
  <c r="H253" i="3"/>
  <c r="I253" i="3"/>
  <c r="E253" i="3"/>
  <c r="D253" i="3"/>
  <c r="F209" i="4"/>
  <c r="G209" i="4"/>
  <c r="H209" i="4"/>
  <c r="J209" i="4"/>
  <c r="J209" i="3"/>
  <c r="L209" i="3" s="1"/>
  <c r="E207" i="4" l="1"/>
  <c r="I209" i="4"/>
  <c r="E209" i="4" s="1"/>
  <c r="J6" i="4"/>
  <c r="J7" i="4"/>
  <c r="J8" i="4"/>
  <c r="J229" i="4" s="1"/>
  <c r="J9" i="4"/>
  <c r="J230" i="4" s="1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5" i="4"/>
  <c r="J215" i="4"/>
  <c r="J214" i="4"/>
  <c r="J212" i="4"/>
  <c r="J211" i="4"/>
  <c r="J210" i="4"/>
  <c r="J208" i="4"/>
  <c r="J206" i="4"/>
  <c r="J204" i="4"/>
  <c r="J203" i="4"/>
  <c r="J202" i="4"/>
  <c r="J201" i="4"/>
  <c r="J200" i="4"/>
  <c r="J199" i="4"/>
  <c r="J197" i="4"/>
  <c r="J262" i="4" s="1"/>
  <c r="J195" i="4"/>
  <c r="J194" i="4"/>
  <c r="J193" i="4"/>
  <c r="J191" i="4"/>
  <c r="J190" i="4"/>
  <c r="J189" i="4"/>
  <c r="J188" i="4"/>
  <c r="J185" i="4"/>
  <c r="J184" i="4"/>
  <c r="J183" i="4"/>
  <c r="J180" i="4"/>
  <c r="J182" i="4" s="1"/>
  <c r="J178" i="4"/>
  <c r="J177" i="4"/>
  <c r="J176" i="4"/>
  <c r="J175" i="4"/>
  <c r="J173" i="4"/>
  <c r="J172" i="4"/>
  <c r="J171" i="4"/>
  <c r="J170" i="4"/>
  <c r="J169" i="4"/>
  <c r="J168" i="4"/>
  <c r="J167" i="4"/>
  <c r="J166" i="4"/>
  <c r="J165" i="4"/>
  <c r="J164" i="4"/>
  <c r="J162" i="4"/>
  <c r="J161" i="4"/>
  <c r="J160" i="4"/>
  <c r="J159" i="4"/>
  <c r="J158" i="4"/>
  <c r="J157" i="4"/>
  <c r="J155" i="4"/>
  <c r="J154" i="4"/>
  <c r="J152" i="4"/>
  <c r="J151" i="4"/>
  <c r="J150" i="4"/>
  <c r="J149" i="4"/>
  <c r="J148" i="4"/>
  <c r="J147" i="4"/>
  <c r="J146" i="4"/>
  <c r="J145" i="4"/>
  <c r="J144" i="4"/>
  <c r="J142" i="4"/>
  <c r="J141" i="4"/>
  <c r="J140" i="4"/>
  <c r="J139" i="4"/>
  <c r="J138" i="4"/>
  <c r="J137" i="4"/>
  <c r="J136" i="4"/>
  <c r="J134" i="4"/>
  <c r="J133" i="4"/>
  <c r="J132" i="4"/>
  <c r="J131" i="4"/>
  <c r="J129" i="4"/>
  <c r="J128" i="4"/>
  <c r="J127" i="4"/>
  <c r="J126" i="4"/>
  <c r="J125" i="4"/>
  <c r="J124" i="4"/>
  <c r="J123" i="4"/>
  <c r="J122" i="4"/>
  <c r="J121" i="4"/>
  <c r="J119" i="4"/>
  <c r="J118" i="4"/>
  <c r="J117" i="4"/>
  <c r="J116" i="4"/>
  <c r="J115" i="4"/>
  <c r="J114" i="4"/>
  <c r="J112" i="4"/>
  <c r="J111" i="4"/>
  <c r="J110" i="4"/>
  <c r="J109" i="4"/>
  <c r="J107" i="4"/>
  <c r="J106" i="4"/>
  <c r="J105" i="4"/>
  <c r="J104" i="4"/>
  <c r="J103" i="4"/>
  <c r="J102" i="4"/>
  <c r="J101" i="4"/>
  <c r="J100" i="4"/>
  <c r="J99" i="4"/>
  <c r="J98" i="4"/>
  <c r="J97" i="4"/>
  <c r="J95" i="4"/>
  <c r="J94" i="4"/>
  <c r="J93" i="4"/>
  <c r="J92" i="4"/>
  <c r="J91" i="4"/>
  <c r="J90" i="4"/>
  <c r="J89" i="4"/>
  <c r="J87" i="4"/>
  <c r="J86" i="4"/>
  <c r="J85" i="4"/>
  <c r="J84" i="4"/>
  <c r="J83" i="4"/>
  <c r="J82" i="4"/>
  <c r="J81" i="4"/>
  <c r="J80" i="4"/>
  <c r="J78" i="4"/>
  <c r="J77" i="4"/>
  <c r="J75" i="4"/>
  <c r="J74" i="4"/>
  <c r="J73" i="4"/>
  <c r="J72" i="4"/>
  <c r="J71" i="4"/>
  <c r="J70" i="4"/>
  <c r="J69" i="4"/>
  <c r="J68" i="4"/>
  <c r="J67" i="4"/>
  <c r="J66" i="4"/>
  <c r="J65" i="4"/>
  <c r="J64" i="4"/>
  <c r="J63" i="4"/>
  <c r="J62" i="4"/>
  <c r="J60" i="4"/>
  <c r="J59" i="4"/>
  <c r="J58" i="4"/>
  <c r="J57" i="4"/>
  <c r="J56" i="4"/>
  <c r="J55" i="4"/>
  <c r="J54" i="4"/>
  <c r="J238" i="4" s="1"/>
  <c r="J53" i="4"/>
  <c r="J237" i="4" s="1"/>
  <c r="J52" i="4"/>
  <c r="J50" i="4"/>
  <c r="J49" i="4"/>
  <c r="J47" i="4"/>
  <c r="J46" i="4"/>
  <c r="J45" i="4"/>
  <c r="J44" i="4"/>
  <c r="J257" i="4" s="1"/>
  <c r="J43" i="4"/>
  <c r="J42" i="4"/>
  <c r="J41" i="4"/>
  <c r="J254" i="4" s="1"/>
  <c r="J40" i="4"/>
  <c r="J253" i="4" s="1"/>
  <c r="J39" i="4"/>
  <c r="J38" i="4"/>
  <c r="J37" i="4"/>
  <c r="J36" i="4"/>
  <c r="J35" i="4"/>
  <c r="J34" i="4"/>
  <c r="J33" i="4"/>
  <c r="J31" i="4"/>
  <c r="J30" i="4"/>
  <c r="J29" i="4"/>
  <c r="J28" i="4"/>
  <c r="J27" i="4"/>
  <c r="J26" i="4"/>
  <c r="J25" i="4"/>
  <c r="H116" i="4"/>
  <c r="J241" i="4" l="1"/>
  <c r="J242" i="4"/>
  <c r="J251" i="4"/>
  <c r="J239" i="4"/>
  <c r="J248" i="4"/>
  <c r="J258" i="4"/>
  <c r="J260" i="4"/>
  <c r="J250" i="4"/>
  <c r="J244" i="4"/>
  <c r="J255" i="4"/>
  <c r="J231" i="4"/>
  <c r="J252" i="4"/>
  <c r="J256" i="4"/>
  <c r="J227" i="4"/>
  <c r="J259" i="4"/>
  <c r="J247" i="4"/>
  <c r="J243" i="4"/>
  <c r="J249" i="4"/>
  <c r="J240" i="4"/>
  <c r="J264" i="4"/>
  <c r="J263" i="4"/>
  <c r="J226" i="4"/>
  <c r="J232" i="4"/>
  <c r="J233" i="4"/>
  <c r="J234" i="4"/>
  <c r="J228" i="4"/>
  <c r="J235" i="4"/>
  <c r="J236" i="4"/>
  <c r="J246" i="4"/>
  <c r="J213" i="4"/>
  <c r="J48" i="4"/>
  <c r="J51" i="4"/>
  <c r="J61" i="4"/>
  <c r="J96" i="4"/>
  <c r="J130" i="4"/>
  <c r="J143" i="4"/>
  <c r="J153" i="4"/>
  <c r="J163" i="4"/>
  <c r="J174" i="4"/>
  <c r="J192" i="4"/>
  <c r="J196" i="4"/>
  <c r="J205" i="4"/>
  <c r="J32" i="4"/>
  <c r="J76" i="4"/>
  <c r="J79" i="4"/>
  <c r="J108" i="4"/>
  <c r="J113" i="4" s="1"/>
  <c r="J120" i="4"/>
  <c r="J216" i="4"/>
  <c r="J24" i="4"/>
  <c r="H215" i="4"/>
  <c r="G215" i="4"/>
  <c r="F215" i="4"/>
  <c r="H214" i="4"/>
  <c r="G214" i="4"/>
  <c r="F214" i="4"/>
  <c r="H212" i="4"/>
  <c r="G212" i="4"/>
  <c r="F212" i="4"/>
  <c r="H211" i="4"/>
  <c r="G211" i="4"/>
  <c r="F211" i="4"/>
  <c r="H210" i="4"/>
  <c r="G210" i="4"/>
  <c r="F210" i="4"/>
  <c r="H208" i="4"/>
  <c r="G208" i="4"/>
  <c r="F208" i="4"/>
  <c r="H206" i="4"/>
  <c r="G206" i="4"/>
  <c r="F206" i="4"/>
  <c r="H204" i="4"/>
  <c r="G204" i="4"/>
  <c r="F204" i="4"/>
  <c r="H203" i="4"/>
  <c r="G203" i="4"/>
  <c r="F203" i="4"/>
  <c r="H202" i="4"/>
  <c r="G202" i="4"/>
  <c r="F202" i="4"/>
  <c r="H201" i="4"/>
  <c r="G201" i="4"/>
  <c r="F201" i="4"/>
  <c r="H200" i="4"/>
  <c r="G200" i="4"/>
  <c r="F200" i="4"/>
  <c r="H199" i="4"/>
  <c r="G199" i="4"/>
  <c r="F199" i="4"/>
  <c r="H197" i="4"/>
  <c r="H262" i="4" s="1"/>
  <c r="G197" i="4"/>
  <c r="G262" i="4" s="1"/>
  <c r="F197" i="4"/>
  <c r="F262" i="4" s="1"/>
  <c r="H195" i="4"/>
  <c r="G195" i="4"/>
  <c r="F195" i="4"/>
  <c r="H194" i="4"/>
  <c r="G194" i="4"/>
  <c r="F194" i="4"/>
  <c r="H193" i="4"/>
  <c r="G193" i="4"/>
  <c r="F193" i="4"/>
  <c r="H191" i="4"/>
  <c r="G191" i="4"/>
  <c r="F191" i="4"/>
  <c r="H190" i="4"/>
  <c r="G190" i="4"/>
  <c r="F190" i="4"/>
  <c r="H189" i="4"/>
  <c r="G189" i="4"/>
  <c r="F189" i="4"/>
  <c r="H188" i="4"/>
  <c r="G188" i="4"/>
  <c r="F188" i="4"/>
  <c r="H187" i="4"/>
  <c r="G187" i="4"/>
  <c r="F187" i="4"/>
  <c r="H186" i="4"/>
  <c r="G186" i="4"/>
  <c r="F186" i="4"/>
  <c r="H185" i="4"/>
  <c r="G185" i="4"/>
  <c r="F185" i="4"/>
  <c r="H184" i="4"/>
  <c r="G184" i="4"/>
  <c r="F184" i="4"/>
  <c r="H183" i="4"/>
  <c r="G183" i="4"/>
  <c r="F183" i="4"/>
  <c r="H182" i="4"/>
  <c r="G182" i="4"/>
  <c r="F182" i="4"/>
  <c r="H180" i="4"/>
  <c r="G180" i="4"/>
  <c r="F180" i="4"/>
  <c r="H178" i="4"/>
  <c r="G178" i="4"/>
  <c r="F178" i="4"/>
  <c r="H177" i="4"/>
  <c r="G177" i="4"/>
  <c r="F177" i="4"/>
  <c r="H176" i="4"/>
  <c r="G176" i="4"/>
  <c r="F176" i="4"/>
  <c r="H175" i="4"/>
  <c r="G175" i="4"/>
  <c r="F175" i="4"/>
  <c r="H173" i="4"/>
  <c r="G173" i="4"/>
  <c r="F173" i="4"/>
  <c r="H172" i="4"/>
  <c r="G172" i="4"/>
  <c r="F172" i="4"/>
  <c r="H171" i="4"/>
  <c r="G171" i="4"/>
  <c r="F171" i="4"/>
  <c r="H170" i="4"/>
  <c r="G170" i="4"/>
  <c r="F170" i="4"/>
  <c r="H169" i="4"/>
  <c r="G169" i="4"/>
  <c r="F169" i="4"/>
  <c r="H168" i="4"/>
  <c r="G168" i="4"/>
  <c r="F168" i="4"/>
  <c r="H167" i="4"/>
  <c r="G167" i="4"/>
  <c r="F167" i="4"/>
  <c r="H166" i="4"/>
  <c r="G166" i="4"/>
  <c r="F166" i="4"/>
  <c r="H165" i="4"/>
  <c r="G165" i="4"/>
  <c r="F165" i="4"/>
  <c r="H164" i="4"/>
  <c r="G164" i="4"/>
  <c r="F164" i="4"/>
  <c r="H162" i="4"/>
  <c r="G162" i="4"/>
  <c r="F162" i="4"/>
  <c r="H161" i="4"/>
  <c r="G161" i="4"/>
  <c r="F161" i="4"/>
  <c r="H160" i="4"/>
  <c r="G160" i="4"/>
  <c r="F160" i="4"/>
  <c r="H159" i="4"/>
  <c r="G159" i="4"/>
  <c r="F159" i="4"/>
  <c r="H158" i="4"/>
  <c r="G158" i="4"/>
  <c r="F158" i="4"/>
  <c r="H157" i="4"/>
  <c r="G157" i="4"/>
  <c r="F157" i="4"/>
  <c r="H155" i="4"/>
  <c r="G155" i="4"/>
  <c r="F155" i="4"/>
  <c r="H154" i="4"/>
  <c r="G154" i="4"/>
  <c r="F154" i="4"/>
  <c r="H152" i="4"/>
  <c r="G152" i="4"/>
  <c r="F152" i="4"/>
  <c r="H151" i="4"/>
  <c r="G151" i="4"/>
  <c r="F151" i="4"/>
  <c r="H150" i="4"/>
  <c r="G150" i="4"/>
  <c r="F150" i="4"/>
  <c r="H149" i="4"/>
  <c r="G149" i="4"/>
  <c r="F149" i="4"/>
  <c r="H148" i="4"/>
  <c r="G148" i="4"/>
  <c r="F148" i="4"/>
  <c r="H147" i="4"/>
  <c r="G147" i="4"/>
  <c r="F147" i="4"/>
  <c r="H146" i="4"/>
  <c r="G146" i="4"/>
  <c r="F146" i="4"/>
  <c r="H145" i="4"/>
  <c r="G145" i="4"/>
  <c r="F145" i="4"/>
  <c r="H144" i="4"/>
  <c r="G144" i="4"/>
  <c r="F144" i="4"/>
  <c r="H142" i="4"/>
  <c r="G142" i="4"/>
  <c r="F142" i="4"/>
  <c r="H141" i="4"/>
  <c r="G141" i="4"/>
  <c r="F141" i="4"/>
  <c r="H140" i="4"/>
  <c r="G140" i="4"/>
  <c r="F140" i="4"/>
  <c r="H139" i="4"/>
  <c r="G139" i="4"/>
  <c r="F139" i="4"/>
  <c r="H138" i="4"/>
  <c r="G138" i="4"/>
  <c r="F138" i="4"/>
  <c r="H137" i="4"/>
  <c r="G137" i="4"/>
  <c r="F137" i="4"/>
  <c r="H136" i="4"/>
  <c r="G136" i="4"/>
  <c r="F136" i="4"/>
  <c r="H134" i="4"/>
  <c r="G134" i="4"/>
  <c r="F134" i="4"/>
  <c r="H133" i="4"/>
  <c r="G133" i="4"/>
  <c r="F133" i="4"/>
  <c r="H132" i="4"/>
  <c r="G132" i="4"/>
  <c r="F132" i="4"/>
  <c r="H131" i="4"/>
  <c r="G131" i="4"/>
  <c r="F131" i="4"/>
  <c r="H129" i="4"/>
  <c r="G129" i="4"/>
  <c r="F129" i="4"/>
  <c r="H128" i="4"/>
  <c r="G128" i="4"/>
  <c r="F128" i="4"/>
  <c r="H127" i="4"/>
  <c r="G127" i="4"/>
  <c r="F127" i="4"/>
  <c r="H126" i="4"/>
  <c r="G126" i="4"/>
  <c r="F126" i="4"/>
  <c r="H125" i="4"/>
  <c r="G125" i="4"/>
  <c r="F125" i="4"/>
  <c r="H124" i="4"/>
  <c r="G124" i="4"/>
  <c r="F124" i="4"/>
  <c r="H123" i="4"/>
  <c r="G123" i="4"/>
  <c r="F123" i="4"/>
  <c r="H122" i="4"/>
  <c r="G122" i="4"/>
  <c r="F122" i="4"/>
  <c r="H121" i="4"/>
  <c r="G121" i="4"/>
  <c r="F121" i="4"/>
  <c r="H119" i="4"/>
  <c r="G119" i="4"/>
  <c r="F119" i="4"/>
  <c r="H118" i="4"/>
  <c r="G118" i="4"/>
  <c r="F118" i="4"/>
  <c r="H117" i="4"/>
  <c r="G117" i="4"/>
  <c r="F117" i="4"/>
  <c r="G116" i="4"/>
  <c r="F116" i="4"/>
  <c r="H115" i="4"/>
  <c r="G115" i="4"/>
  <c r="F115" i="4"/>
  <c r="H114" i="4"/>
  <c r="G114" i="4"/>
  <c r="F114" i="4"/>
  <c r="H112" i="4"/>
  <c r="G112" i="4"/>
  <c r="F112" i="4"/>
  <c r="H111" i="4"/>
  <c r="G111" i="4"/>
  <c r="F111" i="4"/>
  <c r="H110" i="4"/>
  <c r="G110" i="4"/>
  <c r="F110" i="4"/>
  <c r="H109" i="4"/>
  <c r="G109" i="4"/>
  <c r="F109" i="4"/>
  <c r="H107" i="4"/>
  <c r="G107" i="4"/>
  <c r="F107" i="4"/>
  <c r="H106" i="4"/>
  <c r="G106" i="4"/>
  <c r="F106" i="4"/>
  <c r="H105" i="4"/>
  <c r="G105" i="4"/>
  <c r="F105" i="4"/>
  <c r="H104" i="4"/>
  <c r="G104" i="4"/>
  <c r="F104" i="4"/>
  <c r="H103" i="4"/>
  <c r="G103" i="4"/>
  <c r="F103" i="4"/>
  <c r="H102" i="4"/>
  <c r="G102" i="4"/>
  <c r="F102" i="4"/>
  <c r="H101" i="4"/>
  <c r="G101" i="4"/>
  <c r="F101" i="4"/>
  <c r="H100" i="4"/>
  <c r="G100" i="4"/>
  <c r="F100" i="4"/>
  <c r="H99" i="4"/>
  <c r="G99" i="4"/>
  <c r="F99" i="4"/>
  <c r="H98" i="4"/>
  <c r="G98" i="4"/>
  <c r="F98" i="4"/>
  <c r="H97" i="4"/>
  <c r="G97" i="4"/>
  <c r="F97" i="4"/>
  <c r="H95" i="4"/>
  <c r="G95" i="4"/>
  <c r="F95" i="4"/>
  <c r="H94" i="4"/>
  <c r="G94" i="4"/>
  <c r="F94" i="4"/>
  <c r="H93" i="4"/>
  <c r="G93" i="4"/>
  <c r="F93" i="4"/>
  <c r="H92" i="4"/>
  <c r="G92" i="4"/>
  <c r="F92" i="4"/>
  <c r="H91" i="4"/>
  <c r="G91" i="4"/>
  <c r="F91" i="4"/>
  <c r="H90" i="4"/>
  <c r="G90" i="4"/>
  <c r="F90" i="4"/>
  <c r="H89" i="4"/>
  <c r="G89" i="4"/>
  <c r="F89" i="4"/>
  <c r="H87" i="4"/>
  <c r="G87" i="4"/>
  <c r="F87" i="4"/>
  <c r="H86" i="4"/>
  <c r="G86" i="4"/>
  <c r="F86" i="4"/>
  <c r="H85" i="4"/>
  <c r="G85" i="4"/>
  <c r="F85" i="4"/>
  <c r="H84" i="4"/>
  <c r="G84" i="4"/>
  <c r="F84" i="4"/>
  <c r="H83" i="4"/>
  <c r="G83" i="4"/>
  <c r="F83" i="4"/>
  <c r="H82" i="4"/>
  <c r="G82" i="4"/>
  <c r="F82" i="4"/>
  <c r="H81" i="4"/>
  <c r="G81" i="4"/>
  <c r="F81" i="4"/>
  <c r="H80" i="4"/>
  <c r="G80" i="4"/>
  <c r="F80" i="4"/>
  <c r="H78" i="4"/>
  <c r="G78" i="4"/>
  <c r="F78" i="4"/>
  <c r="H77" i="4"/>
  <c r="G77" i="4"/>
  <c r="F77" i="4"/>
  <c r="H75" i="4"/>
  <c r="G75" i="4"/>
  <c r="F75" i="4"/>
  <c r="H74" i="4"/>
  <c r="G74" i="4"/>
  <c r="F74" i="4"/>
  <c r="H73" i="4"/>
  <c r="G73" i="4"/>
  <c r="F73" i="4"/>
  <c r="H72" i="4"/>
  <c r="G72" i="4"/>
  <c r="F72" i="4"/>
  <c r="H71" i="4"/>
  <c r="G71" i="4"/>
  <c r="F71" i="4"/>
  <c r="H70" i="4"/>
  <c r="G70" i="4"/>
  <c r="F70" i="4"/>
  <c r="H69" i="4"/>
  <c r="G69" i="4"/>
  <c r="F69" i="4"/>
  <c r="H68" i="4"/>
  <c r="G68" i="4"/>
  <c r="F68" i="4"/>
  <c r="H67" i="4"/>
  <c r="G67" i="4"/>
  <c r="F67" i="4"/>
  <c r="H66" i="4"/>
  <c r="G66" i="4"/>
  <c r="F66" i="4"/>
  <c r="H65" i="4"/>
  <c r="G65" i="4"/>
  <c r="F65" i="4"/>
  <c r="H64" i="4"/>
  <c r="G64" i="4"/>
  <c r="F64" i="4"/>
  <c r="H63" i="4"/>
  <c r="G63" i="4"/>
  <c r="F63" i="4"/>
  <c r="H62" i="4"/>
  <c r="G62" i="4"/>
  <c r="F62" i="4"/>
  <c r="H60" i="4"/>
  <c r="G60" i="4"/>
  <c r="F60" i="4"/>
  <c r="H59" i="4"/>
  <c r="G59" i="4"/>
  <c r="F59" i="4"/>
  <c r="H58" i="4"/>
  <c r="G58" i="4"/>
  <c r="F58" i="4"/>
  <c r="H57" i="4"/>
  <c r="G57" i="4"/>
  <c r="F57" i="4"/>
  <c r="H56" i="4"/>
  <c r="G56" i="4"/>
  <c r="F56" i="4"/>
  <c r="H55" i="4"/>
  <c r="G55" i="4"/>
  <c r="F55" i="4"/>
  <c r="H54" i="4"/>
  <c r="H238" i="4" s="1"/>
  <c r="G54" i="4"/>
  <c r="G238" i="4" s="1"/>
  <c r="F54" i="4"/>
  <c r="F238" i="4" s="1"/>
  <c r="H53" i="4"/>
  <c r="H237" i="4" s="1"/>
  <c r="G53" i="4"/>
  <c r="G237" i="4" s="1"/>
  <c r="F53" i="4"/>
  <c r="F237" i="4" s="1"/>
  <c r="H52" i="4"/>
  <c r="G52" i="4"/>
  <c r="F52" i="4"/>
  <c r="H50" i="4"/>
  <c r="G50" i="4"/>
  <c r="F50" i="4"/>
  <c r="H49" i="4"/>
  <c r="G49" i="4"/>
  <c r="F49" i="4"/>
  <c r="H47" i="4"/>
  <c r="G47" i="4"/>
  <c r="F47" i="4"/>
  <c r="H46" i="4"/>
  <c r="G46" i="4"/>
  <c r="F46" i="4"/>
  <c r="H45" i="4"/>
  <c r="G45" i="4"/>
  <c r="F45" i="4"/>
  <c r="H44" i="4"/>
  <c r="G44" i="4"/>
  <c r="F44" i="4"/>
  <c r="H43" i="4"/>
  <c r="G43" i="4"/>
  <c r="F43" i="4"/>
  <c r="H42" i="4"/>
  <c r="G42" i="4"/>
  <c r="F42" i="4"/>
  <c r="H41" i="4"/>
  <c r="H254" i="4" s="1"/>
  <c r="G41" i="4"/>
  <c r="G254" i="4" s="1"/>
  <c r="F41" i="4"/>
  <c r="F254" i="4" s="1"/>
  <c r="H40" i="4"/>
  <c r="G40" i="4"/>
  <c r="F40" i="4"/>
  <c r="H39" i="4"/>
  <c r="G39" i="4"/>
  <c r="F39" i="4"/>
  <c r="H38" i="4"/>
  <c r="G38" i="4"/>
  <c r="F38" i="4"/>
  <c r="H37" i="4"/>
  <c r="G37" i="4"/>
  <c r="F37" i="4"/>
  <c r="H36" i="4"/>
  <c r="G36" i="4"/>
  <c r="F36" i="4"/>
  <c r="H35" i="4"/>
  <c r="G35" i="4"/>
  <c r="F35" i="4"/>
  <c r="H34" i="4"/>
  <c r="G34" i="4"/>
  <c r="F34" i="4"/>
  <c r="H33" i="4"/>
  <c r="G33" i="4"/>
  <c r="F33" i="4"/>
  <c r="H31" i="4"/>
  <c r="G31" i="4"/>
  <c r="F31" i="4"/>
  <c r="H30" i="4"/>
  <c r="G30" i="4"/>
  <c r="F30" i="4"/>
  <c r="H29" i="4"/>
  <c r="G29" i="4"/>
  <c r="F29" i="4"/>
  <c r="H28" i="4"/>
  <c r="G28" i="4"/>
  <c r="F28" i="4"/>
  <c r="H27" i="4"/>
  <c r="G27" i="4"/>
  <c r="F27" i="4"/>
  <c r="H26" i="4"/>
  <c r="G26" i="4"/>
  <c r="F26" i="4"/>
  <c r="H25" i="4"/>
  <c r="G25" i="4"/>
  <c r="F25" i="4"/>
  <c r="H23" i="4"/>
  <c r="G23" i="4"/>
  <c r="F23" i="4"/>
  <c r="H22" i="4"/>
  <c r="G22" i="4"/>
  <c r="F22" i="4"/>
  <c r="H21" i="4"/>
  <c r="G21" i="4"/>
  <c r="F21" i="4"/>
  <c r="H20" i="4"/>
  <c r="G20" i="4"/>
  <c r="F20" i="4"/>
  <c r="H19" i="4"/>
  <c r="G19" i="4"/>
  <c r="F19" i="4"/>
  <c r="H18" i="4"/>
  <c r="G18" i="4"/>
  <c r="F18" i="4"/>
  <c r="H17" i="4"/>
  <c r="G17" i="4"/>
  <c r="F17" i="4"/>
  <c r="H16" i="4"/>
  <c r="G16" i="4"/>
  <c r="F16" i="4"/>
  <c r="H15" i="4"/>
  <c r="G15" i="4"/>
  <c r="F15" i="4"/>
  <c r="H14" i="4"/>
  <c r="G14" i="4"/>
  <c r="F14" i="4"/>
  <c r="H13" i="4"/>
  <c r="G13" i="4"/>
  <c r="F13" i="4"/>
  <c r="H12" i="4"/>
  <c r="G12" i="4"/>
  <c r="F12" i="4"/>
  <c r="H11" i="4"/>
  <c r="G11" i="4"/>
  <c r="F11" i="4"/>
  <c r="H10" i="4"/>
  <c r="H232" i="4" s="1"/>
  <c r="G10" i="4"/>
  <c r="G232" i="4" s="1"/>
  <c r="F10" i="4"/>
  <c r="H9" i="4"/>
  <c r="H230" i="4" s="1"/>
  <c r="G9" i="4"/>
  <c r="G230" i="4" s="1"/>
  <c r="F9" i="4"/>
  <c r="F230" i="4" s="1"/>
  <c r="H8" i="4"/>
  <c r="H229" i="4" s="1"/>
  <c r="G8" i="4"/>
  <c r="G229" i="4" s="1"/>
  <c r="F8" i="4"/>
  <c r="F229" i="4" s="1"/>
  <c r="H7" i="4"/>
  <c r="H228" i="4" s="1"/>
  <c r="F7" i="4"/>
  <c r="F228" i="4" s="1"/>
  <c r="H6" i="4"/>
  <c r="G6" i="4"/>
  <c r="G227" i="4" s="1"/>
  <c r="F6" i="4"/>
  <c r="F227" i="4" s="1"/>
  <c r="H5" i="4"/>
  <c r="G5" i="4"/>
  <c r="F5" i="4"/>
  <c r="H258" i="4" l="1"/>
  <c r="F232" i="4"/>
  <c r="G258" i="4"/>
  <c r="H227" i="4"/>
  <c r="F258" i="4"/>
  <c r="H231" i="4"/>
  <c r="H233" i="4"/>
  <c r="F234" i="4"/>
  <c r="H234" i="4"/>
  <c r="F236" i="4"/>
  <c r="H236" i="4"/>
  <c r="F251" i="4"/>
  <c r="H251" i="4"/>
  <c r="G244" i="4"/>
  <c r="G247" i="4"/>
  <c r="G249" i="4"/>
  <c r="G253" i="4"/>
  <c r="G248" i="4"/>
  <c r="F252" i="4"/>
  <c r="H252" i="4"/>
  <c r="G255" i="4"/>
  <c r="F256" i="4"/>
  <c r="H256" i="4"/>
  <c r="F263" i="4"/>
  <c r="H263" i="4"/>
  <c r="G264" i="4"/>
  <c r="F239" i="4"/>
  <c r="H239" i="4"/>
  <c r="G240" i="4"/>
  <c r="F241" i="4"/>
  <c r="H241" i="4"/>
  <c r="G242" i="4"/>
  <c r="F243" i="4"/>
  <c r="H243" i="4"/>
  <c r="G246" i="4"/>
  <c r="F250" i="4"/>
  <c r="H250" i="4"/>
  <c r="G257" i="4"/>
  <c r="F259" i="4"/>
  <c r="H259" i="4"/>
  <c r="G260" i="4"/>
  <c r="F231" i="4"/>
  <c r="F233" i="4"/>
  <c r="F226" i="4"/>
  <c r="F235" i="4"/>
  <c r="H235" i="4"/>
  <c r="H226" i="4"/>
  <c r="G231" i="4"/>
  <c r="G233" i="4"/>
  <c r="G234" i="4"/>
  <c r="G236" i="4"/>
  <c r="G251" i="4"/>
  <c r="F244" i="4"/>
  <c r="H244" i="4"/>
  <c r="F247" i="4"/>
  <c r="H247" i="4"/>
  <c r="F249" i="4"/>
  <c r="H249" i="4"/>
  <c r="F253" i="4"/>
  <c r="H253" i="4"/>
  <c r="F248" i="4"/>
  <c r="H248" i="4"/>
  <c r="G252" i="4"/>
  <c r="F255" i="4"/>
  <c r="H255" i="4"/>
  <c r="G256" i="4"/>
  <c r="G263" i="4"/>
  <c r="F264" i="4"/>
  <c r="H264" i="4"/>
  <c r="G239" i="4"/>
  <c r="F240" i="4"/>
  <c r="H240" i="4"/>
  <c r="G241" i="4"/>
  <c r="F242" i="4"/>
  <c r="H242" i="4"/>
  <c r="G243" i="4"/>
  <c r="F246" i="4"/>
  <c r="H246" i="4"/>
  <c r="G250" i="4"/>
  <c r="F257" i="4"/>
  <c r="H257" i="4"/>
  <c r="G259" i="4"/>
  <c r="F260" i="4"/>
  <c r="H260" i="4"/>
  <c r="J265" i="4"/>
  <c r="J261" i="4"/>
  <c r="G226" i="4"/>
  <c r="G235" i="4"/>
  <c r="J245" i="4"/>
  <c r="J88" i="4"/>
  <c r="F213" i="4"/>
  <c r="H213" i="4"/>
  <c r="G213" i="4"/>
  <c r="J198" i="4"/>
  <c r="J135" i="4"/>
  <c r="J179" i="4"/>
  <c r="J156" i="4"/>
  <c r="J182" i="3"/>
  <c r="J266" i="4" l="1"/>
  <c r="J217" i="4"/>
  <c r="H205" i="4"/>
  <c r="G205" i="4"/>
  <c r="F205" i="4"/>
  <c r="D205" i="4"/>
  <c r="H196" i="4"/>
  <c r="G196" i="4"/>
  <c r="F196" i="4"/>
  <c r="D196" i="4"/>
  <c r="H192" i="4"/>
  <c r="G192" i="4"/>
  <c r="F192" i="4"/>
  <c r="D192" i="4"/>
  <c r="H174" i="4"/>
  <c r="G174" i="4"/>
  <c r="F174" i="4"/>
  <c r="D174" i="4"/>
  <c r="H163" i="4"/>
  <c r="G163" i="4"/>
  <c r="F163" i="4"/>
  <c r="D163" i="4"/>
  <c r="H153" i="4"/>
  <c r="G153" i="4"/>
  <c r="F153" i="4"/>
  <c r="D153" i="4"/>
  <c r="H143" i="4"/>
  <c r="G143" i="4"/>
  <c r="F143" i="4"/>
  <c r="D143" i="4"/>
  <c r="H130" i="4"/>
  <c r="G130" i="4"/>
  <c r="F130" i="4"/>
  <c r="D130" i="4"/>
  <c r="H120" i="4"/>
  <c r="G120" i="4"/>
  <c r="G135" i="4" s="1"/>
  <c r="F120" i="4"/>
  <c r="D120" i="4"/>
  <c r="H108" i="4"/>
  <c r="G108" i="4"/>
  <c r="F108" i="4"/>
  <c r="D108" i="4"/>
  <c r="H96" i="4"/>
  <c r="G96" i="4"/>
  <c r="F96" i="4"/>
  <c r="D96" i="4"/>
  <c r="H79" i="4"/>
  <c r="G79" i="4"/>
  <c r="F79" i="4"/>
  <c r="D79" i="4"/>
  <c r="H76" i="4"/>
  <c r="G76" i="4"/>
  <c r="F76" i="4"/>
  <c r="D76" i="4"/>
  <c r="H61" i="4"/>
  <c r="G61" i="4"/>
  <c r="F61" i="4"/>
  <c r="D61" i="4"/>
  <c r="H51" i="4"/>
  <c r="G51" i="4"/>
  <c r="F51" i="4"/>
  <c r="D51" i="4"/>
  <c r="H48" i="4"/>
  <c r="G48" i="4"/>
  <c r="F48" i="4"/>
  <c r="D48" i="4"/>
  <c r="H32" i="4"/>
  <c r="G32" i="4"/>
  <c r="F32" i="4"/>
  <c r="D32" i="4"/>
  <c r="H24" i="4"/>
  <c r="G24" i="4"/>
  <c r="F24" i="4"/>
  <c r="D24" i="4"/>
  <c r="D226" i="3"/>
  <c r="E226" i="3"/>
  <c r="F226" i="3"/>
  <c r="G226" i="3"/>
  <c r="H226" i="3"/>
  <c r="I226" i="3"/>
  <c r="K226" i="3"/>
  <c r="D227" i="3"/>
  <c r="E227" i="3"/>
  <c r="F227" i="3"/>
  <c r="G227" i="3"/>
  <c r="H227" i="3"/>
  <c r="I227" i="3"/>
  <c r="K227" i="3"/>
  <c r="D228" i="3"/>
  <c r="E228" i="3"/>
  <c r="F228" i="3"/>
  <c r="G228" i="3"/>
  <c r="H228" i="3"/>
  <c r="I228" i="3"/>
  <c r="K228" i="3"/>
  <c r="D229" i="3"/>
  <c r="E229" i="3"/>
  <c r="F229" i="3"/>
  <c r="G229" i="3"/>
  <c r="H229" i="3"/>
  <c r="I229" i="3"/>
  <c r="K229" i="3"/>
  <c r="D230" i="3"/>
  <c r="E230" i="3"/>
  <c r="F230" i="3"/>
  <c r="G230" i="3"/>
  <c r="H230" i="3"/>
  <c r="I230" i="3"/>
  <c r="K230" i="3"/>
  <c r="D231" i="3"/>
  <c r="E231" i="3"/>
  <c r="F231" i="3"/>
  <c r="G231" i="3"/>
  <c r="H231" i="3"/>
  <c r="I231" i="3"/>
  <c r="K231" i="3"/>
  <c r="D232" i="3"/>
  <c r="E232" i="3"/>
  <c r="F232" i="3"/>
  <c r="G232" i="3"/>
  <c r="H232" i="3"/>
  <c r="I232" i="3"/>
  <c r="K232" i="3"/>
  <c r="D233" i="3"/>
  <c r="E233" i="3"/>
  <c r="F233" i="3"/>
  <c r="G233" i="3"/>
  <c r="H233" i="3"/>
  <c r="I233" i="3"/>
  <c r="K233" i="3"/>
  <c r="D234" i="3"/>
  <c r="E234" i="3"/>
  <c r="F234" i="3"/>
  <c r="G234" i="3"/>
  <c r="H234" i="3"/>
  <c r="I234" i="3"/>
  <c r="K234" i="3"/>
  <c r="D235" i="3"/>
  <c r="E235" i="3"/>
  <c r="F235" i="3"/>
  <c r="G235" i="3"/>
  <c r="H235" i="3"/>
  <c r="I235" i="3"/>
  <c r="K235" i="3"/>
  <c r="D236" i="3"/>
  <c r="E236" i="3"/>
  <c r="F236" i="3"/>
  <c r="G236" i="3"/>
  <c r="H236" i="3"/>
  <c r="I236" i="3"/>
  <c r="K236" i="3"/>
  <c r="D237" i="3"/>
  <c r="E237" i="3"/>
  <c r="F237" i="3"/>
  <c r="G237" i="3"/>
  <c r="H237" i="3"/>
  <c r="I237" i="3"/>
  <c r="K237" i="3"/>
  <c r="D238" i="3"/>
  <c r="E238" i="3"/>
  <c r="F238" i="3"/>
  <c r="G238" i="3"/>
  <c r="H238" i="3"/>
  <c r="I238" i="3"/>
  <c r="K238" i="3"/>
  <c r="D239" i="3"/>
  <c r="E239" i="3"/>
  <c r="F239" i="3"/>
  <c r="G239" i="3"/>
  <c r="H239" i="3"/>
  <c r="I239" i="3"/>
  <c r="K239" i="3"/>
  <c r="D240" i="3"/>
  <c r="E240" i="3"/>
  <c r="F240" i="3"/>
  <c r="G240" i="3"/>
  <c r="H240" i="3"/>
  <c r="I240" i="3"/>
  <c r="K240" i="3"/>
  <c r="D241" i="3"/>
  <c r="E241" i="3"/>
  <c r="F241" i="3"/>
  <c r="G241" i="3"/>
  <c r="H241" i="3"/>
  <c r="I241" i="3"/>
  <c r="K241" i="3"/>
  <c r="D242" i="3"/>
  <c r="E242" i="3"/>
  <c r="F242" i="3"/>
  <c r="G242" i="3"/>
  <c r="H242" i="3"/>
  <c r="I242" i="3"/>
  <c r="K242" i="3"/>
  <c r="D243" i="3"/>
  <c r="E243" i="3"/>
  <c r="F243" i="3"/>
  <c r="G243" i="3"/>
  <c r="H243" i="3"/>
  <c r="I243" i="3"/>
  <c r="K243" i="3"/>
  <c r="D246" i="3"/>
  <c r="E246" i="3"/>
  <c r="F246" i="3"/>
  <c r="G246" i="3"/>
  <c r="H246" i="3"/>
  <c r="I246" i="3"/>
  <c r="K246" i="3"/>
  <c r="D247" i="3"/>
  <c r="E247" i="3"/>
  <c r="F247" i="3"/>
  <c r="G247" i="3"/>
  <c r="H247" i="3"/>
  <c r="I247" i="3"/>
  <c r="K247" i="3"/>
  <c r="D249" i="3"/>
  <c r="E249" i="3"/>
  <c r="F249" i="3"/>
  <c r="G249" i="3"/>
  <c r="H249" i="3"/>
  <c r="I249" i="3"/>
  <c r="K249" i="3"/>
  <c r="D250" i="3"/>
  <c r="E250" i="3"/>
  <c r="F250" i="3"/>
  <c r="G250" i="3"/>
  <c r="H250" i="3"/>
  <c r="I250" i="3"/>
  <c r="K250" i="3"/>
  <c r="D251" i="3"/>
  <c r="E251" i="3"/>
  <c r="F251" i="3"/>
  <c r="G251" i="3"/>
  <c r="H251" i="3"/>
  <c r="I251" i="3"/>
  <c r="K251" i="3"/>
  <c r="D252" i="3"/>
  <c r="E252" i="3"/>
  <c r="F252" i="3"/>
  <c r="G252" i="3"/>
  <c r="H252" i="3"/>
  <c r="I252" i="3"/>
  <c r="K252" i="3"/>
  <c r="D254" i="3"/>
  <c r="E254" i="3"/>
  <c r="F254" i="3"/>
  <c r="G254" i="3"/>
  <c r="H254" i="3"/>
  <c r="I254" i="3"/>
  <c r="K254" i="3"/>
  <c r="D255" i="3"/>
  <c r="E255" i="3"/>
  <c r="F255" i="3"/>
  <c r="G255" i="3"/>
  <c r="H255" i="3"/>
  <c r="I255" i="3"/>
  <c r="K255" i="3"/>
  <c r="D256" i="3"/>
  <c r="E256" i="3"/>
  <c r="F256" i="3"/>
  <c r="G256" i="3"/>
  <c r="H256" i="3"/>
  <c r="I256" i="3"/>
  <c r="K256" i="3"/>
  <c r="D257" i="3"/>
  <c r="E257" i="3"/>
  <c r="F257" i="3"/>
  <c r="G257" i="3"/>
  <c r="H257" i="3"/>
  <c r="I257" i="3"/>
  <c r="K257" i="3"/>
  <c r="D258" i="3"/>
  <c r="E258" i="3"/>
  <c r="F258" i="3"/>
  <c r="G258" i="3"/>
  <c r="H258" i="3"/>
  <c r="I258" i="3"/>
  <c r="K258" i="3"/>
  <c r="D259" i="3"/>
  <c r="E259" i="3"/>
  <c r="F259" i="3"/>
  <c r="G259" i="3"/>
  <c r="H259" i="3"/>
  <c r="I259" i="3"/>
  <c r="K259" i="3"/>
  <c r="D260" i="3"/>
  <c r="E260" i="3"/>
  <c r="F260" i="3"/>
  <c r="G260" i="3"/>
  <c r="H260" i="3"/>
  <c r="I260" i="3"/>
  <c r="K260" i="3"/>
  <c r="E261" i="3"/>
  <c r="D263" i="3"/>
  <c r="E263" i="3"/>
  <c r="F263" i="3"/>
  <c r="G263" i="3"/>
  <c r="H263" i="3"/>
  <c r="I263" i="3"/>
  <c r="K263" i="3"/>
  <c r="D264" i="3"/>
  <c r="E264" i="3"/>
  <c r="F264" i="3"/>
  <c r="G264" i="3"/>
  <c r="H264" i="3"/>
  <c r="I264" i="3"/>
  <c r="K264" i="3"/>
  <c r="E265" i="3"/>
  <c r="E24" i="3"/>
  <c r="F24" i="3"/>
  <c r="G24" i="3"/>
  <c r="H24" i="3"/>
  <c r="I24" i="3"/>
  <c r="K24" i="3"/>
  <c r="E210" i="2"/>
  <c r="F210" i="2"/>
  <c r="G210" i="2"/>
  <c r="H210" i="2"/>
  <c r="I210" i="2"/>
  <c r="K210" i="2"/>
  <c r="E204" i="2"/>
  <c r="E213" i="2" s="1"/>
  <c r="F204" i="2"/>
  <c r="G204" i="2"/>
  <c r="H204" i="2"/>
  <c r="H213" i="2" s="1"/>
  <c r="I204" i="2"/>
  <c r="I213" i="2" s="1"/>
  <c r="K204" i="2"/>
  <c r="E195" i="2"/>
  <c r="F195" i="2"/>
  <c r="G195" i="2"/>
  <c r="H195" i="2"/>
  <c r="I195" i="2"/>
  <c r="K195" i="2"/>
  <c r="E191" i="2"/>
  <c r="F191" i="2"/>
  <c r="G191" i="2"/>
  <c r="H191" i="2"/>
  <c r="I191" i="2"/>
  <c r="K191" i="2"/>
  <c r="E181" i="2"/>
  <c r="F181" i="2"/>
  <c r="F197" i="2" s="1"/>
  <c r="G181" i="2"/>
  <c r="G197" i="2" s="1"/>
  <c r="H181" i="2"/>
  <c r="I181" i="2"/>
  <c r="K181" i="2"/>
  <c r="K197" i="2" s="1"/>
  <c r="E174" i="2"/>
  <c r="F174" i="2"/>
  <c r="G174" i="2"/>
  <c r="H174" i="2"/>
  <c r="I174" i="2"/>
  <c r="K174" i="2"/>
  <c r="E163" i="2"/>
  <c r="F163" i="2"/>
  <c r="F179" i="2" s="1"/>
  <c r="G163" i="2"/>
  <c r="G179" i="2" s="1"/>
  <c r="H163" i="2"/>
  <c r="I163" i="2"/>
  <c r="K163" i="2"/>
  <c r="K179" i="2" s="1"/>
  <c r="E153" i="2"/>
  <c r="F153" i="2"/>
  <c r="G153" i="2"/>
  <c r="H153" i="2"/>
  <c r="I153" i="2"/>
  <c r="K153" i="2"/>
  <c r="E143" i="2"/>
  <c r="F143" i="2"/>
  <c r="F156" i="2" s="1"/>
  <c r="G143" i="2"/>
  <c r="G156" i="2" s="1"/>
  <c r="H143" i="2"/>
  <c r="I143" i="2"/>
  <c r="K143" i="2"/>
  <c r="K156" i="2" s="1"/>
  <c r="E130" i="2"/>
  <c r="F130" i="2"/>
  <c r="G130" i="2"/>
  <c r="H130" i="2"/>
  <c r="I130" i="2"/>
  <c r="E120" i="2"/>
  <c r="E113" i="2"/>
  <c r="E88" i="2"/>
  <c r="E24" i="2"/>
  <c r="G24" i="2"/>
  <c r="H24" i="2"/>
  <c r="I24" i="2"/>
  <c r="K24" i="2"/>
  <c r="J215" i="3"/>
  <c r="J214" i="3"/>
  <c r="J212" i="3"/>
  <c r="J211" i="3"/>
  <c r="J210" i="3"/>
  <c r="J208" i="3"/>
  <c r="J206" i="3"/>
  <c r="K205" i="3"/>
  <c r="I205" i="3"/>
  <c r="H205" i="3"/>
  <c r="G205" i="3"/>
  <c r="F205" i="3"/>
  <c r="D205" i="3"/>
  <c r="J204" i="3"/>
  <c r="J203" i="3"/>
  <c r="J202" i="3"/>
  <c r="J201" i="3"/>
  <c r="J200" i="3"/>
  <c r="J199" i="3"/>
  <c r="I199" i="4" s="1"/>
  <c r="E199" i="4" s="1"/>
  <c r="J197" i="3"/>
  <c r="J262" i="3" s="1"/>
  <c r="K196" i="3"/>
  <c r="I196" i="3"/>
  <c r="H196" i="3"/>
  <c r="G196" i="3"/>
  <c r="F196" i="3"/>
  <c r="D196" i="3"/>
  <c r="J195" i="3"/>
  <c r="J194" i="3"/>
  <c r="J193" i="3"/>
  <c r="I193" i="4" s="1"/>
  <c r="E193" i="4" s="1"/>
  <c r="K192" i="3"/>
  <c r="I192" i="3"/>
  <c r="H192" i="3"/>
  <c r="G192" i="3"/>
  <c r="F192" i="3"/>
  <c r="D192" i="3"/>
  <c r="J191" i="3"/>
  <c r="J190" i="3"/>
  <c r="J189" i="3"/>
  <c r="J188" i="3"/>
  <c r="J187" i="3"/>
  <c r="J186" i="3"/>
  <c r="J185" i="3"/>
  <c r="J184" i="3"/>
  <c r="J183" i="3"/>
  <c r="J180" i="3"/>
  <c r="J178" i="3"/>
  <c r="J177" i="3"/>
  <c r="J176" i="3"/>
  <c r="J175" i="3"/>
  <c r="K174" i="3"/>
  <c r="I174" i="3"/>
  <c r="H174" i="3"/>
  <c r="G174" i="3"/>
  <c r="F174" i="3"/>
  <c r="D174" i="3"/>
  <c r="J173" i="3"/>
  <c r="J172" i="3"/>
  <c r="J171" i="3"/>
  <c r="J170" i="3"/>
  <c r="J169" i="3"/>
  <c r="J168" i="3"/>
  <c r="J167" i="3"/>
  <c r="J166" i="3"/>
  <c r="J165" i="3"/>
  <c r="J164" i="3"/>
  <c r="K163" i="3"/>
  <c r="I163" i="3"/>
  <c r="I179" i="3" s="1"/>
  <c r="H163" i="3"/>
  <c r="H179" i="3" s="1"/>
  <c r="G163" i="3"/>
  <c r="G179" i="3" s="1"/>
  <c r="F163" i="3"/>
  <c r="F179" i="3" s="1"/>
  <c r="D163" i="3"/>
  <c r="D179" i="3" s="1"/>
  <c r="J162" i="3"/>
  <c r="J161" i="3"/>
  <c r="J160" i="3"/>
  <c r="J159" i="3"/>
  <c r="J158" i="3"/>
  <c r="J157" i="3"/>
  <c r="J155" i="3"/>
  <c r="J154" i="3"/>
  <c r="K153" i="3"/>
  <c r="I153" i="3"/>
  <c r="H153" i="3"/>
  <c r="G153" i="3"/>
  <c r="F153" i="3"/>
  <c r="D153" i="3"/>
  <c r="J152" i="3"/>
  <c r="I152" i="4" s="1"/>
  <c r="E152" i="4" s="1"/>
  <c r="J151" i="3"/>
  <c r="I151" i="4" s="1"/>
  <c r="E151" i="4" s="1"/>
  <c r="J150" i="3"/>
  <c r="I150" i="4" s="1"/>
  <c r="E150" i="4" s="1"/>
  <c r="J149" i="3"/>
  <c r="I149" i="4" s="1"/>
  <c r="E149" i="4" s="1"/>
  <c r="J148" i="3"/>
  <c r="I148" i="4" s="1"/>
  <c r="E148" i="4" s="1"/>
  <c r="J147" i="3"/>
  <c r="I147" i="4" s="1"/>
  <c r="E147" i="4" s="1"/>
  <c r="J146" i="3"/>
  <c r="I146" i="4" s="1"/>
  <c r="E146" i="4" s="1"/>
  <c r="J145" i="3"/>
  <c r="I145" i="4" s="1"/>
  <c r="E145" i="4" s="1"/>
  <c r="J144" i="3"/>
  <c r="I144" i="4" s="1"/>
  <c r="E144" i="4" s="1"/>
  <c r="K143" i="3"/>
  <c r="I143" i="3"/>
  <c r="H143" i="3"/>
  <c r="G143" i="3"/>
  <c r="F143" i="3"/>
  <c r="D143" i="3"/>
  <c r="J142" i="3"/>
  <c r="J141" i="3"/>
  <c r="J140" i="3"/>
  <c r="J139" i="3"/>
  <c r="J138" i="3"/>
  <c r="J137" i="3"/>
  <c r="J136" i="3"/>
  <c r="I136" i="4" s="1"/>
  <c r="E136" i="4" s="1"/>
  <c r="J134" i="3"/>
  <c r="J133" i="3"/>
  <c r="J132" i="3"/>
  <c r="J131" i="3"/>
  <c r="K130" i="3"/>
  <c r="I130" i="3"/>
  <c r="H130" i="3"/>
  <c r="G130" i="3"/>
  <c r="F130" i="3"/>
  <c r="D130" i="3"/>
  <c r="J129" i="3"/>
  <c r="I129" i="4" s="1"/>
  <c r="E129" i="4" s="1"/>
  <c r="J128" i="3"/>
  <c r="I128" i="4" s="1"/>
  <c r="E128" i="4" s="1"/>
  <c r="J127" i="3"/>
  <c r="I127" i="4" s="1"/>
  <c r="E127" i="4" s="1"/>
  <c r="J126" i="3"/>
  <c r="I126" i="4" s="1"/>
  <c r="E126" i="4" s="1"/>
  <c r="J125" i="3"/>
  <c r="I125" i="4" s="1"/>
  <c r="E125" i="4" s="1"/>
  <c r="J124" i="3"/>
  <c r="I124" i="4" s="1"/>
  <c r="E124" i="4" s="1"/>
  <c r="J123" i="3"/>
  <c r="I123" i="4" s="1"/>
  <c r="E123" i="4" s="1"/>
  <c r="J122" i="3"/>
  <c r="I122" i="4" s="1"/>
  <c r="E122" i="4" s="1"/>
  <c r="J121" i="3"/>
  <c r="I121" i="4" s="1"/>
  <c r="E121" i="4" s="1"/>
  <c r="K120" i="3"/>
  <c r="I120" i="3"/>
  <c r="H120" i="3"/>
  <c r="G120" i="3"/>
  <c r="F120" i="3"/>
  <c r="D120" i="3"/>
  <c r="J119" i="3"/>
  <c r="J118" i="3"/>
  <c r="J117" i="3"/>
  <c r="J116" i="3"/>
  <c r="J115" i="3"/>
  <c r="J114" i="3"/>
  <c r="I114" i="4" s="1"/>
  <c r="E114" i="4" s="1"/>
  <c r="J112" i="3"/>
  <c r="J111" i="3"/>
  <c r="J110" i="3"/>
  <c r="J109" i="3"/>
  <c r="K108" i="3"/>
  <c r="I108" i="3"/>
  <c r="H108" i="3"/>
  <c r="G108" i="3"/>
  <c r="F108" i="3"/>
  <c r="D108" i="3"/>
  <c r="J107" i="3"/>
  <c r="J106" i="3"/>
  <c r="J105" i="3"/>
  <c r="J104" i="3"/>
  <c r="J103" i="3"/>
  <c r="J102" i="3"/>
  <c r="J101" i="3"/>
  <c r="J100" i="3"/>
  <c r="J99" i="3"/>
  <c r="J98" i="3"/>
  <c r="I98" i="4" s="1"/>
  <c r="E98" i="4" s="1"/>
  <c r="J97" i="3"/>
  <c r="K96" i="3"/>
  <c r="I96" i="3"/>
  <c r="H96" i="3"/>
  <c r="G96" i="3"/>
  <c r="F96" i="3"/>
  <c r="D96" i="3"/>
  <c r="J95" i="3"/>
  <c r="J94" i="3"/>
  <c r="J93" i="3"/>
  <c r="J92" i="3"/>
  <c r="J91" i="3"/>
  <c r="J90" i="3"/>
  <c r="J89" i="3"/>
  <c r="I89" i="4" s="1"/>
  <c r="J87" i="3"/>
  <c r="J86" i="3"/>
  <c r="J85" i="3"/>
  <c r="J84" i="3"/>
  <c r="J83" i="3"/>
  <c r="J82" i="3"/>
  <c r="J81" i="3"/>
  <c r="J80" i="3"/>
  <c r="K79" i="3"/>
  <c r="I79" i="3"/>
  <c r="H79" i="3"/>
  <c r="G79" i="3"/>
  <c r="F79" i="3"/>
  <c r="D79" i="3"/>
  <c r="J78" i="3"/>
  <c r="J77" i="3"/>
  <c r="I77" i="4" s="1"/>
  <c r="E77" i="4" s="1"/>
  <c r="K76" i="3"/>
  <c r="I76" i="3"/>
  <c r="H76" i="3"/>
  <c r="G76" i="3"/>
  <c r="F76" i="3"/>
  <c r="D76" i="3"/>
  <c r="J75" i="3"/>
  <c r="J74" i="3"/>
  <c r="J73" i="3"/>
  <c r="J72" i="3"/>
  <c r="J71" i="3"/>
  <c r="J70" i="3"/>
  <c r="J69" i="3"/>
  <c r="J68" i="3"/>
  <c r="J67" i="3"/>
  <c r="J66" i="3"/>
  <c r="J65" i="3"/>
  <c r="J64" i="3"/>
  <c r="J63" i="3"/>
  <c r="I63" i="4" s="1"/>
  <c r="E63" i="4" s="1"/>
  <c r="J62" i="3"/>
  <c r="K61" i="3"/>
  <c r="I61" i="3"/>
  <c r="H61" i="3"/>
  <c r="G61" i="3"/>
  <c r="F61" i="3"/>
  <c r="D61" i="3"/>
  <c r="J60" i="3"/>
  <c r="J59" i="3"/>
  <c r="J58" i="3"/>
  <c r="J57" i="3"/>
  <c r="J56" i="3"/>
  <c r="J55" i="3"/>
  <c r="J54" i="3"/>
  <c r="J53" i="3"/>
  <c r="J52" i="3"/>
  <c r="K51" i="3"/>
  <c r="I51" i="3"/>
  <c r="H51" i="3"/>
  <c r="G51" i="3"/>
  <c r="F51" i="3"/>
  <c r="D51" i="3"/>
  <c r="J50" i="3"/>
  <c r="J49" i="3"/>
  <c r="I49" i="4" s="1"/>
  <c r="E49" i="4" s="1"/>
  <c r="K48" i="3"/>
  <c r="I48" i="3"/>
  <c r="H48" i="3"/>
  <c r="G48" i="3"/>
  <c r="F48" i="3"/>
  <c r="D48" i="3"/>
  <c r="J47" i="3"/>
  <c r="J46" i="3"/>
  <c r="J45" i="3"/>
  <c r="J44" i="3"/>
  <c r="J43" i="3"/>
  <c r="J42" i="3"/>
  <c r="J41" i="3"/>
  <c r="J40" i="3"/>
  <c r="J39" i="3"/>
  <c r="J38" i="3"/>
  <c r="J37" i="3"/>
  <c r="J36" i="3"/>
  <c r="J35" i="3"/>
  <c r="J34" i="3"/>
  <c r="I34" i="4" s="1"/>
  <c r="E34" i="4" s="1"/>
  <c r="J33" i="3"/>
  <c r="K32" i="3"/>
  <c r="I32" i="3"/>
  <c r="H32" i="3"/>
  <c r="G32" i="3"/>
  <c r="F32" i="3"/>
  <c r="D32" i="3"/>
  <c r="J31" i="3"/>
  <c r="L31" i="3" s="1"/>
  <c r="J30" i="3"/>
  <c r="L30" i="3" s="1"/>
  <c r="J29" i="3"/>
  <c r="L29" i="3" s="1"/>
  <c r="J28" i="3"/>
  <c r="L28" i="3" s="1"/>
  <c r="J27" i="3"/>
  <c r="L27" i="3" s="1"/>
  <c r="J26" i="3"/>
  <c r="L26" i="3" s="1"/>
  <c r="J25" i="3"/>
  <c r="L25" i="3" s="1"/>
  <c r="D24" i="3"/>
  <c r="J23" i="3"/>
  <c r="I23" i="4" s="1"/>
  <c r="J22" i="3"/>
  <c r="I22" i="4" s="1"/>
  <c r="J21" i="3"/>
  <c r="I21" i="4" s="1"/>
  <c r="J20" i="3"/>
  <c r="I20" i="4" s="1"/>
  <c r="J19" i="3"/>
  <c r="I19" i="4" s="1"/>
  <c r="J18" i="3"/>
  <c r="I18" i="4" s="1"/>
  <c r="J17" i="3"/>
  <c r="I17" i="4" s="1"/>
  <c r="J16" i="3"/>
  <c r="I16" i="4" s="1"/>
  <c r="J15" i="3"/>
  <c r="I15" i="4" s="1"/>
  <c r="J14" i="3"/>
  <c r="I14" i="4" s="1"/>
  <c r="J13" i="3"/>
  <c r="I13" i="4" s="1"/>
  <c r="J12" i="3"/>
  <c r="I12" i="4" s="1"/>
  <c r="J11" i="3"/>
  <c r="I11" i="4" s="1"/>
  <c r="J9" i="3"/>
  <c r="I9" i="4" s="1"/>
  <c r="I230" i="4" s="1"/>
  <c r="J8" i="3"/>
  <c r="I8" i="4" s="1"/>
  <c r="I229" i="4" s="1"/>
  <c r="J7" i="3"/>
  <c r="J6" i="3"/>
  <c r="J5" i="3"/>
  <c r="I231" i="4" l="1"/>
  <c r="I156" i="2"/>
  <c r="E156" i="2"/>
  <c r="I179" i="2"/>
  <c r="E179" i="2"/>
  <c r="I197" i="2"/>
  <c r="E197" i="2"/>
  <c r="G213" i="2"/>
  <c r="E135" i="2"/>
  <c r="H156" i="2"/>
  <c r="H179" i="2"/>
  <c r="H197" i="2"/>
  <c r="K213" i="2"/>
  <c r="F213" i="2"/>
  <c r="J227" i="3"/>
  <c r="I6" i="4"/>
  <c r="I227" i="4" s="1"/>
  <c r="J228" i="3"/>
  <c r="I7" i="4"/>
  <c r="I228" i="4" s="1"/>
  <c r="G261" i="4"/>
  <c r="F261" i="4"/>
  <c r="H261" i="4"/>
  <c r="F265" i="4"/>
  <c r="H265" i="4"/>
  <c r="F245" i="4"/>
  <c r="H245" i="4"/>
  <c r="G265" i="4"/>
  <c r="G245" i="4"/>
  <c r="J226" i="3"/>
  <c r="I5" i="4"/>
  <c r="D261" i="4"/>
  <c r="D265" i="4"/>
  <c r="D245" i="4"/>
  <c r="K179" i="3"/>
  <c r="E23" i="4"/>
  <c r="E89" i="4"/>
  <c r="D261" i="3"/>
  <c r="I261" i="3"/>
  <c r="D135" i="3"/>
  <c r="G135" i="3"/>
  <c r="I135" i="3"/>
  <c r="D156" i="3"/>
  <c r="G156" i="3"/>
  <c r="I156" i="3"/>
  <c r="H261" i="3"/>
  <c r="J213" i="3"/>
  <c r="E266" i="3"/>
  <c r="K261" i="3"/>
  <c r="D265" i="3"/>
  <c r="G265" i="3"/>
  <c r="I265" i="3"/>
  <c r="F245" i="3"/>
  <c r="H245" i="3"/>
  <c r="K245" i="3"/>
  <c r="L215" i="3"/>
  <c r="I215" i="4"/>
  <c r="E215" i="4" s="1"/>
  <c r="K265" i="3"/>
  <c r="D113" i="3"/>
  <c r="G113" i="3"/>
  <c r="I113" i="3"/>
  <c r="K135" i="3"/>
  <c r="K156" i="3"/>
  <c r="F265" i="3"/>
  <c r="H265" i="3"/>
  <c r="D245" i="3"/>
  <c r="G245" i="3"/>
  <c r="I245" i="3"/>
  <c r="L214" i="3"/>
  <c r="I214" i="4"/>
  <c r="E214" i="4" s="1"/>
  <c r="J248" i="3"/>
  <c r="J244" i="3"/>
  <c r="L197" i="3"/>
  <c r="I197" i="4"/>
  <c r="I262" i="4" s="1"/>
  <c r="G261" i="3"/>
  <c r="I29" i="4"/>
  <c r="E29" i="4" s="1"/>
  <c r="J253" i="3"/>
  <c r="I27" i="4"/>
  <c r="E27" i="4" s="1"/>
  <c r="E130" i="4"/>
  <c r="E153" i="4"/>
  <c r="J230" i="3"/>
  <c r="L12" i="3"/>
  <c r="E12" i="4"/>
  <c r="L14" i="3"/>
  <c r="E14" i="4"/>
  <c r="L16" i="3"/>
  <c r="E16" i="4"/>
  <c r="L18" i="3"/>
  <c r="E18" i="4"/>
  <c r="L20" i="3"/>
  <c r="E20" i="4"/>
  <c r="L22" i="3"/>
  <c r="E22" i="4"/>
  <c r="L33" i="3"/>
  <c r="I33" i="4"/>
  <c r="E33" i="4" s="1"/>
  <c r="L35" i="3"/>
  <c r="I35" i="4"/>
  <c r="E35" i="4" s="1"/>
  <c r="L37" i="3"/>
  <c r="I37" i="4"/>
  <c r="E37" i="4" s="1"/>
  <c r="L39" i="3"/>
  <c r="I39" i="4"/>
  <c r="E39" i="4" s="1"/>
  <c r="J254" i="3"/>
  <c r="I41" i="4"/>
  <c r="I254" i="4" s="1"/>
  <c r="L43" i="3"/>
  <c r="I43" i="4"/>
  <c r="E43" i="4" s="1"/>
  <c r="L45" i="3"/>
  <c r="I45" i="4"/>
  <c r="L50" i="3"/>
  <c r="I50" i="4"/>
  <c r="L53" i="3"/>
  <c r="I53" i="4"/>
  <c r="I237" i="4" s="1"/>
  <c r="L55" i="3"/>
  <c r="I55" i="4"/>
  <c r="E55" i="4" s="1"/>
  <c r="L57" i="3"/>
  <c r="I57" i="4"/>
  <c r="E57" i="4" s="1"/>
  <c r="L59" i="3"/>
  <c r="I59" i="4"/>
  <c r="E59" i="4" s="1"/>
  <c r="L62" i="3"/>
  <c r="I62" i="4"/>
  <c r="E62" i="4" s="1"/>
  <c r="L64" i="3"/>
  <c r="I64" i="4"/>
  <c r="L66" i="3"/>
  <c r="I66" i="4"/>
  <c r="E66" i="4" s="1"/>
  <c r="L68" i="3"/>
  <c r="I68" i="4"/>
  <c r="E68" i="4" s="1"/>
  <c r="L70" i="3"/>
  <c r="I70" i="4"/>
  <c r="E70" i="4" s="1"/>
  <c r="L72" i="3"/>
  <c r="I72" i="4"/>
  <c r="E72" i="4" s="1"/>
  <c r="L74" i="3"/>
  <c r="I74" i="4"/>
  <c r="E74" i="4" s="1"/>
  <c r="L80" i="3"/>
  <c r="I80" i="4"/>
  <c r="E80" i="4" s="1"/>
  <c r="L82" i="3"/>
  <c r="I82" i="4"/>
  <c r="E82" i="4" s="1"/>
  <c r="L84" i="3"/>
  <c r="I84" i="4"/>
  <c r="E84" i="4" s="1"/>
  <c r="L86" i="3"/>
  <c r="I86" i="4"/>
  <c r="E86" i="4" s="1"/>
  <c r="L91" i="3"/>
  <c r="I91" i="4"/>
  <c r="E91" i="4" s="1"/>
  <c r="L93" i="3"/>
  <c r="I93" i="4"/>
  <c r="E93" i="4" s="1"/>
  <c r="L95" i="3"/>
  <c r="I95" i="4"/>
  <c r="E95" i="4" s="1"/>
  <c r="L100" i="3"/>
  <c r="I100" i="4"/>
  <c r="E100" i="4" s="1"/>
  <c r="L102" i="3"/>
  <c r="I102" i="4"/>
  <c r="L104" i="3"/>
  <c r="I104" i="4"/>
  <c r="E104" i="4" s="1"/>
  <c r="L106" i="3"/>
  <c r="I106" i="4"/>
  <c r="E106" i="4" s="1"/>
  <c r="L109" i="3"/>
  <c r="I109" i="4"/>
  <c r="E109" i="4" s="1"/>
  <c r="L111" i="3"/>
  <c r="I111" i="4"/>
  <c r="E111" i="4" s="1"/>
  <c r="L116" i="3"/>
  <c r="I116" i="4"/>
  <c r="E116" i="4" s="1"/>
  <c r="L118" i="3"/>
  <c r="I118" i="4"/>
  <c r="E118" i="4" s="1"/>
  <c r="L132" i="3"/>
  <c r="I132" i="4"/>
  <c r="E132" i="4" s="1"/>
  <c r="L134" i="3"/>
  <c r="I134" i="4"/>
  <c r="E134" i="4" s="1"/>
  <c r="L137" i="3"/>
  <c r="I137" i="4"/>
  <c r="L139" i="3"/>
  <c r="I139" i="4"/>
  <c r="E139" i="4" s="1"/>
  <c r="L141" i="3"/>
  <c r="I141" i="4"/>
  <c r="E141" i="4" s="1"/>
  <c r="L155" i="3"/>
  <c r="I155" i="4"/>
  <c r="E155" i="4" s="1"/>
  <c r="L158" i="3"/>
  <c r="I158" i="4"/>
  <c r="E158" i="4" s="1"/>
  <c r="L160" i="3"/>
  <c r="I160" i="4"/>
  <c r="E160" i="4" s="1"/>
  <c r="L162" i="3"/>
  <c r="I162" i="4"/>
  <c r="J247" i="3"/>
  <c r="I165" i="4"/>
  <c r="I247" i="4" s="1"/>
  <c r="L167" i="3"/>
  <c r="I167" i="4"/>
  <c r="L169" i="3"/>
  <c r="I169" i="4"/>
  <c r="L171" i="3"/>
  <c r="I171" i="4"/>
  <c r="E171" i="4" s="1"/>
  <c r="L173" i="3"/>
  <c r="I173" i="4"/>
  <c r="E173" i="4" s="1"/>
  <c r="L176" i="3"/>
  <c r="I176" i="4"/>
  <c r="E176" i="4" s="1"/>
  <c r="L178" i="3"/>
  <c r="I178" i="4"/>
  <c r="E178" i="4" s="1"/>
  <c r="L183" i="3"/>
  <c r="I183" i="4"/>
  <c r="E183" i="4" s="1"/>
  <c r="L185" i="3"/>
  <c r="I185" i="4"/>
  <c r="I252" i="4" s="1"/>
  <c r="L187" i="3"/>
  <c r="I187" i="4"/>
  <c r="L189" i="3"/>
  <c r="I189" i="4"/>
  <c r="E189" i="4" s="1"/>
  <c r="L191" i="3"/>
  <c r="I191" i="4"/>
  <c r="E191" i="4" s="1"/>
  <c r="L194" i="3"/>
  <c r="I194" i="4"/>
  <c r="I263" i="4" s="1"/>
  <c r="L200" i="3"/>
  <c r="I200" i="4"/>
  <c r="L202" i="3"/>
  <c r="I202" i="4"/>
  <c r="L204" i="3"/>
  <c r="I204" i="4"/>
  <c r="J250" i="3"/>
  <c r="I208" i="4"/>
  <c r="I130" i="4"/>
  <c r="I153" i="4"/>
  <c r="J229" i="3"/>
  <c r="L11" i="3"/>
  <c r="E11" i="4"/>
  <c r="L13" i="3"/>
  <c r="L15" i="3"/>
  <c r="E15" i="4"/>
  <c r="L17" i="3"/>
  <c r="E17" i="4"/>
  <c r="L19" i="3"/>
  <c r="E19" i="4"/>
  <c r="L21" i="3"/>
  <c r="E21" i="4"/>
  <c r="L32" i="3"/>
  <c r="L36" i="3"/>
  <c r="I36" i="4"/>
  <c r="E36" i="4" s="1"/>
  <c r="L38" i="3"/>
  <c r="I38" i="4"/>
  <c r="E38" i="4" s="1"/>
  <c r="L42" i="3"/>
  <c r="I42" i="4"/>
  <c r="E42" i="4" s="1"/>
  <c r="L44" i="3"/>
  <c r="I44" i="4"/>
  <c r="E44" i="4" s="1"/>
  <c r="L46" i="3"/>
  <c r="I46" i="4"/>
  <c r="E46" i="4" s="1"/>
  <c r="J61" i="3"/>
  <c r="I52" i="4"/>
  <c r="L54" i="3"/>
  <c r="I54" i="4"/>
  <c r="I238" i="4" s="1"/>
  <c r="L56" i="3"/>
  <c r="I56" i="4"/>
  <c r="E56" i="4" s="1"/>
  <c r="L58" i="3"/>
  <c r="I58" i="4"/>
  <c r="E58" i="4" s="1"/>
  <c r="L60" i="3"/>
  <c r="I60" i="4"/>
  <c r="E60" i="4" s="1"/>
  <c r="L65" i="3"/>
  <c r="I65" i="4"/>
  <c r="E65" i="4" s="1"/>
  <c r="L67" i="3"/>
  <c r="I67" i="4"/>
  <c r="E67" i="4" s="1"/>
  <c r="L69" i="3"/>
  <c r="I69" i="4"/>
  <c r="E69" i="4" s="1"/>
  <c r="L71" i="3"/>
  <c r="I71" i="4"/>
  <c r="E71" i="4" s="1"/>
  <c r="L73" i="3"/>
  <c r="I73" i="4"/>
  <c r="E73" i="4" s="1"/>
  <c r="L75" i="3"/>
  <c r="I75" i="4"/>
  <c r="E75" i="4" s="1"/>
  <c r="L78" i="3"/>
  <c r="I78" i="4"/>
  <c r="E78" i="4" s="1"/>
  <c r="E79" i="4" s="1"/>
  <c r="L81" i="3"/>
  <c r="I81" i="4"/>
  <c r="E81" i="4" s="1"/>
  <c r="L83" i="3"/>
  <c r="I83" i="4"/>
  <c r="E83" i="4" s="1"/>
  <c r="L85" i="3"/>
  <c r="I85" i="4"/>
  <c r="E85" i="4" s="1"/>
  <c r="L87" i="3"/>
  <c r="I87" i="4"/>
  <c r="E87" i="4" s="1"/>
  <c r="L90" i="3"/>
  <c r="I90" i="4"/>
  <c r="E90" i="4" s="1"/>
  <c r="L92" i="3"/>
  <c r="I92" i="4"/>
  <c r="E92" i="4" s="1"/>
  <c r="L94" i="3"/>
  <c r="I94" i="4"/>
  <c r="E94" i="4" s="1"/>
  <c r="L97" i="3"/>
  <c r="I97" i="4"/>
  <c r="E97" i="4" s="1"/>
  <c r="L99" i="3"/>
  <c r="I99" i="4"/>
  <c r="E99" i="4" s="1"/>
  <c r="L101" i="3"/>
  <c r="I101" i="4"/>
  <c r="E101" i="4" s="1"/>
  <c r="L103" i="3"/>
  <c r="I103" i="4"/>
  <c r="E103" i="4" s="1"/>
  <c r="L105" i="3"/>
  <c r="I105" i="4"/>
  <c r="E105" i="4" s="1"/>
  <c r="L107" i="3"/>
  <c r="I107" i="4"/>
  <c r="E107" i="4" s="1"/>
  <c r="L110" i="3"/>
  <c r="I110" i="4"/>
  <c r="E110" i="4" s="1"/>
  <c r="L112" i="3"/>
  <c r="I112" i="4"/>
  <c r="E112" i="4" s="1"/>
  <c r="L115" i="3"/>
  <c r="I115" i="4"/>
  <c r="E115" i="4" s="1"/>
  <c r="L117" i="3"/>
  <c r="I117" i="4"/>
  <c r="E117" i="4" s="1"/>
  <c r="L119" i="3"/>
  <c r="I119" i="4"/>
  <c r="E119" i="4" s="1"/>
  <c r="L121" i="3"/>
  <c r="L122" i="3"/>
  <c r="L123" i="3"/>
  <c r="L124" i="3"/>
  <c r="L125" i="3"/>
  <c r="L126" i="3"/>
  <c r="L127" i="3"/>
  <c r="L128" i="3"/>
  <c r="L129" i="3"/>
  <c r="J130" i="3"/>
  <c r="L131" i="3"/>
  <c r="I131" i="4"/>
  <c r="E131" i="4" s="1"/>
  <c r="L133" i="3"/>
  <c r="I133" i="4"/>
  <c r="E133" i="4" s="1"/>
  <c r="L138" i="3"/>
  <c r="I138" i="4"/>
  <c r="E138" i="4" s="1"/>
  <c r="L140" i="3"/>
  <c r="I140" i="4"/>
  <c r="E140" i="4" s="1"/>
  <c r="L142" i="3"/>
  <c r="I142" i="4"/>
  <c r="E142" i="4" s="1"/>
  <c r="L144" i="3"/>
  <c r="L145" i="3"/>
  <c r="L146" i="3"/>
  <c r="L147" i="3"/>
  <c r="L148" i="3"/>
  <c r="L149" i="3"/>
  <c r="L150" i="3"/>
  <c r="L151" i="3"/>
  <c r="L152" i="3"/>
  <c r="J153" i="3"/>
  <c r="L154" i="3"/>
  <c r="I154" i="4"/>
  <c r="E154" i="4" s="1"/>
  <c r="L157" i="3"/>
  <c r="I157" i="4"/>
  <c r="E157" i="4" s="1"/>
  <c r="L159" i="3"/>
  <c r="I159" i="4"/>
  <c r="E159" i="4" s="1"/>
  <c r="L161" i="3"/>
  <c r="I161" i="4"/>
  <c r="E161" i="4" s="1"/>
  <c r="L164" i="3"/>
  <c r="I164" i="4"/>
  <c r="E164" i="4" s="1"/>
  <c r="L166" i="3"/>
  <c r="I166" i="4"/>
  <c r="E166" i="4" s="1"/>
  <c r="L168" i="3"/>
  <c r="I168" i="4"/>
  <c r="E168" i="4" s="1"/>
  <c r="L170" i="3"/>
  <c r="I170" i="4"/>
  <c r="E170" i="4" s="1"/>
  <c r="L172" i="3"/>
  <c r="I172" i="4"/>
  <c r="E172" i="4" s="1"/>
  <c r="L175" i="3"/>
  <c r="I175" i="4"/>
  <c r="E175" i="4" s="1"/>
  <c r="L177" i="3"/>
  <c r="I177" i="4"/>
  <c r="E177" i="4" s="1"/>
  <c r="L180" i="3"/>
  <c r="L182" i="3" s="1"/>
  <c r="I180" i="4"/>
  <c r="I182" i="4" s="1"/>
  <c r="I184" i="4"/>
  <c r="L186" i="3"/>
  <c r="I186" i="4"/>
  <c r="L188" i="3"/>
  <c r="I188" i="4"/>
  <c r="E188" i="4" s="1"/>
  <c r="L190" i="3"/>
  <c r="I190" i="4"/>
  <c r="E190" i="4" s="1"/>
  <c r="L195" i="3"/>
  <c r="I195" i="4"/>
  <c r="L201" i="3"/>
  <c r="I201" i="4"/>
  <c r="L203" i="3"/>
  <c r="I203" i="4"/>
  <c r="L206" i="3"/>
  <c r="I206" i="4"/>
  <c r="L210" i="3"/>
  <c r="I210" i="4"/>
  <c r="L212" i="3"/>
  <c r="I212" i="4"/>
  <c r="I31" i="4"/>
  <c r="E31" i="4" s="1"/>
  <c r="I28" i="4"/>
  <c r="E28" i="4" s="1"/>
  <c r="I26" i="4"/>
  <c r="E26" i="4" s="1"/>
  <c r="L211" i="3"/>
  <c r="I211" i="4"/>
  <c r="L47" i="3"/>
  <c r="I47" i="4"/>
  <c r="E47" i="4" s="1"/>
  <c r="L40" i="3"/>
  <c r="I40" i="4"/>
  <c r="I25" i="4"/>
  <c r="I30" i="4"/>
  <c r="D198" i="4"/>
  <c r="G198" i="4"/>
  <c r="G216" i="4"/>
  <c r="D113" i="4"/>
  <c r="F113" i="4"/>
  <c r="H113" i="4"/>
  <c r="F198" i="4"/>
  <c r="H198" i="4"/>
  <c r="G88" i="4"/>
  <c r="D179" i="4"/>
  <c r="F179" i="4"/>
  <c r="H179" i="4"/>
  <c r="D88" i="4"/>
  <c r="F88" i="4"/>
  <c r="H88" i="4"/>
  <c r="G113" i="4"/>
  <c r="D135" i="4"/>
  <c r="F135" i="4"/>
  <c r="H135" i="4"/>
  <c r="D156" i="4"/>
  <c r="F156" i="4"/>
  <c r="H156" i="4"/>
  <c r="G179" i="4"/>
  <c r="G156" i="4"/>
  <c r="F216" i="4"/>
  <c r="D216" i="4"/>
  <c r="H216" i="4"/>
  <c r="J48" i="3"/>
  <c r="J236" i="3"/>
  <c r="J234" i="3"/>
  <c r="F261" i="3"/>
  <c r="J264" i="3"/>
  <c r="J263" i="3"/>
  <c r="J260" i="3"/>
  <c r="J259" i="3"/>
  <c r="J258" i="3"/>
  <c r="J257" i="3"/>
  <c r="J256" i="3"/>
  <c r="J255" i="3"/>
  <c r="J252" i="3"/>
  <c r="J251" i="3"/>
  <c r="J249" i="3"/>
  <c r="J246" i="3"/>
  <c r="J243" i="3"/>
  <c r="J242" i="3"/>
  <c r="J241" i="3"/>
  <c r="J240" i="3"/>
  <c r="J239" i="3"/>
  <c r="J238" i="3"/>
  <c r="J237" i="3"/>
  <c r="J231" i="3"/>
  <c r="L52" i="3"/>
  <c r="J79" i="3"/>
  <c r="J108" i="3"/>
  <c r="K88" i="3"/>
  <c r="L34" i="3"/>
  <c r="L41" i="3"/>
  <c r="L77" i="3"/>
  <c r="K113" i="3"/>
  <c r="L98" i="3"/>
  <c r="D198" i="3"/>
  <c r="K198" i="3"/>
  <c r="G198" i="3"/>
  <c r="I198" i="3"/>
  <c r="J51" i="3"/>
  <c r="L49" i="3"/>
  <c r="J76" i="3"/>
  <c r="L63" i="3"/>
  <c r="J96" i="3"/>
  <c r="L89" i="3"/>
  <c r="J120" i="3"/>
  <c r="L114" i="3"/>
  <c r="L23" i="3"/>
  <c r="J32" i="3"/>
  <c r="D88" i="3"/>
  <c r="G88" i="3"/>
  <c r="I88" i="3"/>
  <c r="J143" i="3"/>
  <c r="L136" i="3"/>
  <c r="F88" i="3"/>
  <c r="H88" i="3"/>
  <c r="F113" i="3"/>
  <c r="H113" i="3"/>
  <c r="F135" i="3"/>
  <c r="H135" i="3"/>
  <c r="F198" i="3"/>
  <c r="H198" i="3"/>
  <c r="F216" i="3"/>
  <c r="H216" i="3"/>
  <c r="F156" i="3"/>
  <c r="H156" i="3"/>
  <c r="J174" i="3"/>
  <c r="L165" i="3"/>
  <c r="J192" i="3"/>
  <c r="L184" i="3"/>
  <c r="J196" i="3"/>
  <c r="L193" i="3"/>
  <c r="J205" i="3"/>
  <c r="L199" i="3"/>
  <c r="G216" i="3"/>
  <c r="K216" i="3"/>
  <c r="L5" i="3"/>
  <c r="L6" i="3"/>
  <c r="L7" i="3"/>
  <c r="L8" i="3"/>
  <c r="L9" i="3"/>
  <c r="J10" i="3"/>
  <c r="I10" i="4" s="1"/>
  <c r="J163" i="3"/>
  <c r="L208" i="3"/>
  <c r="D216" i="3"/>
  <c r="I216" i="3"/>
  <c r="E253" i="2"/>
  <c r="E232" i="2"/>
  <c r="G232" i="2"/>
  <c r="H232" i="2"/>
  <c r="I232" i="2"/>
  <c r="K232" i="2"/>
  <c r="D232" i="2"/>
  <c r="D230" i="2"/>
  <c r="D231" i="2"/>
  <c r="D233" i="2"/>
  <c r="D234" i="2"/>
  <c r="D235" i="2"/>
  <c r="D236" i="2"/>
  <c r="D237" i="2"/>
  <c r="D238" i="2"/>
  <c r="D239" i="2"/>
  <c r="D240" i="2"/>
  <c r="D241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9" i="2"/>
  <c r="D260" i="2"/>
  <c r="D223" i="2"/>
  <c r="D224" i="2"/>
  <c r="D225" i="2"/>
  <c r="D226" i="2"/>
  <c r="D227" i="2"/>
  <c r="D228" i="2"/>
  <c r="D229" i="2"/>
  <c r="D210" i="2"/>
  <c r="D204" i="2"/>
  <c r="D195" i="2"/>
  <c r="D191" i="2"/>
  <c r="D181" i="2"/>
  <c r="D174" i="2"/>
  <c r="D163" i="2"/>
  <c r="D153" i="2"/>
  <c r="D143" i="2"/>
  <c r="D130" i="2"/>
  <c r="D120" i="2"/>
  <c r="D108" i="2"/>
  <c r="D96" i="2"/>
  <c r="D79" i="2"/>
  <c r="D76" i="2"/>
  <c r="D61" i="2"/>
  <c r="D51" i="2"/>
  <c r="D48" i="2"/>
  <c r="D32" i="2"/>
  <c r="D24" i="2"/>
  <c r="I248" i="4" l="1"/>
  <c r="E214" i="2"/>
  <c r="I257" i="4"/>
  <c r="I242" i="4"/>
  <c r="I264" i="4"/>
  <c r="D113" i="2"/>
  <c r="D156" i="2"/>
  <c r="D197" i="2"/>
  <c r="I249" i="4"/>
  <c r="I260" i="4"/>
  <c r="I246" i="4"/>
  <c r="I240" i="4"/>
  <c r="I255" i="4"/>
  <c r="D88" i="2"/>
  <c r="D135" i="2"/>
  <c r="D179" i="2"/>
  <c r="I259" i="4"/>
  <c r="I234" i="4"/>
  <c r="I250" i="4"/>
  <c r="I241" i="4"/>
  <c r="I239" i="4"/>
  <c r="I256" i="4"/>
  <c r="I253" i="4"/>
  <c r="I244" i="4"/>
  <c r="I251" i="4"/>
  <c r="I258" i="4"/>
  <c r="H266" i="4"/>
  <c r="G266" i="4"/>
  <c r="F266" i="4"/>
  <c r="E5" i="4"/>
  <c r="E226" i="4" s="1"/>
  <c r="I226" i="4"/>
  <c r="E30" i="4"/>
  <c r="I243" i="4"/>
  <c r="E25" i="4"/>
  <c r="I236" i="4"/>
  <c r="I232" i="4"/>
  <c r="I235" i="4"/>
  <c r="I233" i="4"/>
  <c r="D266" i="4"/>
  <c r="E6" i="4"/>
  <c r="E212" i="4"/>
  <c r="E260" i="4" s="1"/>
  <c r="E210" i="4"/>
  <c r="E257" i="4" s="1"/>
  <c r="E206" i="4"/>
  <c r="E246" i="4" s="1"/>
  <c r="E203" i="4"/>
  <c r="E242" i="4" s="1"/>
  <c r="E201" i="4"/>
  <c r="E240" i="4" s="1"/>
  <c r="E195" i="4"/>
  <c r="E186" i="4"/>
  <c r="E255" i="4" s="1"/>
  <c r="E184" i="4"/>
  <c r="E13" i="4"/>
  <c r="E8" i="4"/>
  <c r="E229" i="4" s="1"/>
  <c r="E208" i="4"/>
  <c r="E250" i="4" s="1"/>
  <c r="I213" i="4"/>
  <c r="E204" i="4"/>
  <c r="E202" i="4"/>
  <c r="E241" i="4" s="1"/>
  <c r="E200" i="4"/>
  <c r="E194" i="4"/>
  <c r="E263" i="4" s="1"/>
  <c r="E187" i="4"/>
  <c r="E256" i="4" s="1"/>
  <c r="E185" i="4"/>
  <c r="E252" i="4" s="1"/>
  <c r="E169" i="4"/>
  <c r="E167" i="4"/>
  <c r="E249" i="4" s="1"/>
  <c r="E165" i="4"/>
  <c r="E247" i="4" s="1"/>
  <c r="E162" i="4"/>
  <c r="E244" i="4" s="1"/>
  <c r="E102" i="4"/>
  <c r="E53" i="4"/>
  <c r="E237" i="4" s="1"/>
  <c r="E45" i="4"/>
  <c r="E258" i="4" s="1"/>
  <c r="E41" i="4"/>
  <c r="E254" i="4" s="1"/>
  <c r="E9" i="4"/>
  <c r="E230" i="4" s="1"/>
  <c r="E197" i="4"/>
  <c r="E262" i="4" s="1"/>
  <c r="E7" i="4"/>
  <c r="E228" i="4" s="1"/>
  <c r="E211" i="4"/>
  <c r="E259" i="4" s="1"/>
  <c r="E54" i="4"/>
  <c r="E238" i="4" s="1"/>
  <c r="H266" i="3"/>
  <c r="G266" i="3"/>
  <c r="L213" i="3"/>
  <c r="L143" i="3"/>
  <c r="J135" i="3"/>
  <c r="F266" i="3"/>
  <c r="K266" i="3"/>
  <c r="I266" i="3"/>
  <c r="D266" i="3"/>
  <c r="I79" i="4"/>
  <c r="J265" i="3"/>
  <c r="L79" i="3"/>
  <c r="I205" i="4"/>
  <c r="I32" i="4"/>
  <c r="I163" i="4"/>
  <c r="J245" i="3"/>
  <c r="D217" i="3"/>
  <c r="L163" i="3"/>
  <c r="I192" i="4"/>
  <c r="E120" i="4"/>
  <c r="E135" i="4" s="1"/>
  <c r="E96" i="4"/>
  <c r="E180" i="4"/>
  <c r="E182" i="4"/>
  <c r="L153" i="3"/>
  <c r="L130" i="3"/>
  <c r="E52" i="4"/>
  <c r="I61" i="4"/>
  <c r="J233" i="3"/>
  <c r="L205" i="3"/>
  <c r="L196" i="3"/>
  <c r="L192" i="3"/>
  <c r="L174" i="3"/>
  <c r="J156" i="3"/>
  <c r="L120" i="3"/>
  <c r="L96" i="3"/>
  <c r="L76" i="3"/>
  <c r="L51" i="3"/>
  <c r="L108" i="3"/>
  <c r="L61" i="3"/>
  <c r="I196" i="4"/>
  <c r="I174" i="4"/>
  <c r="I96" i="4"/>
  <c r="I108" i="4"/>
  <c r="I120" i="4"/>
  <c r="I135" i="4" s="1"/>
  <c r="E137" i="4"/>
  <c r="E143" i="4" s="1"/>
  <c r="E156" i="4" s="1"/>
  <c r="I143" i="4"/>
  <c r="I156" i="4" s="1"/>
  <c r="E64" i="4"/>
  <c r="E76" i="4" s="1"/>
  <c r="I76" i="4"/>
  <c r="E50" i="4"/>
  <c r="E51" i="4" s="1"/>
  <c r="I51" i="4"/>
  <c r="E40" i="4"/>
  <c r="I48" i="4"/>
  <c r="H217" i="4"/>
  <c r="G217" i="4"/>
  <c r="F217" i="4"/>
  <c r="D217" i="4"/>
  <c r="J261" i="3"/>
  <c r="J24" i="3"/>
  <c r="J232" i="3"/>
  <c r="K217" i="3"/>
  <c r="J113" i="3"/>
  <c r="J235" i="3"/>
  <c r="J88" i="3"/>
  <c r="F217" i="3"/>
  <c r="L48" i="3"/>
  <c r="J179" i="3"/>
  <c r="G217" i="3"/>
  <c r="H217" i="3"/>
  <c r="I217" i="3"/>
  <c r="J198" i="3"/>
  <c r="L10" i="3"/>
  <c r="L24" i="3" s="1"/>
  <c r="J216" i="3"/>
  <c r="D261" i="2"/>
  <c r="D258" i="2"/>
  <c r="D242" i="2"/>
  <c r="D213" i="2"/>
  <c r="F10" i="2"/>
  <c r="E196" i="4" l="1"/>
  <c r="D214" i="2"/>
  <c r="F24" i="2"/>
  <c r="F232" i="2"/>
  <c r="L135" i="3"/>
  <c r="E236" i="4"/>
  <c r="E32" i="4"/>
  <c r="I245" i="4"/>
  <c r="E108" i="4"/>
  <c r="E113" i="4" s="1"/>
  <c r="E251" i="4"/>
  <c r="E253" i="4"/>
  <c r="E239" i="4"/>
  <c r="E243" i="4"/>
  <c r="I265" i="4"/>
  <c r="E265" i="4"/>
  <c r="I261" i="4"/>
  <c r="E248" i="4"/>
  <c r="E264" i="4"/>
  <c r="L216" i="3"/>
  <c r="E227" i="4"/>
  <c r="E231" i="4"/>
  <c r="E234" i="4"/>
  <c r="E163" i="4"/>
  <c r="E48" i="4"/>
  <c r="L156" i="3"/>
  <c r="E192" i="4"/>
  <c r="E198" i="4" s="1"/>
  <c r="E205" i="4"/>
  <c r="I113" i="4"/>
  <c r="E61" i="4"/>
  <c r="I198" i="4"/>
  <c r="E213" i="4"/>
  <c r="E174" i="4"/>
  <c r="E10" i="4"/>
  <c r="E232" i="4" s="1"/>
  <c r="I179" i="4"/>
  <c r="I216" i="4"/>
  <c r="J266" i="3"/>
  <c r="L198" i="3"/>
  <c r="L179" i="3"/>
  <c r="I88" i="4"/>
  <c r="L113" i="3"/>
  <c r="L88" i="3"/>
  <c r="I24" i="4"/>
  <c r="J217" i="3"/>
  <c r="D262" i="2"/>
  <c r="K241" i="2"/>
  <c r="E11" i="1"/>
  <c r="K249" i="2"/>
  <c r="F249" i="2"/>
  <c r="G249" i="2"/>
  <c r="H249" i="2"/>
  <c r="I249" i="2"/>
  <c r="E249" i="2"/>
  <c r="E245" i="4" l="1"/>
  <c r="I266" i="4"/>
  <c r="E261" i="4"/>
  <c r="E233" i="4"/>
  <c r="E235" i="4"/>
  <c r="E88" i="4"/>
  <c r="E216" i="4"/>
  <c r="E179" i="4"/>
  <c r="E24" i="4"/>
  <c r="L217" i="3"/>
  <c r="I217" i="4"/>
  <c r="K120" i="2"/>
  <c r="J5" i="2"/>
  <c r="J6" i="2"/>
  <c r="J7" i="2"/>
  <c r="J8" i="2"/>
  <c r="J226" i="2" s="1"/>
  <c r="J9" i="2"/>
  <c r="J10" i="2"/>
  <c r="J11" i="2"/>
  <c r="L11" i="2" s="1"/>
  <c r="J12" i="2"/>
  <c r="L12" i="2" s="1"/>
  <c r="J13" i="2"/>
  <c r="J14" i="2"/>
  <c r="L14" i="2" s="1"/>
  <c r="J15" i="2"/>
  <c r="J16" i="2"/>
  <c r="L16" i="2" s="1"/>
  <c r="J17" i="2"/>
  <c r="J18" i="2"/>
  <c r="L18" i="2" s="1"/>
  <c r="J19" i="2"/>
  <c r="J20" i="2"/>
  <c r="L20" i="2" s="1"/>
  <c r="J21" i="2"/>
  <c r="J22" i="2"/>
  <c r="L22" i="2" s="1"/>
  <c r="J23" i="2"/>
  <c r="J25" i="2"/>
  <c r="J26" i="2"/>
  <c r="J27" i="2"/>
  <c r="L27" i="2" s="1"/>
  <c r="J28" i="2"/>
  <c r="J29" i="2"/>
  <c r="L29" i="2" s="1"/>
  <c r="J30" i="2"/>
  <c r="L30" i="2" s="1"/>
  <c r="J31" i="2"/>
  <c r="L31" i="2" s="1"/>
  <c r="J33" i="2"/>
  <c r="J34" i="2"/>
  <c r="L34" i="2" s="1"/>
  <c r="J35" i="2"/>
  <c r="J36" i="2"/>
  <c r="L36" i="2" s="1"/>
  <c r="J37" i="2"/>
  <c r="J38" i="2"/>
  <c r="L38" i="2" s="1"/>
  <c r="J39" i="2"/>
  <c r="J40" i="2"/>
  <c r="L40" i="2" s="1"/>
  <c r="J41" i="2"/>
  <c r="J42" i="2"/>
  <c r="L42" i="2" s="1"/>
  <c r="J43" i="2"/>
  <c r="J44" i="2"/>
  <c r="L44" i="2" s="1"/>
  <c r="J45" i="2"/>
  <c r="J46" i="2"/>
  <c r="L46" i="2" s="1"/>
  <c r="J47" i="2"/>
  <c r="J49" i="2"/>
  <c r="L49" i="2" s="1"/>
  <c r="J50" i="2"/>
  <c r="J52" i="2"/>
  <c r="J53" i="2"/>
  <c r="L53" i="2" s="1"/>
  <c r="J54" i="2"/>
  <c r="J235" i="2" s="1"/>
  <c r="J55" i="2"/>
  <c r="L55" i="2" s="1"/>
  <c r="J56" i="2"/>
  <c r="L56" i="2" s="1"/>
  <c r="J57" i="2"/>
  <c r="L57" i="2" s="1"/>
  <c r="J58" i="2"/>
  <c r="L58" i="2" s="1"/>
  <c r="J59" i="2"/>
  <c r="L59" i="2" s="1"/>
  <c r="J60" i="2"/>
  <c r="L60" i="2" s="1"/>
  <c r="J62" i="2"/>
  <c r="L62" i="2" s="1"/>
  <c r="J63" i="2"/>
  <c r="L63" i="2" s="1"/>
  <c r="J64" i="2"/>
  <c r="L64" i="2" s="1"/>
  <c r="J65" i="2"/>
  <c r="L65" i="2" s="1"/>
  <c r="J66" i="2"/>
  <c r="L66" i="2" s="1"/>
  <c r="J67" i="2"/>
  <c r="L67" i="2" s="1"/>
  <c r="J68" i="2"/>
  <c r="L68" i="2" s="1"/>
  <c r="J69" i="2"/>
  <c r="L69" i="2" s="1"/>
  <c r="J70" i="2"/>
  <c r="L70" i="2" s="1"/>
  <c r="J71" i="2"/>
  <c r="L71" i="2" s="1"/>
  <c r="J72" i="2"/>
  <c r="L72" i="2" s="1"/>
  <c r="J73" i="2"/>
  <c r="L73" i="2" s="1"/>
  <c r="J74" i="2"/>
  <c r="L74" i="2" s="1"/>
  <c r="J75" i="2"/>
  <c r="J77" i="2"/>
  <c r="J78" i="2"/>
  <c r="J80" i="2"/>
  <c r="L80" i="2" s="1"/>
  <c r="J81" i="2"/>
  <c r="L81" i="2" s="1"/>
  <c r="J82" i="2"/>
  <c r="L82" i="2" s="1"/>
  <c r="J83" i="2"/>
  <c r="L83" i="2" s="1"/>
  <c r="J84" i="2"/>
  <c r="L84" i="2" s="1"/>
  <c r="J85" i="2"/>
  <c r="L85" i="2" s="1"/>
  <c r="J86" i="2"/>
  <c r="L86" i="2" s="1"/>
  <c r="J87" i="2"/>
  <c r="L87" i="2" s="1"/>
  <c r="J89" i="2"/>
  <c r="J90" i="2"/>
  <c r="L90" i="2" s="1"/>
  <c r="J91" i="2"/>
  <c r="J92" i="2"/>
  <c r="L92" i="2" s="1"/>
  <c r="J93" i="2"/>
  <c r="J94" i="2"/>
  <c r="L94" i="2" s="1"/>
  <c r="J95" i="2"/>
  <c r="J97" i="2"/>
  <c r="L97" i="2" s="1"/>
  <c r="J98" i="2"/>
  <c r="L98" i="2" s="1"/>
  <c r="J99" i="2"/>
  <c r="L99" i="2" s="1"/>
  <c r="J100" i="2"/>
  <c r="L100" i="2" s="1"/>
  <c r="J101" i="2"/>
  <c r="L101" i="2" s="1"/>
  <c r="J102" i="2"/>
  <c r="L102" i="2" s="1"/>
  <c r="J103" i="2"/>
  <c r="J104" i="2"/>
  <c r="L104" i="2" s="1"/>
  <c r="J105" i="2"/>
  <c r="L105" i="2" s="1"/>
  <c r="J106" i="2"/>
  <c r="L106" i="2" s="1"/>
  <c r="J107" i="2"/>
  <c r="L107" i="2" s="1"/>
  <c r="J109" i="2"/>
  <c r="J110" i="2"/>
  <c r="L110" i="2" s="1"/>
  <c r="J111" i="2"/>
  <c r="J112" i="2"/>
  <c r="L112" i="2" s="1"/>
  <c r="J114" i="2"/>
  <c r="L114" i="2" s="1"/>
  <c r="J115" i="2"/>
  <c r="J116" i="2"/>
  <c r="L116" i="2" s="1"/>
  <c r="J117" i="2"/>
  <c r="L117" i="2" s="1"/>
  <c r="J118" i="2"/>
  <c r="J119" i="2"/>
  <c r="L119" i="2" s="1"/>
  <c r="J121" i="2"/>
  <c r="J122" i="2"/>
  <c r="L122" i="2" s="1"/>
  <c r="J123" i="2"/>
  <c r="J124" i="2"/>
  <c r="L124" i="2" s="1"/>
  <c r="J125" i="2"/>
  <c r="J126" i="2"/>
  <c r="L126" i="2" s="1"/>
  <c r="J127" i="2"/>
  <c r="J128" i="2"/>
  <c r="L128" i="2" s="1"/>
  <c r="J129" i="2"/>
  <c r="J131" i="2"/>
  <c r="L131" i="2" s="1"/>
  <c r="J132" i="2"/>
  <c r="L132" i="2" s="1"/>
  <c r="J133" i="2"/>
  <c r="L133" i="2" s="1"/>
  <c r="J134" i="2"/>
  <c r="L134" i="2" s="1"/>
  <c r="J136" i="2"/>
  <c r="J137" i="2"/>
  <c r="J138" i="2"/>
  <c r="L138" i="2" s="1"/>
  <c r="J139" i="2"/>
  <c r="J140" i="2"/>
  <c r="L140" i="2" s="1"/>
  <c r="J141" i="2"/>
  <c r="J142" i="2"/>
  <c r="L142" i="2" s="1"/>
  <c r="J144" i="2"/>
  <c r="L144" i="2" s="1"/>
  <c r="J145" i="2"/>
  <c r="J146" i="2"/>
  <c r="J147" i="2"/>
  <c r="L147" i="2" s="1"/>
  <c r="J148" i="2"/>
  <c r="J149" i="2"/>
  <c r="L149" i="2" s="1"/>
  <c r="J150" i="2"/>
  <c r="L150" i="2" s="1"/>
  <c r="J151" i="2"/>
  <c r="L151" i="2" s="1"/>
  <c r="J152" i="2"/>
  <c r="L152" i="2" s="1"/>
  <c r="J154" i="2"/>
  <c r="L154" i="2" s="1"/>
  <c r="J155" i="2"/>
  <c r="J157" i="2"/>
  <c r="J158" i="2"/>
  <c r="J159" i="2"/>
  <c r="L159" i="2" s="1"/>
  <c r="J160" i="2"/>
  <c r="L160" i="2" s="1"/>
  <c r="J161" i="2"/>
  <c r="L161" i="2" s="1"/>
  <c r="J162" i="2"/>
  <c r="J164" i="2"/>
  <c r="L164" i="2" s="1"/>
  <c r="J165" i="2"/>
  <c r="J166" i="2"/>
  <c r="J167" i="2"/>
  <c r="J168" i="2"/>
  <c r="L168" i="2" s="1"/>
  <c r="J169" i="2"/>
  <c r="J170" i="2"/>
  <c r="L170" i="2" s="1"/>
  <c r="J171" i="2"/>
  <c r="J172" i="2"/>
  <c r="L172" i="2" s="1"/>
  <c r="J173" i="2"/>
  <c r="J175" i="2"/>
  <c r="L175" i="2" s="1"/>
  <c r="J176" i="2"/>
  <c r="L176" i="2" s="1"/>
  <c r="J177" i="2"/>
  <c r="L177" i="2" s="1"/>
  <c r="J178" i="2"/>
  <c r="L178" i="2" s="1"/>
  <c r="J180" i="2"/>
  <c r="J182" i="2"/>
  <c r="J183" i="2"/>
  <c r="J184" i="2"/>
  <c r="J249" i="2" s="1"/>
  <c r="J185" i="2"/>
  <c r="J186" i="2"/>
  <c r="L186" i="2" s="1"/>
  <c r="J187" i="2"/>
  <c r="L187" i="2" s="1"/>
  <c r="J188" i="2"/>
  <c r="L188" i="2" s="1"/>
  <c r="J189" i="2"/>
  <c r="L189" i="2" s="1"/>
  <c r="J190" i="2"/>
  <c r="L190" i="2" s="1"/>
  <c r="J192" i="2"/>
  <c r="J193" i="2"/>
  <c r="J194" i="2"/>
  <c r="L194" i="2" s="1"/>
  <c r="J196" i="2"/>
  <c r="J198" i="2"/>
  <c r="J199" i="2"/>
  <c r="J200" i="2"/>
  <c r="J201" i="2"/>
  <c r="J202" i="2"/>
  <c r="J203" i="2"/>
  <c r="J205" i="2"/>
  <c r="L205" i="2" s="1"/>
  <c r="J206" i="2"/>
  <c r="J207" i="2"/>
  <c r="L207" i="2" s="1"/>
  <c r="J208" i="2"/>
  <c r="L208" i="2" s="1"/>
  <c r="J209" i="2"/>
  <c r="J211" i="2"/>
  <c r="J212" i="2"/>
  <c r="L212" i="2" s="1"/>
  <c r="E261" i="2"/>
  <c r="K260" i="2"/>
  <c r="I260" i="2"/>
  <c r="H260" i="2"/>
  <c r="G260" i="2"/>
  <c r="F260" i="2"/>
  <c r="E260" i="2"/>
  <c r="K259" i="2"/>
  <c r="I259" i="2"/>
  <c r="H259" i="2"/>
  <c r="G259" i="2"/>
  <c r="F259" i="2"/>
  <c r="E259" i="2"/>
  <c r="K257" i="2"/>
  <c r="I257" i="2"/>
  <c r="H257" i="2"/>
  <c r="G257" i="2"/>
  <c r="E257" i="2"/>
  <c r="K256" i="2"/>
  <c r="I256" i="2"/>
  <c r="H256" i="2"/>
  <c r="G256" i="2"/>
  <c r="F256" i="2"/>
  <c r="E256" i="2"/>
  <c r="K255" i="2"/>
  <c r="I255" i="2"/>
  <c r="H255" i="2"/>
  <c r="G255" i="2"/>
  <c r="F255" i="2"/>
  <c r="E255" i="2"/>
  <c r="K254" i="2"/>
  <c r="I254" i="2"/>
  <c r="H254" i="2"/>
  <c r="G254" i="2"/>
  <c r="F254" i="2"/>
  <c r="E254" i="2"/>
  <c r="K253" i="2"/>
  <c r="I253" i="2"/>
  <c r="H253" i="2"/>
  <c r="G253" i="2"/>
  <c r="F253" i="2"/>
  <c r="K252" i="2"/>
  <c r="I252" i="2"/>
  <c r="H252" i="2"/>
  <c r="G252" i="2"/>
  <c r="F252" i="2"/>
  <c r="E252" i="2"/>
  <c r="K251" i="2"/>
  <c r="I251" i="2"/>
  <c r="H251" i="2"/>
  <c r="G251" i="2"/>
  <c r="F251" i="2"/>
  <c r="E251" i="2"/>
  <c r="K250" i="2"/>
  <c r="I250" i="2"/>
  <c r="H250" i="2"/>
  <c r="G250" i="2"/>
  <c r="F250" i="2"/>
  <c r="E250" i="2"/>
  <c r="K248" i="2"/>
  <c r="I248" i="2"/>
  <c r="H248" i="2"/>
  <c r="G248" i="2"/>
  <c r="F248" i="2"/>
  <c r="E248" i="2"/>
  <c r="K247" i="2"/>
  <c r="I247" i="2"/>
  <c r="H247" i="2"/>
  <c r="G247" i="2"/>
  <c r="F247" i="2"/>
  <c r="E247" i="2"/>
  <c r="K246" i="2"/>
  <c r="I246" i="2"/>
  <c r="H246" i="2"/>
  <c r="G246" i="2"/>
  <c r="F246" i="2"/>
  <c r="E246" i="2"/>
  <c r="K245" i="2"/>
  <c r="I245" i="2"/>
  <c r="H245" i="2"/>
  <c r="G245" i="2"/>
  <c r="F245" i="2"/>
  <c r="E245" i="2"/>
  <c r="K244" i="2"/>
  <c r="I244" i="2"/>
  <c r="H244" i="2"/>
  <c r="G244" i="2"/>
  <c r="F244" i="2"/>
  <c r="E244" i="2"/>
  <c r="K243" i="2"/>
  <c r="I243" i="2"/>
  <c r="H243" i="2"/>
  <c r="G243" i="2"/>
  <c r="F243" i="2"/>
  <c r="E243" i="2"/>
  <c r="I241" i="2"/>
  <c r="H241" i="2"/>
  <c r="G241" i="2"/>
  <c r="F241" i="2"/>
  <c r="E241" i="2"/>
  <c r="K240" i="2"/>
  <c r="I240" i="2"/>
  <c r="H240" i="2"/>
  <c r="G240" i="2"/>
  <c r="F240" i="2"/>
  <c r="E240" i="2"/>
  <c r="K239" i="2"/>
  <c r="I239" i="2"/>
  <c r="H239" i="2"/>
  <c r="G239" i="2"/>
  <c r="F239" i="2"/>
  <c r="E239" i="2"/>
  <c r="K238" i="2"/>
  <c r="I238" i="2"/>
  <c r="H238" i="2"/>
  <c r="G238" i="2"/>
  <c r="F238" i="2"/>
  <c r="E238" i="2"/>
  <c r="K237" i="2"/>
  <c r="I237" i="2"/>
  <c r="H237" i="2"/>
  <c r="G237" i="2"/>
  <c r="F237" i="2"/>
  <c r="E237" i="2"/>
  <c r="K236" i="2"/>
  <c r="I236" i="2"/>
  <c r="H236" i="2"/>
  <c r="G236" i="2"/>
  <c r="F236" i="2"/>
  <c r="E236" i="2"/>
  <c r="K235" i="2"/>
  <c r="I235" i="2"/>
  <c r="H235" i="2"/>
  <c r="G235" i="2"/>
  <c r="F235" i="2"/>
  <c r="E235" i="2"/>
  <c r="K234" i="2"/>
  <c r="J234" i="2"/>
  <c r="I234" i="2"/>
  <c r="H234" i="2"/>
  <c r="G234" i="2"/>
  <c r="F234" i="2"/>
  <c r="E234" i="2"/>
  <c r="K233" i="2"/>
  <c r="I233" i="2"/>
  <c r="H233" i="2"/>
  <c r="G233" i="2"/>
  <c r="E233" i="2"/>
  <c r="K231" i="2"/>
  <c r="I231" i="2"/>
  <c r="H231" i="2"/>
  <c r="G231" i="2"/>
  <c r="F231" i="2"/>
  <c r="E231" i="2"/>
  <c r="K230" i="2"/>
  <c r="I230" i="2"/>
  <c r="H230" i="2"/>
  <c r="G230" i="2"/>
  <c r="E230" i="2"/>
  <c r="K229" i="2"/>
  <c r="I229" i="2"/>
  <c r="H229" i="2"/>
  <c r="G229" i="2"/>
  <c r="F229" i="2"/>
  <c r="E229" i="2"/>
  <c r="K228" i="2"/>
  <c r="I228" i="2"/>
  <c r="H228" i="2"/>
  <c r="G228" i="2"/>
  <c r="E228" i="2"/>
  <c r="K227" i="2"/>
  <c r="I227" i="2"/>
  <c r="H227" i="2"/>
  <c r="G227" i="2"/>
  <c r="F227" i="2"/>
  <c r="E227" i="2"/>
  <c r="K226" i="2"/>
  <c r="I226" i="2"/>
  <c r="H226" i="2"/>
  <c r="G226" i="2"/>
  <c r="F226" i="2"/>
  <c r="E226" i="2"/>
  <c r="K225" i="2"/>
  <c r="J225" i="2"/>
  <c r="I225" i="2"/>
  <c r="H225" i="2"/>
  <c r="G225" i="2"/>
  <c r="F225" i="2"/>
  <c r="E225" i="2"/>
  <c r="K224" i="2"/>
  <c r="I224" i="2"/>
  <c r="H224" i="2"/>
  <c r="G224" i="2"/>
  <c r="F224" i="2"/>
  <c r="E224" i="2"/>
  <c r="K223" i="2"/>
  <c r="I223" i="2"/>
  <c r="H223" i="2"/>
  <c r="G223" i="2"/>
  <c r="F223" i="2"/>
  <c r="E223" i="2"/>
  <c r="L211" i="2"/>
  <c r="E258" i="2"/>
  <c r="E242" i="2"/>
  <c r="L203" i="2"/>
  <c r="L201" i="2"/>
  <c r="L199" i="2"/>
  <c r="L196" i="2"/>
  <c r="L193" i="2"/>
  <c r="L182" i="2"/>
  <c r="L173" i="2"/>
  <c r="L171" i="2"/>
  <c r="L169" i="2"/>
  <c r="L167" i="2"/>
  <c r="L165" i="2"/>
  <c r="L162" i="2"/>
  <c r="L155" i="2"/>
  <c r="L141" i="2"/>
  <c r="L139" i="2"/>
  <c r="L137" i="2"/>
  <c r="K130" i="2"/>
  <c r="L129" i="2"/>
  <c r="L127" i="2"/>
  <c r="L125" i="2"/>
  <c r="L123" i="2"/>
  <c r="L121" i="2"/>
  <c r="I120" i="2"/>
  <c r="I135" i="2" s="1"/>
  <c r="H120" i="2"/>
  <c r="H135" i="2" s="1"/>
  <c r="G120" i="2"/>
  <c r="G135" i="2" s="1"/>
  <c r="F120" i="2"/>
  <c r="F135" i="2" s="1"/>
  <c r="L111" i="2"/>
  <c r="L109" i="2"/>
  <c r="K108" i="2"/>
  <c r="I108" i="2"/>
  <c r="H108" i="2"/>
  <c r="G108" i="2"/>
  <c r="F108" i="2"/>
  <c r="L103" i="2"/>
  <c r="K96" i="2"/>
  <c r="I96" i="2"/>
  <c r="H96" i="2"/>
  <c r="G96" i="2"/>
  <c r="F96" i="2"/>
  <c r="L95" i="2"/>
  <c r="L93" i="2"/>
  <c r="L91" i="2"/>
  <c r="L89" i="2"/>
  <c r="K79" i="2"/>
  <c r="I79" i="2"/>
  <c r="H79" i="2"/>
  <c r="G79" i="2"/>
  <c r="F79" i="2"/>
  <c r="L77" i="2"/>
  <c r="K76" i="2"/>
  <c r="I76" i="2"/>
  <c r="H76" i="2"/>
  <c r="G76" i="2"/>
  <c r="F76" i="2"/>
  <c r="K61" i="2"/>
  <c r="I61" i="2"/>
  <c r="H61" i="2"/>
  <c r="G61" i="2"/>
  <c r="F61" i="2"/>
  <c r="K51" i="2"/>
  <c r="I51" i="2"/>
  <c r="H51" i="2"/>
  <c r="G51" i="2"/>
  <c r="F51" i="2"/>
  <c r="K48" i="2"/>
  <c r="I48" i="2"/>
  <c r="H48" i="2"/>
  <c r="G48" i="2"/>
  <c r="F48" i="2"/>
  <c r="L47" i="2"/>
  <c r="L45" i="2"/>
  <c r="L43" i="2"/>
  <c r="L41" i="2"/>
  <c r="J251" i="2"/>
  <c r="L39" i="2"/>
  <c r="L37" i="2"/>
  <c r="L35" i="2"/>
  <c r="L33" i="2"/>
  <c r="K32" i="2"/>
  <c r="I32" i="2"/>
  <c r="H32" i="2"/>
  <c r="G32" i="2"/>
  <c r="L28" i="2"/>
  <c r="L26" i="2"/>
  <c r="L21" i="2"/>
  <c r="L19" i="2"/>
  <c r="L17" i="2"/>
  <c r="L15" i="2"/>
  <c r="L9" i="2"/>
  <c r="L7" i="2"/>
  <c r="L5" i="2"/>
  <c r="J79" i="2" l="1"/>
  <c r="J228" i="2"/>
  <c r="J76" i="2"/>
  <c r="J96" i="2"/>
  <c r="J113" i="2" s="1"/>
  <c r="J108" i="2"/>
  <c r="E266" i="4"/>
  <c r="L198" i="2"/>
  <c r="J204" i="2"/>
  <c r="J195" i="2"/>
  <c r="L183" i="2"/>
  <c r="J191" i="2"/>
  <c r="L180" i="2"/>
  <c r="J181" i="2"/>
  <c r="L157" i="2"/>
  <c r="J163" i="2"/>
  <c r="J244" i="2"/>
  <c r="J153" i="2"/>
  <c r="L136" i="2"/>
  <c r="L143" i="2" s="1"/>
  <c r="J143" i="2"/>
  <c r="J231" i="2"/>
  <c r="J210" i="2"/>
  <c r="J174" i="2"/>
  <c r="J24" i="2"/>
  <c r="E217" i="4"/>
  <c r="J232" i="2"/>
  <c r="I261" i="2"/>
  <c r="L8" i="2"/>
  <c r="H88" i="2"/>
  <c r="L75" i="2"/>
  <c r="L76" i="2" s="1"/>
  <c r="G261" i="2"/>
  <c r="G113" i="2"/>
  <c r="I113" i="2"/>
  <c r="J259" i="2"/>
  <c r="H242" i="2"/>
  <c r="G258" i="2"/>
  <c r="I258" i="2"/>
  <c r="J120" i="2"/>
  <c r="J32" i="2"/>
  <c r="G88" i="2"/>
  <c r="G214" i="2" s="1"/>
  <c r="I88" i="2"/>
  <c r="I214" i="2" s="1"/>
  <c r="L54" i="2"/>
  <c r="F113" i="2"/>
  <c r="H113" i="2"/>
  <c r="L115" i="2"/>
  <c r="K135" i="2"/>
  <c r="L145" i="2"/>
  <c r="L185" i="2"/>
  <c r="H258" i="2"/>
  <c r="G242" i="2"/>
  <c r="I242" i="2"/>
  <c r="J252" i="2"/>
  <c r="J260" i="2"/>
  <c r="J247" i="2"/>
  <c r="J51" i="2"/>
  <c r="J48" i="2"/>
  <c r="K261" i="2"/>
  <c r="K113" i="2"/>
  <c r="K242" i="2"/>
  <c r="K88" i="2"/>
  <c r="K258" i="2"/>
  <c r="J253" i="2"/>
  <c r="J130" i="2"/>
  <c r="J227" i="2"/>
  <c r="J245" i="2"/>
  <c r="J223" i="2"/>
  <c r="J229" i="2"/>
  <c r="L10" i="2"/>
  <c r="L50" i="2"/>
  <c r="L51" i="2" s="1"/>
  <c r="L78" i="2"/>
  <c r="L79" i="2" s="1"/>
  <c r="L192" i="2"/>
  <c r="L195" i="2" s="1"/>
  <c r="L206" i="2"/>
  <c r="J236" i="2"/>
  <c r="J248" i="2"/>
  <c r="J241" i="2"/>
  <c r="J250" i="2"/>
  <c r="J246" i="2"/>
  <c r="J240" i="2"/>
  <c r="J61" i="2"/>
  <c r="L108" i="2"/>
  <c r="L48" i="2"/>
  <c r="L6" i="2"/>
  <c r="J255" i="2"/>
  <c r="L52" i="2"/>
  <c r="L96" i="2"/>
  <c r="L118" i="2"/>
  <c r="L146" i="2"/>
  <c r="L148" i="2"/>
  <c r="L158" i="2"/>
  <c r="L163" i="2" s="1"/>
  <c r="L166" i="2"/>
  <c r="L174" i="2" s="1"/>
  <c r="L184" i="2"/>
  <c r="J243" i="2"/>
  <c r="L130" i="2"/>
  <c r="L25" i="2"/>
  <c r="L32" i="2" s="1"/>
  <c r="J230" i="2"/>
  <c r="F32" i="2"/>
  <c r="F88" i="2" s="1"/>
  <c r="F261" i="2"/>
  <c r="H261" i="2"/>
  <c r="J237" i="2"/>
  <c r="L200" i="2"/>
  <c r="J239" i="2"/>
  <c r="L202" i="2"/>
  <c r="F257" i="2"/>
  <c r="J256" i="2"/>
  <c r="J224" i="2"/>
  <c r="F230" i="2"/>
  <c r="F228" i="2"/>
  <c r="L13" i="2"/>
  <c r="L23" i="2"/>
  <c r="J233" i="2"/>
  <c r="F233" i="2"/>
  <c r="F258" i="2"/>
  <c r="J238" i="2"/>
  <c r="J254" i="2"/>
  <c r="E262" i="2"/>
  <c r="E209" i="1"/>
  <c r="E75" i="1"/>
  <c r="F214" i="2" l="1"/>
  <c r="J197" i="2"/>
  <c r="L181" i="2"/>
  <c r="K214" i="2"/>
  <c r="J156" i="2"/>
  <c r="H214" i="2"/>
  <c r="J213" i="2"/>
  <c r="J179" i="2"/>
  <c r="L61" i="2"/>
  <c r="L88" i="2" s="1"/>
  <c r="L191" i="2"/>
  <c r="J135" i="2"/>
  <c r="J261" i="2"/>
  <c r="I262" i="2"/>
  <c r="G262" i="2"/>
  <c r="H262" i="2"/>
  <c r="L120" i="2"/>
  <c r="L135" i="2" s="1"/>
  <c r="J88" i="2"/>
  <c r="L113" i="2"/>
  <c r="K262" i="2"/>
  <c r="L153" i="2"/>
  <c r="L156" i="2" s="1"/>
  <c r="J258" i="2"/>
  <c r="L24" i="2"/>
  <c r="L179" i="2"/>
  <c r="L204" i="2"/>
  <c r="J257" i="2"/>
  <c r="L209" i="2"/>
  <c r="L210" i="2" s="1"/>
  <c r="J242" i="2"/>
  <c r="F242" i="2"/>
  <c r="F262" i="2" s="1"/>
  <c r="E231" i="1"/>
  <c r="F231" i="1"/>
  <c r="G231" i="1"/>
  <c r="H231" i="1"/>
  <c r="J231" i="1"/>
  <c r="D231" i="1"/>
  <c r="F230" i="1"/>
  <c r="G230" i="1"/>
  <c r="H230" i="1"/>
  <c r="J230" i="1"/>
  <c r="D230" i="1"/>
  <c r="E223" i="1"/>
  <c r="F223" i="1"/>
  <c r="G223" i="1"/>
  <c r="H223" i="1"/>
  <c r="J223" i="1"/>
  <c r="E224" i="1"/>
  <c r="F224" i="1"/>
  <c r="G224" i="1"/>
  <c r="H224" i="1"/>
  <c r="J224" i="1"/>
  <c r="E225" i="1"/>
  <c r="F225" i="1"/>
  <c r="G225" i="1"/>
  <c r="H225" i="1"/>
  <c r="J225" i="1"/>
  <c r="E226" i="1"/>
  <c r="F226" i="1"/>
  <c r="G226" i="1"/>
  <c r="H226" i="1"/>
  <c r="J226" i="1"/>
  <c r="E227" i="1"/>
  <c r="F227" i="1"/>
  <c r="G227" i="1"/>
  <c r="H227" i="1"/>
  <c r="J227" i="1"/>
  <c r="F228" i="1"/>
  <c r="G228" i="1"/>
  <c r="H228" i="1"/>
  <c r="J228" i="1"/>
  <c r="E229" i="1"/>
  <c r="F229" i="1"/>
  <c r="G229" i="1"/>
  <c r="H229" i="1"/>
  <c r="J229" i="1"/>
  <c r="D228" i="1"/>
  <c r="D226" i="1"/>
  <c r="D224" i="1"/>
  <c r="L197" i="2" l="1"/>
  <c r="J214" i="2"/>
  <c r="L213" i="2"/>
  <c r="L214" i="2" s="1"/>
  <c r="J262" i="2"/>
  <c r="E259" i="1"/>
  <c r="F259" i="1"/>
  <c r="G259" i="1"/>
  <c r="H259" i="1"/>
  <c r="J259" i="1"/>
  <c r="E258" i="1"/>
  <c r="F258" i="1"/>
  <c r="G258" i="1"/>
  <c r="H258" i="1"/>
  <c r="J258" i="1"/>
  <c r="D259" i="1" l="1"/>
  <c r="D258" i="1"/>
  <c r="E256" i="1"/>
  <c r="F256" i="1"/>
  <c r="G256" i="1"/>
  <c r="H256" i="1"/>
  <c r="J256" i="1"/>
  <c r="D256" i="1"/>
  <c r="E255" i="1"/>
  <c r="F255" i="1"/>
  <c r="G255" i="1"/>
  <c r="H255" i="1"/>
  <c r="J255" i="1"/>
  <c r="D255" i="1"/>
  <c r="E254" i="1"/>
  <c r="F254" i="1"/>
  <c r="G254" i="1"/>
  <c r="H254" i="1"/>
  <c r="J254" i="1"/>
  <c r="D254" i="1"/>
  <c r="F253" i="1"/>
  <c r="G253" i="1"/>
  <c r="H253" i="1"/>
  <c r="J253" i="1"/>
  <c r="D253" i="1"/>
  <c r="E252" i="1"/>
  <c r="F252" i="1"/>
  <c r="G252" i="1"/>
  <c r="H252" i="1"/>
  <c r="J252" i="1"/>
  <c r="D252" i="1"/>
  <c r="E251" i="1"/>
  <c r="F251" i="1"/>
  <c r="G251" i="1"/>
  <c r="H251" i="1"/>
  <c r="J251" i="1"/>
  <c r="D251" i="1"/>
  <c r="E250" i="1"/>
  <c r="F250" i="1"/>
  <c r="G250" i="1"/>
  <c r="H250" i="1"/>
  <c r="J250" i="1"/>
  <c r="D250" i="1"/>
  <c r="E249" i="1"/>
  <c r="F249" i="1"/>
  <c r="G249" i="1"/>
  <c r="H249" i="1"/>
  <c r="J249" i="1"/>
  <c r="D249" i="1"/>
  <c r="E248" i="1"/>
  <c r="F248" i="1"/>
  <c r="G248" i="1"/>
  <c r="H248" i="1"/>
  <c r="J248" i="1"/>
  <c r="E247" i="1"/>
  <c r="F247" i="1"/>
  <c r="G247" i="1"/>
  <c r="H247" i="1"/>
  <c r="J247" i="1"/>
  <c r="D248" i="1"/>
  <c r="D247" i="1"/>
  <c r="E245" i="1"/>
  <c r="F245" i="1"/>
  <c r="G245" i="1"/>
  <c r="H245" i="1"/>
  <c r="J245" i="1"/>
  <c r="E246" i="1"/>
  <c r="F246" i="1"/>
  <c r="G246" i="1"/>
  <c r="H246" i="1"/>
  <c r="J246" i="1"/>
  <c r="D246" i="1"/>
  <c r="D245" i="1"/>
  <c r="E244" i="1"/>
  <c r="F244" i="1"/>
  <c r="G244" i="1"/>
  <c r="H244" i="1"/>
  <c r="J244" i="1"/>
  <c r="D244" i="1"/>
  <c r="E243" i="1"/>
  <c r="F243" i="1"/>
  <c r="G243" i="1"/>
  <c r="H243" i="1"/>
  <c r="J243" i="1"/>
  <c r="D243" i="1"/>
  <c r="E242" i="1"/>
  <c r="F242" i="1"/>
  <c r="G242" i="1"/>
  <c r="H242" i="1"/>
  <c r="J242" i="1"/>
  <c r="E240" i="1"/>
  <c r="F240" i="1"/>
  <c r="G240" i="1"/>
  <c r="H240" i="1"/>
  <c r="F239" i="1"/>
  <c r="G239" i="1"/>
  <c r="H239" i="1"/>
  <c r="E238" i="1"/>
  <c r="F238" i="1"/>
  <c r="G238" i="1"/>
  <c r="H238" i="1"/>
  <c r="E237" i="1"/>
  <c r="F237" i="1"/>
  <c r="G237" i="1"/>
  <c r="H237" i="1"/>
  <c r="E236" i="1"/>
  <c r="F236" i="1"/>
  <c r="G236" i="1"/>
  <c r="H236" i="1"/>
  <c r="E234" i="1"/>
  <c r="F234" i="1"/>
  <c r="G234" i="1"/>
  <c r="H234" i="1"/>
  <c r="E235" i="1"/>
  <c r="F235" i="1"/>
  <c r="G235" i="1"/>
  <c r="H235" i="1"/>
  <c r="E233" i="1"/>
  <c r="F233" i="1"/>
  <c r="G233" i="1"/>
  <c r="H233" i="1"/>
  <c r="F232" i="1"/>
  <c r="G232" i="1"/>
  <c r="H232" i="1"/>
  <c r="J239" i="1"/>
  <c r="D239" i="1"/>
  <c r="J238" i="1"/>
  <c r="D238" i="1"/>
  <c r="J237" i="1"/>
  <c r="J236" i="1"/>
  <c r="J235" i="1"/>
  <c r="J234" i="1"/>
  <c r="J233" i="1"/>
  <c r="J232" i="1"/>
  <c r="D232" i="1"/>
  <c r="D181" i="1" l="1"/>
  <c r="E72" i="1"/>
  <c r="E203" i="1"/>
  <c r="E198" i="1"/>
  <c r="E207" i="1"/>
  <c r="E30" i="1"/>
  <c r="E25" i="1"/>
  <c r="I6" i="1"/>
  <c r="I7" i="1"/>
  <c r="I225" i="1" s="1"/>
  <c r="I8" i="1"/>
  <c r="I226" i="1" s="1"/>
  <c r="I9" i="1"/>
  <c r="I227" i="1" s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E253" i="1" l="1"/>
  <c r="I231" i="1"/>
  <c r="E230" i="1"/>
  <c r="E228" i="1"/>
  <c r="I228" i="1"/>
  <c r="I230" i="1"/>
  <c r="I229" i="1"/>
  <c r="I224" i="1"/>
  <c r="E232" i="1"/>
  <c r="E239" i="1"/>
  <c r="I127" i="1"/>
  <c r="K127" i="1" s="1"/>
  <c r="I180" i="1"/>
  <c r="K180" i="1" s="1"/>
  <c r="I209" i="1"/>
  <c r="I208" i="1"/>
  <c r="I207" i="1"/>
  <c r="I206" i="1"/>
  <c r="E210" i="1"/>
  <c r="F210" i="1"/>
  <c r="G210" i="1"/>
  <c r="H210" i="1"/>
  <c r="J210" i="1"/>
  <c r="D210" i="1"/>
  <c r="J181" i="1"/>
  <c r="K13" i="1"/>
  <c r="K11" i="1"/>
  <c r="D242" i="1"/>
  <c r="D240" i="1"/>
  <c r="D237" i="1"/>
  <c r="D236" i="1"/>
  <c r="D233" i="1"/>
  <c r="D235" i="1"/>
  <c r="D234" i="1"/>
  <c r="K209" i="1" l="1"/>
  <c r="K208" i="1"/>
  <c r="K207" i="1"/>
  <c r="I210" i="1"/>
  <c r="K206" i="1"/>
  <c r="D229" i="1"/>
  <c r="D227" i="1"/>
  <c r="D225" i="1"/>
  <c r="D223" i="1"/>
  <c r="K210" i="1" l="1"/>
  <c r="J240" i="1"/>
  <c r="I33" i="1"/>
  <c r="K33" i="1" s="1"/>
  <c r="I62" i="1"/>
  <c r="K62" i="1" s="1"/>
  <c r="I97" i="1"/>
  <c r="K97" i="1" s="1"/>
  <c r="I121" i="1"/>
  <c r="K121" i="1" s="1"/>
  <c r="I144" i="1"/>
  <c r="K144" i="1" s="1"/>
  <c r="I164" i="1"/>
  <c r="K164" i="1" s="1"/>
  <c r="I182" i="1"/>
  <c r="K182" i="1" s="1"/>
  <c r="I181" i="1"/>
  <c r="K181" i="1" s="1"/>
  <c r="I205" i="1"/>
  <c r="I212" i="1"/>
  <c r="K212" i="1" s="1"/>
  <c r="I211" i="1"/>
  <c r="K211" i="1" s="1"/>
  <c r="I203" i="1"/>
  <c r="I202" i="1"/>
  <c r="I201" i="1"/>
  <c r="I200" i="1"/>
  <c r="I199" i="1"/>
  <c r="I198" i="1"/>
  <c r="K198" i="1" s="1"/>
  <c r="I196" i="1"/>
  <c r="K196" i="1" s="1"/>
  <c r="I194" i="1"/>
  <c r="I193" i="1"/>
  <c r="I192" i="1"/>
  <c r="K192" i="1" s="1"/>
  <c r="I190" i="1"/>
  <c r="I189" i="1"/>
  <c r="I188" i="1"/>
  <c r="K188" i="1" s="1"/>
  <c r="I187" i="1"/>
  <c r="I186" i="1"/>
  <c r="I185" i="1"/>
  <c r="I184" i="1"/>
  <c r="K184" i="1" s="1"/>
  <c r="I183" i="1"/>
  <c r="I178" i="1"/>
  <c r="K178" i="1" s="1"/>
  <c r="I177" i="1"/>
  <c r="K177" i="1" s="1"/>
  <c r="I176" i="1"/>
  <c r="K176" i="1" s="1"/>
  <c r="I175" i="1"/>
  <c r="K175" i="1" s="1"/>
  <c r="I173" i="1"/>
  <c r="K173" i="1" s="1"/>
  <c r="I172" i="1"/>
  <c r="K172" i="1" s="1"/>
  <c r="I171" i="1"/>
  <c r="K171" i="1" s="1"/>
  <c r="I170" i="1"/>
  <c r="K170" i="1" s="1"/>
  <c r="I169" i="1"/>
  <c r="I168" i="1"/>
  <c r="I167" i="1"/>
  <c r="I166" i="1"/>
  <c r="K166" i="1" s="1"/>
  <c r="I165" i="1"/>
  <c r="I162" i="1"/>
  <c r="I161" i="1"/>
  <c r="K161" i="1" s="1"/>
  <c r="I160" i="1"/>
  <c r="K160" i="1" s="1"/>
  <c r="I159" i="1"/>
  <c r="K159" i="1" s="1"/>
  <c r="I158" i="1"/>
  <c r="K158" i="1" s="1"/>
  <c r="I157" i="1"/>
  <c r="K157" i="1" s="1"/>
  <c r="I155" i="1"/>
  <c r="K155" i="1" s="1"/>
  <c r="I154" i="1"/>
  <c r="K154" i="1" s="1"/>
  <c r="I152" i="1"/>
  <c r="K152" i="1" s="1"/>
  <c r="I151" i="1"/>
  <c r="K151" i="1" s="1"/>
  <c r="I150" i="1"/>
  <c r="K150" i="1" s="1"/>
  <c r="I149" i="1"/>
  <c r="K149" i="1" s="1"/>
  <c r="I148" i="1"/>
  <c r="K148" i="1" s="1"/>
  <c r="I147" i="1"/>
  <c r="K147" i="1" s="1"/>
  <c r="I146" i="1"/>
  <c r="K146" i="1" s="1"/>
  <c r="I145" i="1"/>
  <c r="K145" i="1" s="1"/>
  <c r="I142" i="1"/>
  <c r="K142" i="1" s="1"/>
  <c r="I141" i="1"/>
  <c r="K141" i="1" s="1"/>
  <c r="I140" i="1"/>
  <c r="K140" i="1" s="1"/>
  <c r="I139" i="1"/>
  <c r="K139" i="1" s="1"/>
  <c r="I138" i="1"/>
  <c r="K138" i="1" s="1"/>
  <c r="I137" i="1"/>
  <c r="K137" i="1" s="1"/>
  <c r="I136" i="1"/>
  <c r="K136" i="1" s="1"/>
  <c r="I134" i="1"/>
  <c r="K134" i="1" s="1"/>
  <c r="I133" i="1"/>
  <c r="K133" i="1" s="1"/>
  <c r="I132" i="1"/>
  <c r="K132" i="1" s="1"/>
  <c r="I131" i="1"/>
  <c r="K131" i="1" s="1"/>
  <c r="I129" i="1"/>
  <c r="K129" i="1" s="1"/>
  <c r="I128" i="1"/>
  <c r="K128" i="1" s="1"/>
  <c r="I126" i="1"/>
  <c r="K126" i="1" s="1"/>
  <c r="I125" i="1"/>
  <c r="K125" i="1" s="1"/>
  <c r="I124" i="1"/>
  <c r="K124" i="1" s="1"/>
  <c r="I123" i="1"/>
  <c r="K123" i="1" s="1"/>
  <c r="I122" i="1"/>
  <c r="K122" i="1" s="1"/>
  <c r="I119" i="1"/>
  <c r="K119" i="1" s="1"/>
  <c r="I118" i="1"/>
  <c r="K118" i="1" s="1"/>
  <c r="I117" i="1"/>
  <c r="K117" i="1" s="1"/>
  <c r="I116" i="1"/>
  <c r="K116" i="1" s="1"/>
  <c r="I115" i="1"/>
  <c r="K115" i="1" s="1"/>
  <c r="I114" i="1"/>
  <c r="K114" i="1" s="1"/>
  <c r="I112" i="1"/>
  <c r="K112" i="1" s="1"/>
  <c r="I111" i="1"/>
  <c r="K111" i="1" s="1"/>
  <c r="I110" i="1"/>
  <c r="K110" i="1" s="1"/>
  <c r="I109" i="1"/>
  <c r="K109" i="1" s="1"/>
  <c r="I107" i="1"/>
  <c r="K107" i="1" s="1"/>
  <c r="I106" i="1"/>
  <c r="K106" i="1" s="1"/>
  <c r="I105" i="1"/>
  <c r="K105" i="1" s="1"/>
  <c r="I104" i="1"/>
  <c r="K104" i="1" s="1"/>
  <c r="I103" i="1"/>
  <c r="K103" i="1" s="1"/>
  <c r="I102" i="1"/>
  <c r="I101" i="1"/>
  <c r="K101" i="1" s="1"/>
  <c r="I100" i="1"/>
  <c r="K100" i="1" s="1"/>
  <c r="I99" i="1"/>
  <c r="K99" i="1" s="1"/>
  <c r="I98" i="1"/>
  <c r="K98" i="1" s="1"/>
  <c r="I95" i="1"/>
  <c r="K95" i="1" s="1"/>
  <c r="I94" i="1"/>
  <c r="K94" i="1" s="1"/>
  <c r="I93" i="1"/>
  <c r="K93" i="1" s="1"/>
  <c r="I92" i="1"/>
  <c r="K92" i="1" s="1"/>
  <c r="I91" i="1"/>
  <c r="K91" i="1" s="1"/>
  <c r="I90" i="1"/>
  <c r="K90" i="1" s="1"/>
  <c r="I89" i="1"/>
  <c r="I87" i="1"/>
  <c r="K87" i="1" s="1"/>
  <c r="I86" i="1"/>
  <c r="K86" i="1" s="1"/>
  <c r="I85" i="1"/>
  <c r="K85" i="1" s="1"/>
  <c r="I84" i="1"/>
  <c r="K84" i="1" s="1"/>
  <c r="I83" i="1"/>
  <c r="K83" i="1" s="1"/>
  <c r="I82" i="1"/>
  <c r="K82" i="1" s="1"/>
  <c r="I81" i="1"/>
  <c r="K81" i="1" s="1"/>
  <c r="I80" i="1"/>
  <c r="K80" i="1" s="1"/>
  <c r="I78" i="1"/>
  <c r="K78" i="1" s="1"/>
  <c r="I77" i="1"/>
  <c r="K77" i="1" s="1"/>
  <c r="I75" i="1"/>
  <c r="K75" i="1" s="1"/>
  <c r="I74" i="1"/>
  <c r="K74" i="1" s="1"/>
  <c r="I73" i="1"/>
  <c r="K73" i="1" s="1"/>
  <c r="I72" i="1"/>
  <c r="K72" i="1" s="1"/>
  <c r="I71" i="1"/>
  <c r="K71" i="1" s="1"/>
  <c r="I70" i="1"/>
  <c r="K70" i="1" s="1"/>
  <c r="I69" i="1"/>
  <c r="K69" i="1" s="1"/>
  <c r="I68" i="1"/>
  <c r="K68" i="1" s="1"/>
  <c r="I67" i="1"/>
  <c r="K67" i="1" s="1"/>
  <c r="I66" i="1"/>
  <c r="K66" i="1" s="1"/>
  <c r="I65" i="1"/>
  <c r="K65" i="1" s="1"/>
  <c r="I64" i="1"/>
  <c r="K64" i="1" s="1"/>
  <c r="I63" i="1"/>
  <c r="K63" i="1" s="1"/>
  <c r="I60" i="1"/>
  <c r="K60" i="1" s="1"/>
  <c r="I59" i="1"/>
  <c r="K59" i="1" s="1"/>
  <c r="I58" i="1"/>
  <c r="K58" i="1" s="1"/>
  <c r="I57" i="1"/>
  <c r="K57" i="1" s="1"/>
  <c r="I56" i="1"/>
  <c r="K56" i="1" s="1"/>
  <c r="I55" i="1"/>
  <c r="K55" i="1" s="1"/>
  <c r="I54" i="1"/>
  <c r="I53" i="1"/>
  <c r="I52" i="1"/>
  <c r="K52" i="1" s="1"/>
  <c r="I50" i="1"/>
  <c r="K50" i="1" s="1"/>
  <c r="I49" i="1"/>
  <c r="K49" i="1" s="1"/>
  <c r="I47" i="1"/>
  <c r="K47" i="1" s="1"/>
  <c r="I46" i="1"/>
  <c r="K46" i="1" s="1"/>
  <c r="I45" i="1"/>
  <c r="I44" i="1"/>
  <c r="K44" i="1" s="1"/>
  <c r="I43" i="1"/>
  <c r="K43" i="1" s="1"/>
  <c r="I42" i="1"/>
  <c r="K42" i="1" s="1"/>
  <c r="I41" i="1"/>
  <c r="I40" i="1"/>
  <c r="K40" i="1" s="1"/>
  <c r="I39" i="1"/>
  <c r="K39" i="1" s="1"/>
  <c r="I38" i="1"/>
  <c r="K38" i="1" s="1"/>
  <c r="I37" i="1"/>
  <c r="K37" i="1" s="1"/>
  <c r="I36" i="1"/>
  <c r="K36" i="1" s="1"/>
  <c r="I35" i="1"/>
  <c r="K35" i="1" s="1"/>
  <c r="I34" i="1"/>
  <c r="K34" i="1" s="1"/>
  <c r="I31" i="1"/>
  <c r="K31" i="1" s="1"/>
  <c r="I30" i="1"/>
  <c r="K30" i="1" s="1"/>
  <c r="I29" i="1"/>
  <c r="K29" i="1" s="1"/>
  <c r="I28" i="1"/>
  <c r="K28" i="1" s="1"/>
  <c r="I27" i="1"/>
  <c r="K27" i="1" s="1"/>
  <c r="I26" i="1"/>
  <c r="K26" i="1" s="1"/>
  <c r="I25" i="1"/>
  <c r="K25" i="1" s="1"/>
  <c r="K6" i="1"/>
  <c r="K7" i="1"/>
  <c r="K8" i="1"/>
  <c r="K9" i="1"/>
  <c r="K10" i="1"/>
  <c r="K12" i="1"/>
  <c r="K14" i="1"/>
  <c r="K15" i="1"/>
  <c r="K16" i="1"/>
  <c r="K17" i="1"/>
  <c r="K18" i="1"/>
  <c r="K19" i="1"/>
  <c r="K20" i="1"/>
  <c r="K21" i="1"/>
  <c r="K22" i="1"/>
  <c r="K23" i="1"/>
  <c r="I5" i="1"/>
  <c r="K5" i="1" l="1"/>
  <c r="K24" i="1" s="1"/>
  <c r="I223" i="1"/>
  <c r="K194" i="1"/>
  <c r="I259" i="1"/>
  <c r="K193" i="1"/>
  <c r="I258" i="1"/>
  <c r="K190" i="1"/>
  <c r="I256" i="1"/>
  <c r="K189" i="1"/>
  <c r="I255" i="1"/>
  <c r="K45" i="1"/>
  <c r="I254" i="1"/>
  <c r="K187" i="1"/>
  <c r="I253" i="1"/>
  <c r="K186" i="1"/>
  <c r="I252" i="1"/>
  <c r="I251" i="1"/>
  <c r="K41" i="1"/>
  <c r="I250" i="1"/>
  <c r="K169" i="1"/>
  <c r="I249" i="1"/>
  <c r="I247" i="1"/>
  <c r="K185" i="1"/>
  <c r="I248" i="1"/>
  <c r="K102" i="1"/>
  <c r="K108" i="1" s="1"/>
  <c r="K167" i="1"/>
  <c r="I245" i="1"/>
  <c r="K168" i="1"/>
  <c r="I246" i="1"/>
  <c r="K183" i="1"/>
  <c r="I244" i="1"/>
  <c r="K165" i="1"/>
  <c r="K174" i="1" s="1"/>
  <c r="I243" i="1"/>
  <c r="K205" i="1"/>
  <c r="I242" i="1"/>
  <c r="K54" i="1"/>
  <c r="I234" i="1"/>
  <c r="K89" i="1"/>
  <c r="K96" i="1" s="1"/>
  <c r="I232" i="1"/>
  <c r="K162" i="1"/>
  <c r="K163" i="1" s="1"/>
  <c r="I240" i="1"/>
  <c r="K200" i="1"/>
  <c r="I236" i="1"/>
  <c r="K202" i="1"/>
  <c r="I238" i="1"/>
  <c r="K53" i="1"/>
  <c r="I233" i="1"/>
  <c r="K199" i="1"/>
  <c r="I235" i="1"/>
  <c r="K201" i="1"/>
  <c r="I237" i="1"/>
  <c r="K203" i="1"/>
  <c r="I239" i="1"/>
  <c r="E204" i="1"/>
  <c r="F204" i="1"/>
  <c r="G204" i="1"/>
  <c r="H204" i="1"/>
  <c r="I204" i="1"/>
  <c r="J204" i="1"/>
  <c r="E195" i="1"/>
  <c r="F195" i="1"/>
  <c r="G195" i="1"/>
  <c r="H195" i="1"/>
  <c r="I195" i="1"/>
  <c r="J195" i="1"/>
  <c r="K195" i="1"/>
  <c r="E191" i="1"/>
  <c r="F191" i="1"/>
  <c r="G191" i="1"/>
  <c r="H191" i="1"/>
  <c r="I191" i="1"/>
  <c r="J191" i="1"/>
  <c r="E174" i="1"/>
  <c r="F174" i="1"/>
  <c r="G174" i="1"/>
  <c r="H174" i="1"/>
  <c r="I174" i="1"/>
  <c r="J174" i="1"/>
  <c r="E163" i="1"/>
  <c r="F163" i="1"/>
  <c r="G163" i="1"/>
  <c r="H163" i="1"/>
  <c r="I163" i="1"/>
  <c r="J163" i="1"/>
  <c r="E153" i="1"/>
  <c r="F153" i="1"/>
  <c r="G153" i="1"/>
  <c r="H153" i="1"/>
  <c r="I153" i="1"/>
  <c r="J153" i="1"/>
  <c r="K153" i="1"/>
  <c r="E143" i="1"/>
  <c r="F143" i="1"/>
  <c r="G143" i="1"/>
  <c r="H143" i="1"/>
  <c r="I143" i="1"/>
  <c r="J143" i="1"/>
  <c r="K143" i="1"/>
  <c r="E130" i="1"/>
  <c r="F130" i="1"/>
  <c r="G130" i="1"/>
  <c r="H130" i="1"/>
  <c r="I130" i="1"/>
  <c r="J130" i="1"/>
  <c r="K130" i="1"/>
  <c r="E120" i="1"/>
  <c r="F120" i="1"/>
  <c r="G120" i="1"/>
  <c r="H120" i="1"/>
  <c r="I120" i="1"/>
  <c r="J120" i="1"/>
  <c r="K120" i="1"/>
  <c r="E108" i="1"/>
  <c r="F108" i="1"/>
  <c r="G108" i="1"/>
  <c r="H108" i="1"/>
  <c r="I108" i="1"/>
  <c r="J108" i="1"/>
  <c r="E96" i="1"/>
  <c r="F96" i="1"/>
  <c r="G96" i="1"/>
  <c r="H96" i="1"/>
  <c r="I96" i="1"/>
  <c r="J96" i="1"/>
  <c r="E79" i="1"/>
  <c r="F79" i="1"/>
  <c r="G79" i="1"/>
  <c r="H79" i="1"/>
  <c r="I79" i="1"/>
  <c r="J79" i="1"/>
  <c r="K79" i="1"/>
  <c r="E76" i="1"/>
  <c r="F76" i="1"/>
  <c r="G76" i="1"/>
  <c r="H76" i="1"/>
  <c r="I76" i="1"/>
  <c r="J76" i="1"/>
  <c r="K76" i="1"/>
  <c r="E61" i="1"/>
  <c r="F61" i="1"/>
  <c r="G61" i="1"/>
  <c r="H61" i="1"/>
  <c r="I61" i="1"/>
  <c r="J61" i="1"/>
  <c r="E51" i="1"/>
  <c r="F51" i="1"/>
  <c r="G51" i="1"/>
  <c r="H51" i="1"/>
  <c r="I51" i="1"/>
  <c r="J51" i="1"/>
  <c r="K51" i="1"/>
  <c r="E48" i="1"/>
  <c r="F48" i="1"/>
  <c r="G48" i="1"/>
  <c r="H48" i="1"/>
  <c r="I48" i="1"/>
  <c r="J48" i="1"/>
  <c r="E32" i="1"/>
  <c r="F32" i="1"/>
  <c r="G32" i="1"/>
  <c r="H32" i="1"/>
  <c r="I32" i="1"/>
  <c r="J32" i="1"/>
  <c r="K32" i="1"/>
  <c r="E24" i="1"/>
  <c r="F24" i="1"/>
  <c r="G24" i="1"/>
  <c r="H24" i="1"/>
  <c r="I24" i="1"/>
  <c r="J24" i="1"/>
  <c r="K204" i="1" l="1"/>
  <c r="K213" i="1" s="1"/>
  <c r="K61" i="1"/>
  <c r="K88" i="1" s="1"/>
  <c r="J260" i="1"/>
  <c r="H260" i="1"/>
  <c r="F260" i="1"/>
  <c r="I260" i="1"/>
  <c r="G260" i="1"/>
  <c r="E260" i="1"/>
  <c r="I257" i="1"/>
  <c r="G257" i="1"/>
  <c r="E257" i="1"/>
  <c r="J257" i="1"/>
  <c r="H257" i="1"/>
  <c r="F257" i="1"/>
  <c r="K48" i="1"/>
  <c r="K191" i="1"/>
  <c r="J213" i="1"/>
  <c r="J241" i="1"/>
  <c r="H241" i="1"/>
  <c r="F241" i="1"/>
  <c r="I213" i="1"/>
  <c r="I241" i="1"/>
  <c r="G241" i="1"/>
  <c r="E241" i="1"/>
  <c r="G213" i="1"/>
  <c r="J88" i="1"/>
  <c r="H213" i="1"/>
  <c r="F213" i="1"/>
  <c r="E213" i="1"/>
  <c r="G197" i="1"/>
  <c r="E197" i="1"/>
  <c r="H88" i="1"/>
  <c r="F88" i="1"/>
  <c r="G88" i="1"/>
  <c r="E88" i="1"/>
  <c r="J113" i="1"/>
  <c r="H113" i="1"/>
  <c r="F113" i="1"/>
  <c r="G113" i="1"/>
  <c r="E113" i="1"/>
  <c r="H135" i="1"/>
  <c r="F135" i="1"/>
  <c r="G135" i="1"/>
  <c r="E135" i="1"/>
  <c r="H156" i="1"/>
  <c r="F156" i="1"/>
  <c r="G156" i="1"/>
  <c r="E156" i="1"/>
  <c r="H179" i="1"/>
  <c r="F179" i="1"/>
  <c r="H197" i="1"/>
  <c r="F197" i="1"/>
  <c r="J156" i="1"/>
  <c r="G179" i="1"/>
  <c r="E179" i="1"/>
  <c r="K135" i="1"/>
  <c r="I135" i="1"/>
  <c r="K179" i="1"/>
  <c r="I179" i="1"/>
  <c r="K197" i="1"/>
  <c r="I197" i="1"/>
  <c r="J197" i="1"/>
  <c r="J179" i="1"/>
  <c r="K156" i="1"/>
  <c r="I156" i="1"/>
  <c r="J135" i="1"/>
  <c r="K113" i="1"/>
  <c r="I113" i="1"/>
  <c r="I88" i="1"/>
  <c r="D24" i="1"/>
  <c r="H261" i="1" l="1"/>
  <c r="F261" i="1"/>
  <c r="J261" i="1"/>
  <c r="E261" i="1"/>
  <c r="I261" i="1"/>
  <c r="G261" i="1"/>
  <c r="J214" i="1"/>
  <c r="G214" i="1"/>
  <c r="H214" i="1"/>
  <c r="E214" i="1"/>
  <c r="F214" i="1"/>
  <c r="I214" i="1"/>
  <c r="K214" i="1"/>
  <c r="D79" i="1"/>
  <c r="D76" i="1"/>
  <c r="D48" i="1"/>
  <c r="D51" i="1"/>
  <c r="D191" i="1"/>
  <c r="D195" i="1"/>
  <c r="D174" i="1"/>
  <c r="D153" i="1"/>
  <c r="D130" i="1"/>
  <c r="D108" i="1"/>
  <c r="D204" i="1"/>
  <c r="D213" i="1" s="1"/>
  <c r="D163" i="1"/>
  <c r="D143" i="1"/>
  <c r="D120" i="1"/>
  <c r="D96" i="1"/>
  <c r="D32" i="1"/>
  <c r="D61" i="1"/>
  <c r="D260" i="1" l="1"/>
  <c r="D257" i="1"/>
  <c r="D241" i="1"/>
  <c r="D156" i="1"/>
  <c r="D197" i="1"/>
  <c r="D88" i="1"/>
  <c r="D135" i="1"/>
  <c r="D179" i="1"/>
  <c r="D113" i="1"/>
  <c r="D261" i="1" l="1"/>
  <c r="D214" i="1"/>
</calcChain>
</file>

<file path=xl/sharedStrings.xml><?xml version="1.0" encoding="utf-8"?>
<sst xmlns="http://schemas.openxmlformats.org/spreadsheetml/2006/main" count="4872" uniqueCount="194">
  <si>
    <t>Komló Térségi Családsegítő és Gyermekjóléti Szolgálat 2019</t>
  </si>
  <si>
    <t>Részletező</t>
  </si>
  <si>
    <t>Cofog</t>
  </si>
  <si>
    <t>Rovat</t>
  </si>
  <si>
    <t>Eredeti ei.</t>
  </si>
  <si>
    <t>Tény</t>
  </si>
  <si>
    <t>1201-Komló</t>
  </si>
  <si>
    <t>1202-Egyházaskozár</t>
  </si>
  <si>
    <t>1203-Hosszúhetény</t>
  </si>
  <si>
    <t>1204-Magyarszék</t>
  </si>
  <si>
    <t>1206- EFOP1.5.2-16-00028</t>
  </si>
  <si>
    <t>5201-Komló</t>
  </si>
  <si>
    <t>5202-Egyházaskozár</t>
  </si>
  <si>
    <t>5203-Hosszúhetény</t>
  </si>
  <si>
    <t>5204- Magyarszék</t>
  </si>
  <si>
    <t>5206- EFOP1.5.2-16-00028</t>
  </si>
  <si>
    <t>B16</t>
  </si>
  <si>
    <t>B8131</t>
  </si>
  <si>
    <t>B816</t>
  </si>
  <si>
    <t>B403</t>
  </si>
  <si>
    <t>B4082</t>
  </si>
  <si>
    <t>018030</t>
  </si>
  <si>
    <t>B25</t>
  </si>
  <si>
    <t>104042</t>
  </si>
  <si>
    <t>K1101</t>
  </si>
  <si>
    <t>K1107</t>
  </si>
  <si>
    <t>K1108</t>
  </si>
  <si>
    <t>K1109</t>
  </si>
  <si>
    <t>K1110</t>
  </si>
  <si>
    <t>K1113</t>
  </si>
  <si>
    <t>K123</t>
  </si>
  <si>
    <t>K2</t>
  </si>
  <si>
    <t>K311</t>
  </si>
  <si>
    <t>K312</t>
  </si>
  <si>
    <t>K321</t>
  </si>
  <si>
    <t>K322</t>
  </si>
  <si>
    <t>K331</t>
  </si>
  <si>
    <t>K333</t>
  </si>
  <si>
    <t>K334</t>
  </si>
  <si>
    <t>K335</t>
  </si>
  <si>
    <t>K336</t>
  </si>
  <si>
    <t>K337</t>
  </si>
  <si>
    <t>K341</t>
  </si>
  <si>
    <t>K342</t>
  </si>
  <si>
    <t>K351</t>
  </si>
  <si>
    <t>K355</t>
  </si>
  <si>
    <t>104043</t>
  </si>
  <si>
    <t>K1104</t>
  </si>
  <si>
    <t>K1106</t>
  </si>
  <si>
    <t>K3</t>
  </si>
  <si>
    <t>K64</t>
  </si>
  <si>
    <t>K67</t>
  </si>
  <si>
    <t>K6</t>
  </si>
  <si>
    <t>K1</t>
  </si>
  <si>
    <t>1205- Szászvár</t>
  </si>
  <si>
    <t>5205- Szászvár</t>
  </si>
  <si>
    <t>K63</t>
  </si>
  <si>
    <t>K47</t>
  </si>
  <si>
    <t>52011 - Bérkomp Komló 104043</t>
  </si>
  <si>
    <t>52012 - Bérkomp Komló 104042</t>
  </si>
  <si>
    <t>52013 - Szoc ágazati Komló 104042</t>
  </si>
  <si>
    <t>52014 - Szoc ágazati Komló 104043</t>
  </si>
  <si>
    <t>52021 - Bérkomp Egyházaskozár 104042</t>
  </si>
  <si>
    <t>52022 - Szoc ágazati Egyházaskozás 104042</t>
  </si>
  <si>
    <t>52031 - Bérkomp Hosszúhetény 104042</t>
  </si>
  <si>
    <t>52032 - Szoc. ágazati Hosszúhetény 104042</t>
  </si>
  <si>
    <t>52041 - Szoc. ágazati Magyarszék 104042</t>
  </si>
  <si>
    <t>52051 - Bérkomp Szászvár 104042</t>
  </si>
  <si>
    <t>52071 - Szoc. ágazati Iskolai szociális munka 104043</t>
  </si>
  <si>
    <t>Előirányzat változás</t>
  </si>
  <si>
    <t>Átcsoportosítás</t>
  </si>
  <si>
    <t>Módosítás</t>
  </si>
  <si>
    <t>Különbözet (mód.ei. - tény)</t>
  </si>
  <si>
    <t>BEVÉTEL ÖSSZESEN</t>
  </si>
  <si>
    <t>KIADÁS ÖSSZESEN</t>
  </si>
  <si>
    <t>52052 - Szoc. ágazati Szászvár 104042</t>
  </si>
  <si>
    <t>KOMLÓ ÖSSZESEN</t>
  </si>
  <si>
    <t>EGYHÁZASKOZÁR ÖSSZESEN</t>
  </si>
  <si>
    <t>HOSSZÚHETÉNY ÖSSZESEN</t>
  </si>
  <si>
    <t>MAGYARSZÉK ÖSSZESEN</t>
  </si>
  <si>
    <t>SZÁSZVÁR ÖSSZESEN</t>
  </si>
  <si>
    <t>EFOP ÖSSZESEN</t>
  </si>
  <si>
    <t>ISKOLAI SZOC. MUNKA ÖSSZESEN</t>
  </si>
  <si>
    <t>PM INFO EGYEZTETŐ</t>
  </si>
  <si>
    <t>B411</t>
  </si>
  <si>
    <t>5207-Iskolai szociális munka</t>
  </si>
  <si>
    <t>B4</t>
  </si>
  <si>
    <t>B8</t>
  </si>
  <si>
    <t>K</t>
  </si>
  <si>
    <t>Módosított ei. 03.31.</t>
  </si>
  <si>
    <t>Módosított ei. 04.30.</t>
  </si>
  <si>
    <t>Tény 04.30</t>
  </si>
  <si>
    <t>Különbözet (mód.ei. - tény) 04.30.</t>
  </si>
  <si>
    <t>Előirányzat változás 04.30</t>
  </si>
  <si>
    <t>B</t>
  </si>
  <si>
    <t>Tény 05.31</t>
  </si>
  <si>
    <t>Módosított ei. 05.31.</t>
  </si>
  <si>
    <t>Előirányzat változás 05.31-ig</t>
  </si>
  <si>
    <t>Előirányzat változás 05.31</t>
  </si>
  <si>
    <t>Tény 05.31.</t>
  </si>
  <si>
    <t>K4</t>
  </si>
  <si>
    <t>Módosítás-Választási nap</t>
  </si>
  <si>
    <t>Módosítás-Műk. bev. többlet</t>
  </si>
  <si>
    <t>Módosítás-Műk.bev. Többlet</t>
  </si>
  <si>
    <t>Részletező kód</t>
  </si>
  <si>
    <t>COFOG</t>
  </si>
  <si>
    <t>Előirányzat változás 06.30.</t>
  </si>
  <si>
    <t>Módosított ei. 06.30.</t>
  </si>
  <si>
    <t>Tény 06.30.</t>
  </si>
  <si>
    <t>Különbözet (módosított ei. - tény) 06.30</t>
  </si>
  <si>
    <t>Előirányzat változás 07.31.</t>
  </si>
  <si>
    <t>Módosított ei. 07.31.</t>
  </si>
  <si>
    <t>Tény 07.31.</t>
  </si>
  <si>
    <t>Különbözet (módosított ei. - tény) 07.31.</t>
  </si>
  <si>
    <t>Előirányzat változás 08.31.</t>
  </si>
  <si>
    <t>Módosított ei. 08.31.</t>
  </si>
  <si>
    <t>Tény 08.31.</t>
  </si>
  <si>
    <t>Különbözet (módosított ei. - tény) 08.31.</t>
  </si>
  <si>
    <t>Tény 8.31.</t>
  </si>
  <si>
    <t>Módosított ei. 09.30.</t>
  </si>
  <si>
    <t>Különbözet (módosított ei. - tény)</t>
  </si>
  <si>
    <t>FŐKÖNYV EGYEZTETŐ</t>
  </si>
  <si>
    <t>Módosítás Működési bevételi többlet</t>
  </si>
  <si>
    <t>Módosítás Min.bér és gar.bérmin. tám.</t>
  </si>
  <si>
    <t>Módosítás EFOP 1.5.2.-16</t>
  </si>
  <si>
    <t>Módosított bevételek</t>
  </si>
  <si>
    <t>B816 Központi irányító szervi támogatás (bérkomp/szoc.ág.)</t>
  </si>
  <si>
    <t>B816 Központi irányító szervi támogatás (normatíva)</t>
  </si>
  <si>
    <t>B16  Műk.c.tám.ért.bev.helyi önkormányzattól</t>
  </si>
  <si>
    <t>B16  Műk.c.tám.ért.bev. elk.állami pénzalapoktól</t>
  </si>
  <si>
    <t>B1632 Egyéb fejezeti kezelésű működési c. támogatás</t>
  </si>
  <si>
    <t>B25  Felhalmozási célú tám. ért. bev. helyi önkormányzattól</t>
  </si>
  <si>
    <t>B8131 Előző évi ktgv. maradvány igénybevétele</t>
  </si>
  <si>
    <t>B4 Működési bevételek</t>
  </si>
  <si>
    <t>B5 Felhalmozási bevételek</t>
  </si>
  <si>
    <t>ÖSSZESEN:</t>
  </si>
  <si>
    <t>Módosított kiadások</t>
  </si>
  <si>
    <t>K915 Központi. Irányító szervi támogatás</t>
  </si>
  <si>
    <t>K5066 Műk.c.tám.ért.kiadás helyi önkormányzatnak</t>
  </si>
  <si>
    <t>K1 Személyi juttatások</t>
  </si>
  <si>
    <t>K2 Járulékok</t>
  </si>
  <si>
    <t>K3 Dologi és folyó kiadások</t>
  </si>
  <si>
    <t>K6 Felhalmozási kiadások</t>
  </si>
  <si>
    <t>K50632 Egyéb műk. c. tám. Áht-n belülről</t>
  </si>
  <si>
    <t>K50233 Elvonások és befizetések</t>
  </si>
  <si>
    <t>Átcsoportosított bevételek</t>
  </si>
  <si>
    <t>B16  Egyéb fejezeti kezelésű működési c. támogatás</t>
  </si>
  <si>
    <t>B25 Felhalmozási célú tám. ért. bev. helyi önkormányzattól</t>
  </si>
  <si>
    <t>Átcsoportosított kiadások</t>
  </si>
  <si>
    <t>K6 Beruházási kiadások</t>
  </si>
  <si>
    <t>K7 Felújítási kiadások</t>
  </si>
  <si>
    <t>BEVÉTELEK</t>
  </si>
  <si>
    <t>B16 Műk.c.tám.ért.bev. Helyi önkormányzattól</t>
  </si>
  <si>
    <t>B16 Műk.c.tám.ért.bev. elk.állami pénzalapoktól</t>
  </si>
  <si>
    <t>B16 Egyéb fejezeti kezelésű működési c. támogatás</t>
  </si>
  <si>
    <t>KIADÁSOK</t>
  </si>
  <si>
    <t>Előirányzat változás 09.30.</t>
  </si>
  <si>
    <t>Tény 09.30.</t>
  </si>
  <si>
    <t>Különbözet (módosított ei. - tény) 09.30.</t>
  </si>
  <si>
    <t>Módosított ei. 10.31.</t>
  </si>
  <si>
    <t>Előirányzat változás 10.31</t>
  </si>
  <si>
    <t>Tény 10.31.</t>
  </si>
  <si>
    <t>Különbözet (módosított ei. - tény) 10.31.</t>
  </si>
  <si>
    <t>Választási nap 2019.okt.</t>
  </si>
  <si>
    <t>Módosított ei. 11.30</t>
  </si>
  <si>
    <t>Módosítás Választási nap 2019.okt.</t>
  </si>
  <si>
    <t>Módosított ei. 11.30.</t>
  </si>
  <si>
    <t>Módosítás Kp. tám.korr. (bérkompenzáció)</t>
  </si>
  <si>
    <t>Módosítás Kp. tám.korr. (szoc.ág.p.)</t>
  </si>
  <si>
    <t>B816 Központi irányító szervi támogatás (szoc.ág.)</t>
  </si>
  <si>
    <t>B816 Központi irányító szervi támogatás (bérkompenzáció)</t>
  </si>
  <si>
    <t>B816 Központi irányító szervi támogatás (szoc.ág.pótlék)</t>
  </si>
  <si>
    <t>Előirányzat változás 11.30.</t>
  </si>
  <si>
    <t>Tény 11.30.</t>
  </si>
  <si>
    <t>Különbözet (módosított ei. - tény) 11.30.</t>
  </si>
  <si>
    <t>Előirányzat változás 12.31.</t>
  </si>
  <si>
    <t>Módosított ei. 12.31.</t>
  </si>
  <si>
    <t>Tény 12.31.</t>
  </si>
  <si>
    <t>Különbözet (módosított ei. - tény) 12.31</t>
  </si>
  <si>
    <t>Módosítás Kp. tám.korr. (szoc.ág.p.-Tóth Andrea)</t>
  </si>
  <si>
    <t>Módosítás-Saját bevétel csökk.</t>
  </si>
  <si>
    <t>Módosítás-Központi tám.korr.(bérkomp)</t>
  </si>
  <si>
    <t>Módosítás-Központi tám.korr.(szoc.ágazati p.)</t>
  </si>
  <si>
    <t>Módosítás-EFOP Támogatás értékű bevétel csökk.</t>
  </si>
  <si>
    <t>B16  Műk.c.tám.ért.bev. EU-s támogatás</t>
  </si>
  <si>
    <t>5208-Magyarhertelend</t>
  </si>
  <si>
    <t>52081 - Szoc.ágazati Magyarhertelend</t>
  </si>
  <si>
    <t>1208-Magyarhertelend</t>
  </si>
  <si>
    <t>MAGYARHERTELEND ÖSSZESEN</t>
  </si>
  <si>
    <t>Komló Térségi Családsegítő és Gyermekjóléti Szolgálat 2020</t>
  </si>
  <si>
    <t>B816 Központi irányító szervi támogatás (bérkomp)</t>
  </si>
  <si>
    <t>Kiegészítő támogatás</t>
  </si>
  <si>
    <t>Normatíva növekedés</t>
  </si>
  <si>
    <t>Önk.működési hj.csökkenése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</si>
</sst>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#,##0\ &quot;Ft&quot;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sz val="11"/>
      <name val="Calibri"/>
      <family val="2"/>
      <scheme val="minor"/>
    </font>
    <font>
      <b/>
      <sz val="8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EDF4AA"/>
        <bgColor indexed="64"/>
      </patternFill>
    </fill>
    <fill>
      <patternFill patternType="solid">
        <fgColor rgb="FFD4E533"/>
        <bgColor indexed="64"/>
      </patternFill>
    </fill>
    <fill>
      <patternFill patternType="solid">
        <fgColor rgb="FFD6E63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43" fontId="19" fillId="0" borderId="0" applyFont="0" applyFill="0" applyBorder="0" applyAlignment="0" applyProtection="0"/>
  </cellStyleXfs>
  <cellXfs count="434">
    <xf numFmtId="0" fontId="0" fillId="0" borderId="0" xfId="0"/>
    <xf numFmtId="0" fontId="18" fillId="0" borderId="0" xfId="0" applyFont="1" applyAlignment="1">
      <alignment vertical="center"/>
    </xf>
    <xf numFmtId="0" fontId="0" fillId="0" borderId="1" xfId="0" applyBorder="1"/>
    <xf numFmtId="3" fontId="0" fillId="0" borderId="1" xfId="0" applyNumberFormat="1" applyBorder="1"/>
    <xf numFmtId="3" fontId="0" fillId="0" borderId="0" xfId="0" applyNumberFormat="1"/>
    <xf numFmtId="49" fontId="0" fillId="0" borderId="0" xfId="0" applyNumberFormat="1"/>
    <xf numFmtId="0" fontId="17" fillId="4" borderId="1" xfId="0" applyFont="1" applyFill="1" applyBorder="1"/>
    <xf numFmtId="3" fontId="17" fillId="4" borderId="1" xfId="0" applyNumberFormat="1" applyFont="1" applyFill="1" applyBorder="1"/>
    <xf numFmtId="3" fontId="0" fillId="4" borderId="1" xfId="0" applyNumberFormat="1" applyFill="1" applyBorder="1"/>
    <xf numFmtId="3" fontId="17" fillId="3" borderId="1" xfId="0" applyNumberFormat="1" applyFont="1" applyFill="1" applyBorder="1" applyAlignment="1">
      <alignment horizontal="center" vertical="center"/>
    </xf>
    <xf numFmtId="0" fontId="16" fillId="5" borderId="1" xfId="0" applyFont="1" applyFill="1" applyBorder="1"/>
    <xf numFmtId="3" fontId="17" fillId="5" borderId="1" xfId="0" applyNumberFormat="1" applyFont="1" applyFill="1" applyBorder="1"/>
    <xf numFmtId="49" fontId="0" fillId="0" borderId="1" xfId="0" applyNumberFormat="1" applyBorder="1"/>
    <xf numFmtId="3" fontId="0" fillId="4" borderId="3" xfId="0" applyNumberFormat="1" applyFill="1" applyBorder="1"/>
    <xf numFmtId="0" fontId="0" fillId="5" borderId="0" xfId="0" applyFill="1"/>
    <xf numFmtId="0" fontId="15" fillId="5" borderId="1" xfId="0" applyFont="1" applyFill="1" applyBorder="1"/>
    <xf numFmtId="49" fontId="0" fillId="5" borderId="1" xfId="0" applyNumberFormat="1" applyFill="1" applyBorder="1"/>
    <xf numFmtId="3" fontId="0" fillId="5" borderId="1" xfId="0" applyNumberFormat="1" applyFill="1" applyBorder="1"/>
    <xf numFmtId="49" fontId="0" fillId="5" borderId="3" xfId="0" applyNumberFormat="1" applyFill="1" applyBorder="1"/>
    <xf numFmtId="3" fontId="0" fillId="5" borderId="3" xfId="0" applyNumberFormat="1" applyFill="1" applyBorder="1"/>
    <xf numFmtId="3" fontId="0" fillId="0" borderId="5" xfId="0" applyNumberFormat="1" applyBorder="1"/>
    <xf numFmtId="3" fontId="0" fillId="4" borderId="5" xfId="0" applyNumberFormat="1" applyFill="1" applyBorder="1"/>
    <xf numFmtId="3" fontId="17" fillId="4" borderId="1" xfId="0" applyNumberFormat="1" applyFont="1" applyFill="1" applyBorder="1" applyAlignment="1">
      <alignment vertical="center"/>
    </xf>
    <xf numFmtId="0" fontId="17" fillId="0" borderId="0" xfId="0" applyFont="1" applyAlignment="1">
      <alignment vertical="center"/>
    </xf>
    <xf numFmtId="3" fontId="14" fillId="5" borderId="1" xfId="0" applyNumberFormat="1" applyFont="1" applyFill="1" applyBorder="1"/>
    <xf numFmtId="0" fontId="14" fillId="5" borderId="1" xfId="0" applyFont="1" applyFill="1" applyBorder="1"/>
    <xf numFmtId="49" fontId="17" fillId="4" borderId="1" xfId="0" applyNumberFormat="1" applyFont="1" applyFill="1" applyBorder="1"/>
    <xf numFmtId="49" fontId="17" fillId="4" borderId="3" xfId="0" applyNumberFormat="1" applyFont="1" applyFill="1" applyBorder="1"/>
    <xf numFmtId="3" fontId="17" fillId="4" borderId="3" xfId="0" applyNumberFormat="1" applyFont="1" applyFill="1" applyBorder="1"/>
    <xf numFmtId="0" fontId="0" fillId="0" borderId="0" xfId="0" applyAlignment="1">
      <alignment vertical="center"/>
    </xf>
    <xf numFmtId="0" fontId="17" fillId="5" borderId="0" xfId="0" applyFont="1" applyFill="1" applyAlignment="1">
      <alignment vertical="center"/>
    </xf>
    <xf numFmtId="0" fontId="17" fillId="4" borderId="0" xfId="0" applyFont="1" applyFill="1" applyAlignment="1">
      <alignment vertical="center"/>
    </xf>
    <xf numFmtId="3" fontId="17" fillId="4" borderId="3" xfId="0" applyNumberFormat="1" applyFont="1" applyFill="1" applyBorder="1" applyAlignment="1">
      <alignment vertical="center"/>
    </xf>
    <xf numFmtId="0" fontId="0" fillId="5" borderId="1" xfId="0" applyFill="1" applyBorder="1" applyProtection="1">
      <protection locked="0"/>
    </xf>
    <xf numFmtId="3" fontId="21" fillId="0" borderId="1" xfId="0" applyNumberFormat="1" applyFont="1" applyBorder="1" applyProtection="1">
      <protection locked="0"/>
    </xf>
    <xf numFmtId="0" fontId="22" fillId="5" borderId="1" xfId="0" applyFont="1" applyFill="1" applyBorder="1" applyProtection="1">
      <protection locked="0"/>
    </xf>
    <xf numFmtId="0" fontId="0" fillId="0" borderId="1" xfId="0" applyBorder="1" applyProtection="1">
      <protection locked="0"/>
    </xf>
    <xf numFmtId="0" fontId="21" fillId="0" borderId="1" xfId="0" applyFont="1" applyBorder="1" applyProtection="1">
      <protection locked="0"/>
    </xf>
    <xf numFmtId="0" fontId="22" fillId="0" borderId="1" xfId="0" applyFont="1" applyBorder="1" applyProtection="1">
      <protection locked="0"/>
    </xf>
    <xf numFmtId="164" fontId="0" fillId="0" borderId="0" xfId="1" applyNumberFormat="1" applyFont="1"/>
    <xf numFmtId="164" fontId="17" fillId="4" borderId="1" xfId="1" applyNumberFormat="1" applyFont="1" applyFill="1" applyBorder="1" applyAlignment="1">
      <alignment vertical="center"/>
    </xf>
    <xf numFmtId="164" fontId="21" fillId="0" borderId="1" xfId="1" applyNumberFormat="1" applyFont="1" applyBorder="1" applyProtection="1">
      <protection locked="0"/>
    </xf>
    <xf numFmtId="3" fontId="25" fillId="4" borderId="1" xfId="0" applyNumberFormat="1" applyFont="1" applyFill="1" applyBorder="1" applyAlignment="1">
      <alignment vertical="center"/>
    </xf>
    <xf numFmtId="0" fontId="26" fillId="0" borderId="1" xfId="0" applyFont="1" applyFill="1" applyBorder="1" applyAlignment="1">
      <alignment horizontal="left" vertical="top"/>
    </xf>
    <xf numFmtId="3" fontId="26" fillId="0" borderId="1" xfId="0" applyNumberFormat="1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49" fontId="13" fillId="0" borderId="3" xfId="0" applyNumberFormat="1" applyFont="1" applyFill="1" applyBorder="1"/>
    <xf numFmtId="3" fontId="13" fillId="0" borderId="3" xfId="0" applyNumberFormat="1" applyFont="1" applyFill="1" applyBorder="1"/>
    <xf numFmtId="0" fontId="13" fillId="0" borderId="0" xfId="0" applyFont="1"/>
    <xf numFmtId="49" fontId="13" fillId="4" borderId="3" xfId="0" applyNumberFormat="1" applyFont="1" applyFill="1" applyBorder="1"/>
    <xf numFmtId="3" fontId="13" fillId="4" borderId="3" xfId="0" applyNumberFormat="1" applyFont="1" applyFill="1" applyBorder="1"/>
    <xf numFmtId="3" fontId="0" fillId="0" borderId="1" xfId="1" applyNumberFormat="1" applyFont="1" applyBorder="1"/>
    <xf numFmtId="3" fontId="17" fillId="4" borderId="1" xfId="1" applyNumberFormat="1" applyFont="1" applyFill="1" applyBorder="1"/>
    <xf numFmtId="3" fontId="0" fillId="4" borderId="1" xfId="1" applyNumberFormat="1" applyFont="1" applyFill="1" applyBorder="1"/>
    <xf numFmtId="3" fontId="17" fillId="4" borderId="1" xfId="1" applyNumberFormat="1" applyFont="1" applyFill="1" applyBorder="1" applyAlignment="1">
      <alignment vertical="center"/>
    </xf>
    <xf numFmtId="3" fontId="25" fillId="4" borderId="1" xfId="1" applyNumberFormat="1" applyFont="1" applyFill="1" applyBorder="1" applyAlignment="1">
      <alignment vertical="center"/>
    </xf>
    <xf numFmtId="3" fontId="26" fillId="0" borderId="1" xfId="1" applyNumberFormat="1" applyFont="1" applyFill="1" applyBorder="1" applyAlignment="1">
      <alignment vertical="center"/>
    </xf>
    <xf numFmtId="3" fontId="13" fillId="0" borderId="1" xfId="1" applyNumberFormat="1" applyFont="1" applyFill="1" applyBorder="1"/>
    <xf numFmtId="3" fontId="13" fillId="4" borderId="3" xfId="1" applyNumberFormat="1" applyFont="1" applyFill="1" applyBorder="1"/>
    <xf numFmtId="3" fontId="17" fillId="4" borderId="3" xfId="1" applyNumberFormat="1" applyFont="1" applyFill="1" applyBorder="1" applyAlignment="1">
      <alignment vertical="center"/>
    </xf>
    <xf numFmtId="3" fontId="0" fillId="0" borderId="1" xfId="0" applyNumberFormat="1" applyFill="1" applyBorder="1"/>
    <xf numFmtId="3" fontId="21" fillId="0" borderId="1" xfId="0" applyNumberFormat="1" applyFont="1" applyFill="1" applyBorder="1" applyProtection="1">
      <protection locked="0"/>
    </xf>
    <xf numFmtId="0" fontId="24" fillId="6" borderId="1" xfId="0" applyFont="1" applyFill="1" applyBorder="1" applyAlignment="1" applyProtection="1">
      <alignment horizontal="center" vertical="center"/>
      <protection locked="0"/>
    </xf>
    <xf numFmtId="3" fontId="24" fillId="6" borderId="1" xfId="0" applyNumberFormat="1" applyFont="1" applyFill="1" applyBorder="1" applyAlignment="1" applyProtection="1">
      <alignment horizontal="center"/>
      <protection locked="0"/>
    </xf>
    <xf numFmtId="164" fontId="24" fillId="6" borderId="1" xfId="1" applyNumberFormat="1" applyFont="1" applyFill="1" applyBorder="1" applyAlignment="1" applyProtection="1">
      <alignment horizontal="center"/>
      <protection locked="0"/>
    </xf>
    <xf numFmtId="0" fontId="23" fillId="7" borderId="1" xfId="0" applyFont="1" applyFill="1" applyBorder="1" applyProtection="1">
      <protection locked="0"/>
    </xf>
    <xf numFmtId="3" fontId="24" fillId="7" borderId="1" xfId="0" applyNumberFormat="1" applyFont="1" applyFill="1" applyBorder="1" applyProtection="1">
      <protection locked="0"/>
    </xf>
    <xf numFmtId="0" fontId="24" fillId="7" borderId="1" xfId="0" applyFont="1" applyFill="1" applyBorder="1" applyAlignment="1" applyProtection="1">
      <alignment horizontal="left" vertical="center"/>
      <protection locked="0"/>
    </xf>
    <xf numFmtId="3" fontId="23" fillId="7" borderId="1" xfId="0" applyNumberFormat="1" applyFont="1" applyFill="1" applyBorder="1" applyProtection="1">
      <protection locked="0"/>
    </xf>
    <xf numFmtId="0" fontId="23" fillId="6" borderId="1" xfId="0" applyFont="1" applyFill="1" applyBorder="1" applyProtection="1">
      <protection locked="0"/>
    </xf>
    <xf numFmtId="3" fontId="23" fillId="6" borderId="1" xfId="0" applyNumberFormat="1" applyFont="1" applyFill="1" applyBorder="1" applyProtection="1">
      <protection locked="0"/>
    </xf>
    <xf numFmtId="3" fontId="17" fillId="8" borderId="1" xfId="0" applyNumberFormat="1" applyFont="1" applyFill="1" applyBorder="1" applyAlignment="1">
      <alignment vertical="center"/>
    </xf>
    <xf numFmtId="3" fontId="17" fillId="8" borderId="1" xfId="0" applyNumberFormat="1" applyFont="1" applyFill="1" applyBorder="1" applyAlignment="1">
      <alignment horizontal="center" vertical="center"/>
    </xf>
    <xf numFmtId="0" fontId="22" fillId="0" borderId="1" xfId="0" applyFont="1" applyFill="1" applyBorder="1" applyProtection="1">
      <protection locked="0"/>
    </xf>
    <xf numFmtId="0" fontId="0" fillId="0" borderId="0" xfId="0" applyFill="1"/>
    <xf numFmtId="0" fontId="24" fillId="6" borderId="1" xfId="0" applyFont="1" applyFill="1" applyBorder="1" applyAlignment="1" applyProtection="1">
      <alignment horizontal="center" vertical="center" wrapText="1"/>
      <protection locked="0"/>
    </xf>
    <xf numFmtId="3" fontId="17" fillId="6" borderId="1" xfId="0" applyNumberFormat="1" applyFont="1" applyFill="1" applyBorder="1" applyAlignment="1">
      <alignment horizontal="center" vertical="center" wrapText="1"/>
    </xf>
    <xf numFmtId="3" fontId="24" fillId="6" borderId="1" xfId="0" applyNumberFormat="1" applyFont="1" applyFill="1" applyBorder="1" applyAlignment="1" applyProtection="1">
      <alignment horizontal="center" vertical="center" wrapText="1"/>
      <protection locked="0"/>
    </xf>
    <xf numFmtId="164" fontId="24" fillId="6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 wrapText="1"/>
    </xf>
    <xf numFmtId="3" fontId="17" fillId="11" borderId="1" xfId="0" applyNumberFormat="1" applyFont="1" applyFill="1" applyBorder="1" applyAlignment="1">
      <alignment horizontal="center" vertical="center"/>
    </xf>
    <xf numFmtId="3" fontId="17" fillId="11" borderId="1" xfId="0" applyNumberFormat="1" applyFont="1" applyFill="1" applyBorder="1" applyAlignment="1">
      <alignment vertical="center"/>
    </xf>
    <xf numFmtId="3" fontId="17" fillId="12" borderId="3" xfId="0" applyNumberFormat="1" applyFont="1" applyFill="1" applyBorder="1" applyAlignment="1">
      <alignment vertical="center"/>
    </xf>
    <xf numFmtId="3" fontId="17" fillId="12" borderId="3" xfId="1" applyNumberFormat="1" applyFont="1" applyFill="1" applyBorder="1" applyAlignment="1">
      <alignment vertical="center"/>
    </xf>
    <xf numFmtId="3" fontId="17" fillId="12" borderId="1" xfId="0" applyNumberFormat="1" applyFont="1" applyFill="1" applyBorder="1" applyAlignment="1">
      <alignment vertical="center"/>
    </xf>
    <xf numFmtId="3" fontId="25" fillId="12" borderId="1" xfId="0" applyNumberFormat="1" applyFont="1" applyFill="1" applyBorder="1" applyAlignment="1">
      <alignment vertical="center"/>
    </xf>
    <xf numFmtId="0" fontId="17" fillId="13" borderId="1" xfId="0" applyFont="1" applyFill="1" applyBorder="1"/>
    <xf numFmtId="3" fontId="17" fillId="13" borderId="1" xfId="0" applyNumberFormat="1" applyFont="1" applyFill="1" applyBorder="1"/>
    <xf numFmtId="3" fontId="0" fillId="13" borderId="5" xfId="0" applyNumberFormat="1" applyFill="1" applyBorder="1"/>
    <xf numFmtId="3" fontId="0" fillId="13" borderId="1" xfId="0" applyNumberFormat="1" applyFill="1" applyBorder="1"/>
    <xf numFmtId="49" fontId="17" fillId="13" borderId="3" xfId="0" applyNumberFormat="1" applyFont="1" applyFill="1" applyBorder="1"/>
    <xf numFmtId="3" fontId="17" fillId="13" borderId="3" xfId="0" applyNumberFormat="1" applyFont="1" applyFill="1" applyBorder="1"/>
    <xf numFmtId="3" fontId="0" fillId="13" borderId="3" xfId="0" applyNumberFormat="1" applyFill="1" applyBorder="1"/>
    <xf numFmtId="3" fontId="17" fillId="14" borderId="1" xfId="0" applyNumberFormat="1" applyFont="1" applyFill="1" applyBorder="1" applyAlignment="1">
      <alignment horizontal="center" vertical="center"/>
    </xf>
    <xf numFmtId="3" fontId="17" fillId="14" borderId="1" xfId="0" applyNumberFormat="1" applyFont="1" applyFill="1" applyBorder="1" applyAlignment="1">
      <alignment vertical="center"/>
    </xf>
    <xf numFmtId="3" fontId="17" fillId="15" borderId="1" xfId="0" applyNumberFormat="1" applyFont="1" applyFill="1" applyBorder="1" applyAlignment="1">
      <alignment vertical="center"/>
    </xf>
    <xf numFmtId="0" fontId="0" fillId="15" borderId="0" xfId="0" applyFill="1"/>
    <xf numFmtId="3" fontId="25" fillId="15" borderId="1" xfId="0" applyNumberFormat="1" applyFont="1" applyFill="1" applyBorder="1" applyAlignment="1">
      <alignment vertical="center"/>
    </xf>
    <xf numFmtId="3" fontId="17" fillId="15" borderId="3" xfId="0" applyNumberFormat="1" applyFont="1" applyFill="1" applyBorder="1" applyAlignment="1">
      <alignment vertical="center"/>
    </xf>
    <xf numFmtId="3" fontId="13" fillId="4" borderId="1" xfId="0" applyNumberFormat="1" applyFont="1" applyFill="1" applyBorder="1"/>
    <xf numFmtId="0" fontId="17" fillId="0" borderId="1" xfId="0" applyFont="1" applyFill="1" applyBorder="1"/>
    <xf numFmtId="49" fontId="17" fillId="0" borderId="3" xfId="0" applyNumberFormat="1" applyFont="1" applyFill="1" applyBorder="1"/>
    <xf numFmtId="49" fontId="12" fillId="0" borderId="3" xfId="0" applyNumberFormat="1" applyFont="1" applyFill="1" applyBorder="1"/>
    <xf numFmtId="49" fontId="11" fillId="0" borderId="3" xfId="0" applyNumberFormat="1" applyFont="1" applyFill="1" applyBorder="1"/>
    <xf numFmtId="3" fontId="11" fillId="0" borderId="3" xfId="0" applyNumberFormat="1" applyFont="1" applyFill="1" applyBorder="1"/>
    <xf numFmtId="0" fontId="11" fillId="0" borderId="0" xfId="0" applyFont="1" applyFill="1"/>
    <xf numFmtId="3" fontId="27" fillId="14" borderId="1" xfId="0" applyNumberFormat="1" applyFont="1" applyFill="1" applyBorder="1" applyAlignment="1">
      <alignment horizontal="center" vertical="center" wrapText="1"/>
    </xf>
    <xf numFmtId="3" fontId="28" fillId="14" borderId="1" xfId="0" applyNumberFormat="1" applyFont="1" applyFill="1" applyBorder="1" applyAlignment="1">
      <alignment horizontal="center" vertical="center" wrapText="1"/>
    </xf>
    <xf numFmtId="3" fontId="28" fillId="11" borderId="1" xfId="0" applyNumberFormat="1" applyFont="1" applyFill="1" applyBorder="1" applyAlignment="1">
      <alignment horizontal="center" vertical="center" wrapText="1"/>
    </xf>
    <xf numFmtId="3" fontId="29" fillId="6" borderId="1" xfId="0" applyNumberFormat="1" applyFont="1" applyFill="1" applyBorder="1" applyAlignment="1" applyProtection="1">
      <alignment horizontal="center" vertical="center" wrapText="1"/>
      <protection locked="0"/>
    </xf>
    <xf numFmtId="3" fontId="30" fillId="6" borderId="1" xfId="0" applyNumberFormat="1" applyFont="1" applyFill="1" applyBorder="1" applyAlignment="1" applyProtection="1">
      <alignment horizontal="center" vertical="center" wrapText="1"/>
      <protection locked="0"/>
    </xf>
    <xf numFmtId="164" fontId="31" fillId="0" borderId="0" xfId="1" applyNumberFormat="1" applyFont="1"/>
    <xf numFmtId="3" fontId="31" fillId="0" borderId="1" xfId="1" applyNumberFormat="1" applyFont="1" applyBorder="1"/>
    <xf numFmtId="3" fontId="25" fillId="11" borderId="1" xfId="0" applyNumberFormat="1" applyFont="1" applyFill="1" applyBorder="1" applyAlignment="1">
      <alignment vertical="center"/>
    </xf>
    <xf numFmtId="3" fontId="25" fillId="4" borderId="1" xfId="1" applyNumberFormat="1" applyFont="1" applyFill="1" applyBorder="1"/>
    <xf numFmtId="3" fontId="31" fillId="13" borderId="1" xfId="1" applyNumberFormat="1" applyFont="1" applyFill="1" applyBorder="1"/>
    <xf numFmtId="3" fontId="25" fillId="12" borderId="1" xfId="1" applyNumberFormat="1" applyFont="1" applyFill="1" applyBorder="1" applyAlignment="1">
      <alignment vertical="center"/>
    </xf>
    <xf numFmtId="3" fontId="25" fillId="4" borderId="1" xfId="0" applyNumberFormat="1" applyFont="1" applyFill="1" applyBorder="1"/>
    <xf numFmtId="3" fontId="26" fillId="0" borderId="1" xfId="1" applyNumberFormat="1" applyFont="1" applyFill="1" applyBorder="1"/>
    <xf numFmtId="3" fontId="26" fillId="4" borderId="3" xfId="0" applyNumberFormat="1" applyFont="1" applyFill="1" applyBorder="1"/>
    <xf numFmtId="3" fontId="25" fillId="12" borderId="3" xfId="1" applyNumberFormat="1" applyFont="1" applyFill="1" applyBorder="1" applyAlignment="1">
      <alignment vertical="center"/>
    </xf>
    <xf numFmtId="3" fontId="24" fillId="6" borderId="1" xfId="0" applyNumberFormat="1" applyFont="1" applyFill="1" applyBorder="1" applyProtection="1">
      <protection locked="0"/>
    </xf>
    <xf numFmtId="0" fontId="31" fillId="0" borderId="0" xfId="0" applyFont="1"/>
    <xf numFmtId="3" fontId="17" fillId="11" borderId="1" xfId="0" applyNumberFormat="1" applyFont="1" applyFill="1" applyBorder="1" applyAlignment="1">
      <alignment horizontal="center" vertical="center" wrapText="1"/>
    </xf>
    <xf numFmtId="3" fontId="23" fillId="17" borderId="5" xfId="0" applyNumberFormat="1" applyFont="1" applyFill="1" applyBorder="1" applyAlignment="1" applyProtection="1">
      <alignment horizontal="center" vertical="center" wrapText="1"/>
      <protection locked="0"/>
    </xf>
    <xf numFmtId="0" fontId="32" fillId="17" borderId="1" xfId="0" applyFont="1" applyFill="1" applyBorder="1" applyAlignment="1" applyProtection="1">
      <alignment horizontal="center" vertical="center" wrapText="1"/>
      <protection locked="0"/>
    </xf>
    <xf numFmtId="3" fontId="17" fillId="17" borderId="1" xfId="0" applyNumberFormat="1" applyFont="1" applyFill="1" applyBorder="1" applyAlignment="1">
      <alignment vertical="center"/>
    </xf>
    <xf numFmtId="3" fontId="25" fillId="17" borderId="1" xfId="0" applyNumberFormat="1" applyFont="1" applyFill="1" applyBorder="1" applyAlignment="1">
      <alignment vertical="center"/>
    </xf>
    <xf numFmtId="3" fontId="25" fillId="17" borderId="1" xfId="1" applyNumberFormat="1" applyFont="1" applyFill="1" applyBorder="1" applyAlignment="1">
      <alignment vertical="center"/>
    </xf>
    <xf numFmtId="3" fontId="17" fillId="17" borderId="3" xfId="0" applyNumberFormat="1" applyFont="1" applyFill="1" applyBorder="1" applyAlignment="1">
      <alignment vertical="center"/>
    </xf>
    <xf numFmtId="3" fontId="25" fillId="17" borderId="3" xfId="1" applyNumberFormat="1" applyFont="1" applyFill="1" applyBorder="1" applyAlignment="1">
      <alignment vertical="center"/>
    </xf>
    <xf numFmtId="3" fontId="17" fillId="17" borderId="3" xfId="1" applyNumberFormat="1" applyFont="1" applyFill="1" applyBorder="1" applyAlignment="1">
      <alignment vertical="center"/>
    </xf>
    <xf numFmtId="3" fontId="17" fillId="19" borderId="1" xfId="0" applyNumberFormat="1" applyFont="1" applyFill="1" applyBorder="1" applyAlignment="1">
      <alignment vertical="center"/>
    </xf>
    <xf numFmtId="3" fontId="25" fillId="19" borderId="1" xfId="0" applyNumberFormat="1" applyFont="1" applyFill="1" applyBorder="1" applyAlignment="1">
      <alignment vertical="center"/>
    </xf>
    <xf numFmtId="14" fontId="0" fillId="0" borderId="0" xfId="0" applyNumberFormat="1"/>
    <xf numFmtId="49" fontId="10" fillId="0" borderId="3" xfId="0" applyNumberFormat="1" applyFont="1" applyFill="1" applyBorder="1"/>
    <xf numFmtId="3" fontId="0" fillId="20" borderId="1" xfId="0" applyNumberFormat="1" applyFill="1" applyBorder="1"/>
    <xf numFmtId="3" fontId="25" fillId="4" borderId="3" xfId="0" applyNumberFormat="1" applyFont="1" applyFill="1" applyBorder="1"/>
    <xf numFmtId="3" fontId="32" fillId="17" borderId="5" xfId="0" applyNumberFormat="1" applyFont="1" applyFill="1" applyBorder="1" applyAlignment="1" applyProtection="1">
      <alignment horizontal="center" vertical="center" wrapText="1"/>
      <protection locked="0"/>
    </xf>
    <xf numFmtId="3" fontId="9" fillId="5" borderId="1" xfId="0" applyNumberFormat="1" applyFont="1" applyFill="1" applyBorder="1"/>
    <xf numFmtId="0" fontId="33" fillId="0" borderId="0" xfId="0" applyFont="1" applyAlignment="1">
      <alignment vertical="center"/>
    </xf>
    <xf numFmtId="0" fontId="33" fillId="0" borderId="0" xfId="0" applyFont="1" applyAlignment="1">
      <alignment horizontal="center" vertical="center"/>
    </xf>
    <xf numFmtId="0" fontId="33" fillId="0" borderId="0" xfId="0" applyFont="1" applyAlignment="1">
      <alignment horizontal="right" vertical="center"/>
    </xf>
    <xf numFmtId="165" fontId="33" fillId="0" borderId="0" xfId="0" applyNumberFormat="1" applyFont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33" fillId="0" borderId="15" xfId="0" applyFont="1" applyBorder="1" applyAlignment="1">
      <alignment horizontal="left" vertical="center"/>
    </xf>
    <xf numFmtId="165" fontId="33" fillId="0" borderId="15" xfId="0" applyNumberFormat="1" applyFont="1" applyBorder="1" applyAlignment="1">
      <alignment horizontal="right" vertical="center"/>
    </xf>
    <xf numFmtId="0" fontId="33" fillId="0" borderId="15" xfId="0" applyFont="1" applyBorder="1"/>
    <xf numFmtId="0" fontId="33" fillId="0" borderId="15" xfId="0" applyFont="1" applyBorder="1" applyAlignment="1">
      <alignment horizontal="right"/>
    </xf>
    <xf numFmtId="165" fontId="33" fillId="0" borderId="15" xfId="0" applyNumberFormat="1" applyFont="1" applyBorder="1" applyAlignment="1">
      <alignment horizontal="right"/>
    </xf>
    <xf numFmtId="49" fontId="33" fillId="0" borderId="0" xfId="0" applyNumberFormat="1" applyFont="1" applyAlignment="1">
      <alignment horizontal="center"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9" fontId="22" fillId="0" borderId="0" xfId="0" applyNumberFormat="1" applyFont="1" applyAlignment="1">
      <alignment horizontal="center" vertical="center"/>
    </xf>
    <xf numFmtId="0" fontId="22" fillId="0" borderId="0" xfId="0" applyFont="1" applyAlignment="1">
      <alignment horizontal="right" vertical="center"/>
    </xf>
    <xf numFmtId="165" fontId="22" fillId="0" borderId="0" xfId="0" applyNumberFormat="1" applyFont="1" applyAlignment="1">
      <alignment horizontal="right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right" vertical="center"/>
    </xf>
    <xf numFmtId="165" fontId="23" fillId="0" borderId="0" xfId="0" applyNumberFormat="1" applyFont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23" fillId="0" borderId="15" xfId="0" applyFont="1" applyBorder="1" applyAlignment="1">
      <alignment horizontal="left" vertical="center"/>
    </xf>
    <xf numFmtId="165" fontId="23" fillId="0" borderId="15" xfId="0" applyNumberFormat="1" applyFont="1" applyBorder="1" applyAlignment="1">
      <alignment horizontal="right" vertical="center"/>
    </xf>
    <xf numFmtId="0" fontId="23" fillId="0" borderId="15" xfId="0" applyFont="1" applyBorder="1"/>
    <xf numFmtId="0" fontId="23" fillId="0" borderId="15" xfId="0" applyFont="1" applyBorder="1" applyAlignment="1">
      <alignment horizontal="right"/>
    </xf>
    <xf numFmtId="165" fontId="23" fillId="0" borderId="15" xfId="0" applyNumberFormat="1" applyFont="1" applyBorder="1" applyAlignment="1">
      <alignment horizontal="right"/>
    </xf>
    <xf numFmtId="3" fontId="8" fillId="5" borderId="1" xfId="0" applyNumberFormat="1" applyFont="1" applyFill="1" applyBorder="1"/>
    <xf numFmtId="3" fontId="17" fillId="10" borderId="1" xfId="0" applyNumberFormat="1" applyFont="1" applyFill="1" applyBorder="1" applyAlignment="1">
      <alignment vertical="center"/>
    </xf>
    <xf numFmtId="3" fontId="25" fillId="10" borderId="1" xfId="0" applyNumberFormat="1" applyFont="1" applyFill="1" applyBorder="1" applyAlignment="1">
      <alignment vertical="center"/>
    </xf>
    <xf numFmtId="3" fontId="23" fillId="10" borderId="5" xfId="0" applyNumberFormat="1" applyFont="1" applyFill="1" applyBorder="1" applyAlignment="1" applyProtection="1">
      <alignment horizontal="center" vertical="center" wrapText="1"/>
      <protection locked="0"/>
    </xf>
    <xf numFmtId="0" fontId="32" fillId="10" borderId="1" xfId="0" applyFont="1" applyFill="1" applyBorder="1" applyAlignment="1" applyProtection="1">
      <alignment horizontal="center" vertical="center" wrapText="1"/>
      <protection locked="0"/>
    </xf>
    <xf numFmtId="3" fontId="34" fillId="6" borderId="1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3" fontId="7" fillId="0" borderId="3" xfId="0" applyNumberFormat="1" applyFont="1" applyFill="1" applyBorder="1"/>
    <xf numFmtId="3" fontId="7" fillId="0" borderId="5" xfId="0" applyNumberFormat="1" applyFont="1" applyFill="1" applyBorder="1"/>
    <xf numFmtId="3" fontId="7" fillId="0" borderId="1" xfId="0" applyNumberFormat="1" applyFont="1" applyFill="1" applyBorder="1"/>
    <xf numFmtId="49" fontId="7" fillId="0" borderId="3" xfId="0" applyNumberFormat="1" applyFont="1" applyFill="1" applyBorder="1"/>
    <xf numFmtId="3" fontId="23" fillId="23" borderId="5" xfId="0" applyNumberFormat="1" applyFont="1" applyFill="1" applyBorder="1" applyAlignment="1" applyProtection="1">
      <alignment horizontal="center" vertical="center" wrapText="1"/>
      <protection locked="0"/>
    </xf>
    <xf numFmtId="0" fontId="32" fillId="23" borderId="1" xfId="0" applyFont="1" applyFill="1" applyBorder="1" applyAlignment="1" applyProtection="1">
      <alignment horizontal="center" vertical="center" wrapText="1"/>
      <protection locked="0"/>
    </xf>
    <xf numFmtId="3" fontId="17" fillId="23" borderId="1" xfId="0" applyNumberFormat="1" applyFont="1" applyFill="1" applyBorder="1" applyAlignment="1">
      <alignment vertical="center"/>
    </xf>
    <xf numFmtId="3" fontId="25" fillId="23" borderId="1" xfId="0" applyNumberFormat="1" applyFont="1" applyFill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3" fillId="0" borderId="0" xfId="0" applyFont="1" applyAlignment="1">
      <alignment horizontal="center" vertical="center"/>
    </xf>
    <xf numFmtId="0" fontId="33" fillId="0" borderId="15" xfId="0" applyFont="1" applyBorder="1" applyAlignment="1">
      <alignment horizontal="left" vertical="center"/>
    </xf>
    <xf numFmtId="0" fontId="23" fillId="24" borderId="1" xfId="0" applyFont="1" applyFill="1" applyBorder="1" applyProtection="1">
      <protection locked="0"/>
    </xf>
    <xf numFmtId="3" fontId="23" fillId="24" borderId="1" xfId="0" applyNumberFormat="1" applyFont="1" applyFill="1" applyBorder="1" applyProtection="1">
      <protection locked="0"/>
    </xf>
    <xf numFmtId="0" fontId="24" fillId="24" borderId="1" xfId="0" applyFont="1" applyFill="1" applyBorder="1" applyAlignment="1" applyProtection="1">
      <alignment horizontal="center" vertical="center" wrapText="1"/>
      <protection locked="0"/>
    </xf>
    <xf numFmtId="3" fontId="24" fillId="24" borderId="1" xfId="0" applyNumberFormat="1" applyFont="1" applyFill="1" applyBorder="1" applyAlignment="1" applyProtection="1">
      <alignment horizontal="center" vertical="center" wrapText="1"/>
      <protection locked="0"/>
    </xf>
    <xf numFmtId="3" fontId="34" fillId="24" borderId="1" xfId="0" applyNumberFormat="1" applyFont="1" applyFill="1" applyBorder="1" applyAlignment="1">
      <alignment horizontal="center" vertical="center" wrapText="1"/>
    </xf>
    <xf numFmtId="3" fontId="29" fillId="24" borderId="1" xfId="0" applyNumberFormat="1" applyFont="1" applyFill="1" applyBorder="1" applyAlignment="1" applyProtection="1">
      <alignment horizontal="center" vertical="center" wrapText="1"/>
      <protection locked="0"/>
    </xf>
    <xf numFmtId="3" fontId="30" fillId="24" borderId="1" xfId="0" applyNumberFormat="1" applyFont="1" applyFill="1" applyBorder="1" applyAlignment="1" applyProtection="1">
      <alignment horizontal="center" vertical="center" wrapText="1"/>
      <protection locked="0"/>
    </xf>
    <xf numFmtId="164" fontId="24" fillId="24" borderId="1" xfId="1" applyNumberFormat="1" applyFont="1" applyFill="1" applyBorder="1" applyAlignment="1" applyProtection="1">
      <alignment horizontal="center" vertical="center" wrapText="1"/>
      <protection locked="0"/>
    </xf>
    <xf numFmtId="164" fontId="35" fillId="0" borderId="0" xfId="1" applyNumberFormat="1" applyFont="1" applyAlignment="1">
      <alignment horizontal="center" vertical="center" wrapText="1"/>
    </xf>
    <xf numFmtId="43" fontId="0" fillId="0" borderId="0" xfId="1" applyNumberFormat="1" applyFont="1"/>
    <xf numFmtId="0" fontId="0" fillId="0" borderId="1" xfId="0" applyFill="1" applyBorder="1"/>
    <xf numFmtId="3" fontId="6" fillId="5" borderId="1" xfId="0" applyNumberFormat="1" applyFont="1" applyFill="1" applyBorder="1"/>
    <xf numFmtId="3" fontId="17" fillId="25" borderId="1" xfId="0" applyNumberFormat="1" applyFont="1" applyFill="1" applyBorder="1" applyAlignment="1">
      <alignment vertical="center"/>
    </xf>
    <xf numFmtId="3" fontId="25" fillId="25" borderId="1" xfId="0" applyNumberFormat="1" applyFont="1" applyFill="1" applyBorder="1" applyAlignment="1">
      <alignment vertical="center"/>
    </xf>
    <xf numFmtId="0" fontId="32" fillId="25" borderId="4" xfId="0" applyFont="1" applyFill="1" applyBorder="1" applyAlignment="1" applyProtection="1">
      <alignment horizontal="center" vertical="center" wrapText="1"/>
      <protection locked="0"/>
    </xf>
    <xf numFmtId="3" fontId="17" fillId="13" borderId="5" xfId="0" applyNumberFormat="1" applyFont="1" applyFill="1" applyBorder="1"/>
    <xf numFmtId="3" fontId="17" fillId="5" borderId="5" xfId="0" applyNumberFormat="1" applyFont="1" applyFill="1" applyBorder="1"/>
    <xf numFmtId="3" fontId="26" fillId="0" borderId="5" xfId="0" applyNumberFormat="1" applyFont="1" applyFill="1" applyBorder="1" applyAlignment="1">
      <alignment vertical="center"/>
    </xf>
    <xf numFmtId="3" fontId="0" fillId="13" borderId="8" xfId="0" applyNumberFormat="1" applyFill="1" applyBorder="1"/>
    <xf numFmtId="3" fontId="7" fillId="0" borderId="8" xfId="0" applyNumberFormat="1" applyFont="1" applyFill="1" applyBorder="1"/>
    <xf numFmtId="3" fontId="11" fillId="0" borderId="8" xfId="0" applyNumberFormat="1" applyFont="1" applyFill="1" applyBorder="1"/>
    <xf numFmtId="3" fontId="13" fillId="0" borderId="8" xfId="0" applyNumberFormat="1" applyFont="1" applyFill="1" applyBorder="1"/>
    <xf numFmtId="3" fontId="0" fillId="5" borderId="5" xfId="0" applyNumberFormat="1" applyFill="1" applyBorder="1"/>
    <xf numFmtId="3" fontId="0" fillId="5" borderId="8" xfId="0" applyNumberFormat="1" applyFill="1" applyBorder="1"/>
    <xf numFmtId="3" fontId="23" fillId="25" borderId="9" xfId="0" applyNumberFormat="1" applyFont="1" applyFill="1" applyBorder="1" applyAlignment="1" applyProtection="1">
      <alignment horizontal="center" vertical="center" wrapText="1"/>
      <protection locked="0"/>
    </xf>
    <xf numFmtId="3" fontId="5" fillId="5" borderId="5" xfId="0" applyNumberFormat="1" applyFont="1" applyFill="1" applyBorder="1"/>
    <xf numFmtId="0" fontId="24" fillId="26" borderId="1" xfId="0" applyFont="1" applyFill="1" applyBorder="1" applyAlignment="1" applyProtection="1">
      <alignment horizontal="center" vertical="center" wrapText="1"/>
      <protection locked="0"/>
    </xf>
    <xf numFmtId="3" fontId="24" fillId="26" borderId="1" xfId="0" applyNumberFormat="1" applyFont="1" applyFill="1" applyBorder="1" applyAlignment="1" applyProtection="1">
      <alignment horizontal="center" vertical="center" wrapText="1"/>
      <protection locked="0"/>
    </xf>
    <xf numFmtId="3" fontId="23" fillId="26" borderId="9" xfId="0" applyNumberFormat="1" applyFont="1" applyFill="1" applyBorder="1" applyAlignment="1" applyProtection="1">
      <alignment horizontal="center" vertical="center" wrapText="1"/>
      <protection locked="0"/>
    </xf>
    <xf numFmtId="0" fontId="32" fillId="26" borderId="4" xfId="0" applyFont="1" applyFill="1" applyBorder="1" applyAlignment="1" applyProtection="1">
      <alignment horizontal="center" vertical="center" wrapText="1"/>
      <protection locked="0"/>
    </xf>
    <xf numFmtId="164" fontId="24" fillId="26" borderId="1" xfId="1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3" fillId="0" borderId="0" xfId="0" applyFont="1" applyAlignment="1">
      <alignment horizontal="center" vertical="center"/>
    </xf>
    <xf numFmtId="0" fontId="33" fillId="0" borderId="15" xfId="0" applyFont="1" applyBorder="1" applyAlignment="1">
      <alignment horizontal="left" vertical="center"/>
    </xf>
    <xf numFmtId="3" fontId="31" fillId="0" borderId="1" xfId="1" applyNumberFormat="1" applyFont="1" applyFill="1" applyBorder="1"/>
    <xf numFmtId="3" fontId="4" fillId="5" borderId="1" xfId="0" applyNumberFormat="1" applyFont="1" applyFill="1" applyBorder="1"/>
    <xf numFmtId="3" fontId="3" fillId="5" borderId="1" xfId="0" applyNumberFormat="1" applyFont="1" applyFill="1" applyBorder="1"/>
    <xf numFmtId="3" fontId="3" fillId="5" borderId="5" xfId="0" applyNumberFormat="1" applyFont="1" applyFill="1" applyBorder="1"/>
    <xf numFmtId="0" fontId="33" fillId="0" borderId="0" xfId="0" applyFont="1" applyAlignment="1">
      <alignment horizontal="left" vertical="center"/>
    </xf>
    <xf numFmtId="0" fontId="33" fillId="0" borderId="0" xfId="0" applyFont="1" applyAlignment="1">
      <alignment horizontal="center" vertical="center"/>
    </xf>
    <xf numFmtId="0" fontId="33" fillId="0" borderId="15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horizontal="center" vertical="center"/>
    </xf>
    <xf numFmtId="0" fontId="2" fillId="5" borderId="1" xfId="0" applyFont="1" applyFill="1" applyBorder="1"/>
    <xf numFmtId="3" fontId="17" fillId="26" borderId="1" xfId="0" applyNumberFormat="1" applyFont="1" applyFill="1" applyBorder="1" applyAlignment="1">
      <alignment vertical="center"/>
    </xf>
    <xf numFmtId="3" fontId="25" fillId="26" borderId="1" xfId="0" applyNumberFormat="1" applyFont="1" applyFill="1" applyBorder="1" applyAlignment="1">
      <alignment vertical="center"/>
    </xf>
    <xf numFmtId="3" fontId="25" fillId="26" borderId="1" xfId="1" applyNumberFormat="1" applyFont="1" applyFill="1" applyBorder="1" applyAlignment="1">
      <alignment vertical="center"/>
    </xf>
    <xf numFmtId="3" fontId="17" fillId="26" borderId="3" xfId="0" applyNumberFormat="1" applyFont="1" applyFill="1" applyBorder="1" applyAlignment="1">
      <alignment vertical="center"/>
    </xf>
    <xf numFmtId="3" fontId="25" fillId="26" borderId="3" xfId="1" applyNumberFormat="1" applyFont="1" applyFill="1" applyBorder="1" applyAlignment="1">
      <alignment vertical="center"/>
    </xf>
    <xf numFmtId="3" fontId="17" fillId="26" borderId="3" xfId="1" applyNumberFormat="1" applyFont="1" applyFill="1" applyBorder="1" applyAlignment="1">
      <alignment vertical="center"/>
    </xf>
    <xf numFmtId="0" fontId="24" fillId="7" borderId="1" xfId="0" applyFont="1" applyFill="1" applyBorder="1" applyAlignment="1" applyProtection="1">
      <alignment horizontal="center" vertical="center" wrapText="1"/>
      <protection locked="0"/>
    </xf>
    <xf numFmtId="3" fontId="23" fillId="7" borderId="9" xfId="0" applyNumberFormat="1" applyFont="1" applyFill="1" applyBorder="1" applyAlignment="1" applyProtection="1">
      <alignment horizontal="center" vertical="center" wrapText="1"/>
      <protection locked="0"/>
    </xf>
    <xf numFmtId="0" fontId="32" fillId="7" borderId="4" xfId="0" applyFont="1" applyFill="1" applyBorder="1" applyAlignment="1" applyProtection="1">
      <alignment horizontal="center" vertical="center" wrapText="1"/>
      <protection locked="0"/>
    </xf>
    <xf numFmtId="3" fontId="24" fillId="7" borderId="1" xfId="0" applyNumberFormat="1" applyFont="1" applyFill="1" applyBorder="1" applyAlignment="1" applyProtection="1">
      <alignment horizontal="center" vertical="center" wrapText="1"/>
      <protection locked="0"/>
    </xf>
    <xf numFmtId="164" fontId="24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23" fillId="26" borderId="1" xfId="0" applyFont="1" applyFill="1" applyBorder="1" applyProtection="1">
      <protection locked="0"/>
    </xf>
    <xf numFmtId="3" fontId="23" fillId="26" borderId="1" xfId="0" applyNumberFormat="1" applyFont="1" applyFill="1" applyBorder="1" applyProtection="1">
      <protection locked="0"/>
    </xf>
    <xf numFmtId="3" fontId="24" fillId="26" borderId="1" xfId="0" applyNumberFormat="1" applyFont="1" applyFill="1" applyBorder="1" applyProtection="1">
      <protection locked="0"/>
    </xf>
    <xf numFmtId="0" fontId="24" fillId="26" borderId="1" xfId="0" applyFont="1" applyFill="1" applyBorder="1" applyAlignment="1" applyProtection="1">
      <alignment horizontal="left" vertical="center"/>
      <protection locked="0"/>
    </xf>
    <xf numFmtId="0" fontId="0" fillId="0" borderId="1" xfId="0" applyFill="1" applyBorder="1" applyProtection="1">
      <protection locked="0"/>
    </xf>
    <xf numFmtId="0" fontId="36" fillId="7" borderId="4" xfId="0" applyFont="1" applyFill="1" applyBorder="1" applyAlignment="1" applyProtection="1">
      <alignment horizontal="center" vertical="center" wrapText="1"/>
      <protection locked="0"/>
    </xf>
    <xf numFmtId="3" fontId="1" fillId="5" borderId="1" xfId="0" applyNumberFormat="1" applyFont="1" applyFill="1" applyBorder="1"/>
    <xf numFmtId="0" fontId="20" fillId="0" borderId="10" xfId="0" applyFont="1" applyBorder="1" applyAlignment="1" applyProtection="1">
      <alignment horizontal="left" vertic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49" fontId="0" fillId="0" borderId="3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49" fontId="0" fillId="5" borderId="3" xfId="0" applyNumberFormat="1" applyFill="1" applyBorder="1" applyAlignment="1">
      <alignment horizontal="center" vertical="center"/>
    </xf>
    <xf numFmtId="49" fontId="0" fillId="5" borderId="4" xfId="0" applyNumberFormat="1" applyFill="1" applyBorder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17" fillId="4" borderId="5" xfId="0" applyFont="1" applyFill="1" applyBorder="1" applyAlignment="1">
      <alignment horizontal="right" vertical="center"/>
    </xf>
    <xf numFmtId="0" fontId="17" fillId="4" borderId="6" xfId="0" applyFont="1" applyFill="1" applyBorder="1" applyAlignment="1">
      <alignment horizontal="right" vertical="center"/>
    </xf>
    <xf numFmtId="0" fontId="17" fillId="4" borderId="7" xfId="0" applyFont="1" applyFill="1" applyBorder="1" applyAlignment="1">
      <alignment horizontal="right" vertical="center"/>
    </xf>
    <xf numFmtId="49" fontId="0" fillId="5" borderId="1" xfId="0" applyNumberForma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3" fontId="17" fillId="3" borderId="3" xfId="0" applyNumberFormat="1" applyFont="1" applyFill="1" applyBorder="1" applyAlignment="1">
      <alignment horizontal="center" vertical="center"/>
    </xf>
    <xf numFmtId="3" fontId="17" fillId="3" borderId="4" xfId="0" applyNumberFormat="1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 wrapText="1"/>
    </xf>
    <xf numFmtId="164" fontId="17" fillId="3" borderId="1" xfId="1" applyNumberFormat="1" applyFont="1" applyFill="1" applyBorder="1" applyAlignment="1">
      <alignment horizontal="center" vertical="center"/>
    </xf>
    <xf numFmtId="3" fontId="17" fillId="3" borderId="5" xfId="0" applyNumberFormat="1" applyFont="1" applyFill="1" applyBorder="1" applyAlignment="1">
      <alignment horizontal="center" vertical="center"/>
    </xf>
    <xf numFmtId="3" fontId="17" fillId="3" borderId="6" xfId="0" applyNumberFormat="1" applyFont="1" applyFill="1" applyBorder="1" applyAlignment="1">
      <alignment horizontal="center" vertical="center"/>
    </xf>
    <xf numFmtId="3" fontId="17" fillId="3" borderId="7" xfId="0" applyNumberFormat="1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/>
    </xf>
    <xf numFmtId="0" fontId="17" fillId="3" borderId="4" xfId="0" applyFont="1" applyFill="1" applyBorder="1" applyAlignment="1">
      <alignment horizontal="center" vertical="center"/>
    </xf>
    <xf numFmtId="49" fontId="17" fillId="3" borderId="3" xfId="0" applyNumberFormat="1" applyFont="1" applyFill="1" applyBorder="1" applyAlignment="1">
      <alignment horizontal="center" vertical="center"/>
    </xf>
    <xf numFmtId="49" fontId="17" fillId="3" borderId="4" xfId="0" applyNumberFormat="1" applyFont="1" applyFill="1" applyBorder="1" applyAlignment="1">
      <alignment horizontal="center" vertical="center"/>
    </xf>
    <xf numFmtId="3" fontId="17" fillId="3" borderId="8" xfId="0" applyNumberFormat="1" applyFont="1" applyFill="1" applyBorder="1" applyAlignment="1">
      <alignment horizontal="center" vertical="center" wrapText="1"/>
    </xf>
    <xf numFmtId="3" fontId="17" fillId="3" borderId="9" xfId="0" applyNumberFormat="1" applyFont="1" applyFill="1" applyBorder="1" applyAlignment="1">
      <alignment horizontal="center" vertical="center" wrapText="1"/>
    </xf>
    <xf numFmtId="0" fontId="25" fillId="4" borderId="1" xfId="0" applyFont="1" applyFill="1" applyBorder="1" applyAlignment="1">
      <alignment horizontal="right" vertical="center"/>
    </xf>
    <xf numFmtId="0" fontId="17" fillId="8" borderId="5" xfId="0" applyFont="1" applyFill="1" applyBorder="1" applyAlignment="1">
      <alignment horizontal="right" vertical="center"/>
    </xf>
    <xf numFmtId="0" fontId="17" fillId="8" borderId="6" xfId="0" applyFont="1" applyFill="1" applyBorder="1" applyAlignment="1">
      <alignment horizontal="right" vertical="center"/>
    </xf>
    <xf numFmtId="0" fontId="17" fillId="8" borderId="7" xfId="0" applyFont="1" applyFill="1" applyBorder="1" applyAlignment="1">
      <alignment horizontal="right" vertical="center"/>
    </xf>
    <xf numFmtId="0" fontId="18" fillId="9" borderId="0" xfId="0" applyFont="1" applyFill="1" applyAlignment="1">
      <alignment horizontal="center" vertical="center"/>
    </xf>
    <xf numFmtId="0" fontId="17" fillId="8" borderId="3" xfId="0" applyFont="1" applyFill="1" applyBorder="1" applyAlignment="1">
      <alignment horizontal="center" vertical="center"/>
    </xf>
    <xf numFmtId="0" fontId="17" fillId="8" borderId="4" xfId="0" applyFont="1" applyFill="1" applyBorder="1" applyAlignment="1">
      <alignment horizontal="center" vertical="center"/>
    </xf>
    <xf numFmtId="49" fontId="17" fillId="8" borderId="3" xfId="0" applyNumberFormat="1" applyFont="1" applyFill="1" applyBorder="1" applyAlignment="1">
      <alignment horizontal="center" vertical="center"/>
    </xf>
    <xf numFmtId="49" fontId="17" fillId="8" borderId="4" xfId="0" applyNumberFormat="1" applyFont="1" applyFill="1" applyBorder="1" applyAlignment="1">
      <alignment horizontal="center" vertical="center"/>
    </xf>
    <xf numFmtId="3" fontId="17" fillId="8" borderId="8" xfId="0" applyNumberFormat="1" applyFont="1" applyFill="1" applyBorder="1" applyAlignment="1">
      <alignment horizontal="center" vertical="center" wrapText="1"/>
    </xf>
    <xf numFmtId="3" fontId="17" fillId="8" borderId="9" xfId="0" applyNumberFormat="1" applyFont="1" applyFill="1" applyBorder="1" applyAlignment="1">
      <alignment horizontal="center" vertical="center" wrapText="1"/>
    </xf>
    <xf numFmtId="3" fontId="17" fillId="8" borderId="5" xfId="0" applyNumberFormat="1" applyFont="1" applyFill="1" applyBorder="1" applyAlignment="1">
      <alignment horizontal="center" vertical="center"/>
    </xf>
    <xf numFmtId="3" fontId="17" fillId="8" borderId="6" xfId="0" applyNumberFormat="1" applyFont="1" applyFill="1" applyBorder="1" applyAlignment="1">
      <alignment horizontal="center" vertical="center"/>
    </xf>
    <xf numFmtId="3" fontId="17" fillId="8" borderId="7" xfId="0" applyNumberFormat="1" applyFont="1" applyFill="1" applyBorder="1" applyAlignment="1">
      <alignment horizontal="center" vertical="center"/>
    </xf>
    <xf numFmtId="164" fontId="17" fillId="8" borderId="1" xfId="1" applyNumberFormat="1" applyFont="1" applyFill="1" applyBorder="1" applyAlignment="1">
      <alignment horizontal="center" vertical="center"/>
    </xf>
    <xf numFmtId="0" fontId="17" fillId="8" borderId="1" xfId="0" applyFont="1" applyFill="1" applyBorder="1" applyAlignment="1">
      <alignment horizontal="center" vertical="center" wrapText="1"/>
    </xf>
    <xf numFmtId="0" fontId="21" fillId="0" borderId="8" xfId="0" applyFont="1" applyBorder="1" applyAlignment="1" applyProtection="1">
      <alignment horizontal="center" vertical="center"/>
      <protection locked="0"/>
    </xf>
    <xf numFmtId="0" fontId="21" fillId="0" borderId="11" xfId="0" applyFont="1" applyBorder="1" applyAlignment="1" applyProtection="1">
      <alignment horizontal="center" vertical="center"/>
      <protection locked="0"/>
    </xf>
    <xf numFmtId="0" fontId="21" fillId="0" borderId="12" xfId="0" applyFont="1" applyBorder="1" applyAlignment="1" applyProtection="1">
      <alignment horizontal="center" vertical="center"/>
      <protection locked="0"/>
    </xf>
    <xf numFmtId="0" fontId="21" fillId="0" borderId="13" xfId="0" applyFont="1" applyBorder="1" applyAlignment="1" applyProtection="1">
      <alignment horizontal="center" vertical="center"/>
      <protection locked="0"/>
    </xf>
    <xf numFmtId="0" fontId="21" fillId="0" borderId="9" xfId="0" applyFont="1" applyBorder="1" applyAlignment="1" applyProtection="1">
      <alignment horizontal="center" vertical="center"/>
      <protection locked="0"/>
    </xf>
    <xf numFmtId="0" fontId="21" fillId="0" borderId="14" xfId="0" applyFont="1" applyBorder="1" applyAlignment="1" applyProtection="1">
      <alignment horizontal="center" vertical="center"/>
      <protection locked="0"/>
    </xf>
    <xf numFmtId="0" fontId="17" fillId="12" borderId="5" xfId="0" applyFont="1" applyFill="1" applyBorder="1" applyAlignment="1">
      <alignment horizontal="right" vertical="center"/>
    </xf>
    <xf numFmtId="0" fontId="17" fillId="12" borderId="6" xfId="0" applyFont="1" applyFill="1" applyBorder="1" applyAlignment="1">
      <alignment horizontal="right" vertical="center"/>
    </xf>
    <xf numFmtId="0" fontId="17" fillId="12" borderId="7" xfId="0" applyFont="1" applyFill="1" applyBorder="1" applyAlignment="1">
      <alignment horizontal="right" vertical="center"/>
    </xf>
    <xf numFmtId="0" fontId="17" fillId="11" borderId="5" xfId="0" applyFont="1" applyFill="1" applyBorder="1" applyAlignment="1">
      <alignment horizontal="right" vertical="center"/>
    </xf>
    <xf numFmtId="0" fontId="17" fillId="11" borderId="6" xfId="0" applyFont="1" applyFill="1" applyBorder="1" applyAlignment="1">
      <alignment horizontal="right" vertical="center"/>
    </xf>
    <xf numFmtId="0" fontId="17" fillId="11" borderId="7" xfId="0" applyFont="1" applyFill="1" applyBorder="1" applyAlignment="1">
      <alignment horizontal="right" vertical="center"/>
    </xf>
    <xf numFmtId="0" fontId="25" fillId="12" borderId="1" xfId="0" applyFont="1" applyFill="1" applyBorder="1" applyAlignment="1">
      <alignment horizontal="right" vertical="center"/>
    </xf>
    <xf numFmtId="0" fontId="18" fillId="10" borderId="0" xfId="0" applyFont="1" applyFill="1" applyAlignment="1">
      <alignment horizontal="center" vertical="center"/>
    </xf>
    <xf numFmtId="0" fontId="17" fillId="11" borderId="3" xfId="0" applyFont="1" applyFill="1" applyBorder="1" applyAlignment="1">
      <alignment horizontal="center" vertical="center"/>
    </xf>
    <xf numFmtId="0" fontId="17" fillId="11" borderId="4" xfId="0" applyFont="1" applyFill="1" applyBorder="1" applyAlignment="1">
      <alignment horizontal="center" vertical="center"/>
    </xf>
    <xf numFmtId="49" fontId="17" fillId="11" borderId="3" xfId="0" applyNumberFormat="1" applyFont="1" applyFill="1" applyBorder="1" applyAlignment="1">
      <alignment horizontal="center" vertical="center"/>
    </xf>
    <xf numFmtId="49" fontId="17" fillId="11" borderId="4" xfId="0" applyNumberFormat="1" applyFont="1" applyFill="1" applyBorder="1" applyAlignment="1">
      <alignment horizontal="center" vertical="center"/>
    </xf>
    <xf numFmtId="3" fontId="17" fillId="11" borderId="3" xfId="0" applyNumberFormat="1" applyFont="1" applyFill="1" applyBorder="1" applyAlignment="1">
      <alignment horizontal="center" vertical="center" wrapText="1"/>
    </xf>
    <xf numFmtId="3" fontId="17" fillId="11" borderId="4" xfId="0" applyNumberFormat="1" applyFont="1" applyFill="1" applyBorder="1" applyAlignment="1">
      <alignment horizontal="center" vertical="center" wrapText="1"/>
    </xf>
    <xf numFmtId="3" fontId="17" fillId="11" borderId="5" xfId="0" applyNumberFormat="1" applyFont="1" applyFill="1" applyBorder="1" applyAlignment="1">
      <alignment horizontal="center" vertical="center"/>
    </xf>
    <xf numFmtId="3" fontId="17" fillId="11" borderId="6" xfId="0" applyNumberFormat="1" applyFont="1" applyFill="1" applyBorder="1" applyAlignment="1">
      <alignment horizontal="center" vertical="center"/>
    </xf>
    <xf numFmtId="3" fontId="17" fillId="11" borderId="7" xfId="0" applyNumberFormat="1" applyFont="1" applyFill="1" applyBorder="1" applyAlignment="1">
      <alignment horizontal="center" vertical="center"/>
    </xf>
    <xf numFmtId="3" fontId="17" fillId="11" borderId="8" xfId="0" applyNumberFormat="1" applyFont="1" applyFill="1" applyBorder="1" applyAlignment="1">
      <alignment horizontal="center" vertical="center" wrapText="1"/>
    </xf>
    <xf numFmtId="3" fontId="17" fillId="11" borderId="9" xfId="0" applyNumberFormat="1" applyFont="1" applyFill="1" applyBorder="1" applyAlignment="1">
      <alignment horizontal="center" vertical="center" wrapText="1"/>
    </xf>
    <xf numFmtId="164" fontId="25" fillId="11" borderId="1" xfId="1" applyNumberFormat="1" applyFont="1" applyFill="1" applyBorder="1" applyAlignment="1">
      <alignment horizontal="center" vertical="center"/>
    </xf>
    <xf numFmtId="0" fontId="17" fillId="11" borderId="1" xfId="0" applyFont="1" applyFill="1" applyBorder="1" applyAlignment="1">
      <alignment horizontal="center" vertical="center" wrapText="1"/>
    </xf>
    <xf numFmtId="0" fontId="17" fillId="15" borderId="5" xfId="0" applyFont="1" applyFill="1" applyBorder="1" applyAlignment="1">
      <alignment horizontal="right" vertical="center"/>
    </xf>
    <xf numFmtId="0" fontId="17" fillId="15" borderId="6" xfId="0" applyFont="1" applyFill="1" applyBorder="1" applyAlignment="1">
      <alignment horizontal="right" vertical="center"/>
    </xf>
    <xf numFmtId="0" fontId="17" fillId="15" borderId="7" xfId="0" applyFont="1" applyFill="1" applyBorder="1" applyAlignment="1">
      <alignment horizontal="right" vertical="center"/>
    </xf>
    <xf numFmtId="0" fontId="17" fillId="14" borderId="5" xfId="0" applyFont="1" applyFill="1" applyBorder="1" applyAlignment="1">
      <alignment horizontal="right" vertical="center"/>
    </xf>
    <xf numFmtId="0" fontId="17" fillId="14" borderId="6" xfId="0" applyFont="1" applyFill="1" applyBorder="1" applyAlignment="1">
      <alignment horizontal="right" vertical="center"/>
    </xf>
    <xf numFmtId="0" fontId="17" fillId="14" borderId="7" xfId="0" applyFont="1" applyFill="1" applyBorder="1" applyAlignment="1">
      <alignment horizontal="right" vertical="center"/>
    </xf>
    <xf numFmtId="0" fontId="25" fillId="15" borderId="1" xfId="0" applyFont="1" applyFill="1" applyBorder="1" applyAlignment="1">
      <alignment horizontal="right" vertical="center"/>
    </xf>
    <xf numFmtId="3" fontId="17" fillId="14" borderId="1" xfId="0" applyNumberFormat="1" applyFont="1" applyFill="1" applyBorder="1" applyAlignment="1">
      <alignment horizontal="center" vertical="center" wrapText="1"/>
    </xf>
    <xf numFmtId="0" fontId="18" fillId="16" borderId="0" xfId="0" applyFont="1" applyFill="1" applyAlignment="1">
      <alignment horizontal="center" vertical="center"/>
    </xf>
    <xf numFmtId="0" fontId="17" fillId="14" borderId="3" xfId="0" applyFont="1" applyFill="1" applyBorder="1" applyAlignment="1">
      <alignment horizontal="center" vertical="center"/>
    </xf>
    <xf numFmtId="0" fontId="17" fillId="14" borderId="4" xfId="0" applyFont="1" applyFill="1" applyBorder="1" applyAlignment="1">
      <alignment horizontal="center" vertical="center"/>
    </xf>
    <xf numFmtId="49" fontId="17" fillId="14" borderId="3" xfId="0" applyNumberFormat="1" applyFont="1" applyFill="1" applyBorder="1" applyAlignment="1">
      <alignment horizontal="center" vertical="center"/>
    </xf>
    <xf numFmtId="49" fontId="17" fillId="14" borderId="4" xfId="0" applyNumberFormat="1" applyFont="1" applyFill="1" applyBorder="1" applyAlignment="1">
      <alignment horizontal="center" vertical="center"/>
    </xf>
    <xf numFmtId="3" fontId="17" fillId="14" borderId="5" xfId="0" applyNumberFormat="1" applyFont="1" applyFill="1" applyBorder="1" applyAlignment="1">
      <alignment horizontal="center" vertical="center"/>
    </xf>
    <xf numFmtId="3" fontId="17" fillId="14" borderId="6" xfId="0" applyNumberFormat="1" applyFont="1" applyFill="1" applyBorder="1" applyAlignment="1">
      <alignment horizontal="center" vertical="center"/>
    </xf>
    <xf numFmtId="3" fontId="17" fillId="14" borderId="7" xfId="0" applyNumberFormat="1" applyFont="1" applyFill="1" applyBorder="1" applyAlignment="1">
      <alignment horizontal="center" vertical="center"/>
    </xf>
    <xf numFmtId="0" fontId="18" fillId="18" borderId="0" xfId="0" applyFont="1" applyFill="1" applyAlignment="1">
      <alignment horizontal="center" vertical="center"/>
    </xf>
    <xf numFmtId="0" fontId="23" fillId="17" borderId="3" xfId="0" applyFont="1" applyFill="1" applyBorder="1" applyAlignment="1" applyProtection="1">
      <alignment horizontal="center" vertical="center"/>
      <protection locked="0"/>
    </xf>
    <xf numFmtId="0" fontId="23" fillId="17" borderId="4" xfId="0" applyFont="1" applyFill="1" applyBorder="1" applyAlignment="1" applyProtection="1">
      <alignment horizontal="center" vertical="center"/>
      <protection locked="0"/>
    </xf>
    <xf numFmtId="0" fontId="23" fillId="17" borderId="3" xfId="0" applyFont="1" applyFill="1" applyBorder="1" applyAlignment="1" applyProtection="1">
      <alignment horizontal="left" vertical="center"/>
      <protection locked="0"/>
    </xf>
    <xf numFmtId="0" fontId="23" fillId="17" borderId="4" xfId="0" applyFont="1" applyFill="1" applyBorder="1" applyAlignment="1" applyProtection="1">
      <alignment horizontal="left" vertical="center"/>
      <protection locked="0"/>
    </xf>
    <xf numFmtId="0" fontId="23" fillId="17" borderId="3" xfId="0" applyFont="1" applyFill="1" applyBorder="1" applyAlignment="1" applyProtection="1">
      <alignment horizontal="center" vertical="center" wrapText="1"/>
      <protection locked="0"/>
    </xf>
    <xf numFmtId="0" fontId="23" fillId="17" borderId="4" xfId="0" applyFont="1" applyFill="1" applyBorder="1" applyAlignment="1" applyProtection="1">
      <alignment horizontal="center" vertical="center" wrapText="1"/>
      <protection locked="0"/>
    </xf>
    <xf numFmtId="3" fontId="23" fillId="17" borderId="5" xfId="0" applyNumberFormat="1" applyFont="1" applyFill="1" applyBorder="1" applyAlignment="1" applyProtection="1">
      <alignment horizontal="center" vertical="center"/>
      <protection locked="0"/>
    </xf>
    <xf numFmtId="3" fontId="23" fillId="17" borderId="6" xfId="0" applyNumberFormat="1" applyFont="1" applyFill="1" applyBorder="1" applyAlignment="1" applyProtection="1">
      <alignment horizontal="center" vertical="center"/>
      <protection locked="0"/>
    </xf>
    <xf numFmtId="3" fontId="23" fillId="17" borderId="7" xfId="0" applyNumberFormat="1" applyFont="1" applyFill="1" applyBorder="1" applyAlignment="1" applyProtection="1">
      <alignment horizontal="center" vertical="center"/>
      <protection locked="0"/>
    </xf>
    <xf numFmtId="164" fontId="24" fillId="17" borderId="1" xfId="1" applyNumberFormat="1" applyFont="1" applyFill="1" applyBorder="1" applyAlignment="1" applyProtection="1">
      <alignment horizontal="center" vertical="center"/>
      <protection locked="0"/>
    </xf>
    <xf numFmtId="0" fontId="23" fillId="17" borderId="1" xfId="0" applyFont="1" applyFill="1" applyBorder="1" applyAlignment="1" applyProtection="1">
      <alignment horizontal="center" vertical="center" wrapText="1"/>
      <protection locked="0"/>
    </xf>
    <xf numFmtId="0" fontId="17" fillId="17" borderId="5" xfId="0" applyFont="1" applyFill="1" applyBorder="1" applyAlignment="1">
      <alignment horizontal="right" vertical="center"/>
    </xf>
    <xf numFmtId="0" fontId="17" fillId="17" borderId="6" xfId="0" applyFont="1" applyFill="1" applyBorder="1" applyAlignment="1">
      <alignment horizontal="right" vertical="center"/>
    </xf>
    <xf numFmtId="0" fontId="17" fillId="17" borderId="7" xfId="0" applyFont="1" applyFill="1" applyBorder="1" applyAlignment="1">
      <alignment horizontal="right" vertical="center"/>
    </xf>
    <xf numFmtId="0" fontId="25" fillId="17" borderId="1" xfId="0" applyFont="1" applyFill="1" applyBorder="1" applyAlignment="1">
      <alignment horizontal="right" vertical="center"/>
    </xf>
    <xf numFmtId="0" fontId="17" fillId="19" borderId="5" xfId="0" applyFont="1" applyFill="1" applyBorder="1" applyAlignment="1">
      <alignment horizontal="right" vertical="center"/>
    </xf>
    <xf numFmtId="0" fontId="17" fillId="19" borderId="6" xfId="0" applyFont="1" applyFill="1" applyBorder="1" applyAlignment="1">
      <alignment horizontal="right" vertical="center"/>
    </xf>
    <xf numFmtId="0" fontId="17" fillId="19" borderId="7" xfId="0" applyFont="1" applyFill="1" applyBorder="1" applyAlignment="1">
      <alignment horizontal="right" vertical="center"/>
    </xf>
    <xf numFmtId="0" fontId="18" fillId="7" borderId="0" xfId="0" applyFont="1" applyFill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3" fillId="0" borderId="0" xfId="0" applyFont="1" applyAlignment="1">
      <alignment horizontal="center" vertical="center"/>
    </xf>
    <xf numFmtId="0" fontId="33" fillId="0" borderId="15" xfId="0" applyFont="1" applyBorder="1" applyAlignment="1">
      <alignment horizontal="left" vertical="center"/>
    </xf>
    <xf numFmtId="0" fontId="33" fillId="0" borderId="16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8" fillId="21" borderId="0" xfId="0" applyFont="1" applyFill="1" applyAlignment="1">
      <alignment horizontal="center" vertical="center"/>
    </xf>
    <xf numFmtId="0" fontId="23" fillId="10" borderId="3" xfId="0" applyFont="1" applyFill="1" applyBorder="1" applyAlignment="1" applyProtection="1">
      <alignment horizontal="center" vertical="center"/>
      <protection locked="0"/>
    </xf>
    <xf numFmtId="0" fontId="23" fillId="10" borderId="4" xfId="0" applyFont="1" applyFill="1" applyBorder="1" applyAlignment="1" applyProtection="1">
      <alignment horizontal="center" vertical="center"/>
      <protection locked="0"/>
    </xf>
    <xf numFmtId="0" fontId="23" fillId="10" borderId="3" xfId="0" applyFont="1" applyFill="1" applyBorder="1" applyAlignment="1" applyProtection="1">
      <alignment horizontal="left" vertical="center"/>
      <protection locked="0"/>
    </xf>
    <xf numFmtId="0" fontId="23" fillId="10" borderId="4" xfId="0" applyFont="1" applyFill="1" applyBorder="1" applyAlignment="1" applyProtection="1">
      <alignment horizontal="left" vertical="center"/>
      <protection locked="0"/>
    </xf>
    <xf numFmtId="0" fontId="23" fillId="10" borderId="3" xfId="0" applyFont="1" applyFill="1" applyBorder="1" applyAlignment="1" applyProtection="1">
      <alignment horizontal="center" vertical="center" wrapText="1"/>
      <protection locked="0"/>
    </xf>
    <xf numFmtId="0" fontId="23" fillId="10" borderId="4" xfId="0" applyFont="1" applyFill="1" applyBorder="1" applyAlignment="1" applyProtection="1">
      <alignment horizontal="center" vertical="center" wrapText="1"/>
      <protection locked="0"/>
    </xf>
    <xf numFmtId="3" fontId="23" fillId="10" borderId="5" xfId="0" applyNumberFormat="1" applyFont="1" applyFill="1" applyBorder="1" applyAlignment="1" applyProtection="1">
      <alignment horizontal="center" vertical="center"/>
      <protection locked="0"/>
    </xf>
    <xf numFmtId="3" fontId="23" fillId="10" borderId="6" xfId="0" applyNumberFormat="1" applyFont="1" applyFill="1" applyBorder="1" applyAlignment="1" applyProtection="1">
      <alignment horizontal="center" vertical="center"/>
      <protection locked="0"/>
    </xf>
    <xf numFmtId="3" fontId="23" fillId="10" borderId="7" xfId="0" applyNumberFormat="1" applyFont="1" applyFill="1" applyBorder="1" applyAlignment="1" applyProtection="1">
      <alignment horizontal="center" vertical="center"/>
      <protection locked="0"/>
    </xf>
    <xf numFmtId="164" fontId="24" fillId="10" borderId="1" xfId="1" applyNumberFormat="1" applyFont="1" applyFill="1" applyBorder="1" applyAlignment="1" applyProtection="1">
      <alignment horizontal="center" vertical="center"/>
      <protection locked="0"/>
    </xf>
    <xf numFmtId="0" fontId="23" fillId="10" borderId="1" xfId="0" applyFont="1" applyFill="1" applyBorder="1" applyAlignment="1" applyProtection="1">
      <alignment horizontal="center" vertical="center" wrapText="1"/>
      <protection locked="0"/>
    </xf>
    <xf numFmtId="0" fontId="17" fillId="10" borderId="5" xfId="0" applyFont="1" applyFill="1" applyBorder="1" applyAlignment="1">
      <alignment horizontal="right" vertical="center"/>
    </xf>
    <xf numFmtId="0" fontId="17" fillId="10" borderId="6" xfId="0" applyFont="1" applyFill="1" applyBorder="1" applyAlignment="1">
      <alignment horizontal="right" vertical="center"/>
    </xf>
    <xf numFmtId="0" fontId="17" fillId="10" borderId="7" xfId="0" applyFont="1" applyFill="1" applyBorder="1" applyAlignment="1">
      <alignment horizontal="right" vertical="center"/>
    </xf>
    <xf numFmtId="0" fontId="18" fillId="22" borderId="0" xfId="0" applyFont="1" applyFill="1" applyAlignment="1">
      <alignment horizontal="center" vertical="center"/>
    </xf>
    <xf numFmtId="0" fontId="23" fillId="23" borderId="3" xfId="0" applyFont="1" applyFill="1" applyBorder="1" applyAlignment="1" applyProtection="1">
      <alignment horizontal="center" vertical="center"/>
      <protection locked="0"/>
    </xf>
    <xf numFmtId="0" fontId="23" fillId="23" borderId="4" xfId="0" applyFont="1" applyFill="1" applyBorder="1" applyAlignment="1" applyProtection="1">
      <alignment horizontal="center" vertical="center"/>
      <protection locked="0"/>
    </xf>
    <xf numFmtId="0" fontId="23" fillId="23" borderId="3" xfId="0" applyFont="1" applyFill="1" applyBorder="1" applyAlignment="1" applyProtection="1">
      <alignment horizontal="left" vertical="center"/>
      <protection locked="0"/>
    </xf>
    <xf numFmtId="0" fontId="23" fillId="23" borderId="4" xfId="0" applyFont="1" applyFill="1" applyBorder="1" applyAlignment="1" applyProtection="1">
      <alignment horizontal="left" vertical="center"/>
      <protection locked="0"/>
    </xf>
    <xf numFmtId="0" fontId="23" fillId="23" borderId="3" xfId="0" applyFont="1" applyFill="1" applyBorder="1" applyAlignment="1" applyProtection="1">
      <alignment horizontal="center" vertical="center" wrapText="1"/>
      <protection locked="0"/>
    </xf>
    <xf numFmtId="0" fontId="23" fillId="23" borderId="4" xfId="0" applyFont="1" applyFill="1" applyBorder="1" applyAlignment="1" applyProtection="1">
      <alignment horizontal="center" vertical="center" wrapText="1"/>
      <protection locked="0"/>
    </xf>
    <xf numFmtId="3" fontId="23" fillId="23" borderId="5" xfId="0" applyNumberFormat="1" applyFont="1" applyFill="1" applyBorder="1" applyAlignment="1" applyProtection="1">
      <alignment horizontal="center" vertical="center"/>
      <protection locked="0"/>
    </xf>
    <xf numFmtId="3" fontId="23" fillId="23" borderId="6" xfId="0" applyNumberFormat="1" applyFont="1" applyFill="1" applyBorder="1" applyAlignment="1" applyProtection="1">
      <alignment horizontal="center" vertical="center"/>
      <protection locked="0"/>
    </xf>
    <xf numFmtId="3" fontId="23" fillId="23" borderId="7" xfId="0" applyNumberFormat="1" applyFont="1" applyFill="1" applyBorder="1" applyAlignment="1" applyProtection="1">
      <alignment horizontal="center" vertical="center"/>
      <protection locked="0"/>
    </xf>
    <xf numFmtId="164" fontId="24" fillId="23" borderId="1" xfId="1" applyNumberFormat="1" applyFont="1" applyFill="1" applyBorder="1" applyAlignment="1" applyProtection="1">
      <alignment horizontal="center" vertical="center"/>
      <protection locked="0"/>
    </xf>
    <xf numFmtId="0" fontId="23" fillId="23" borderId="1" xfId="0" applyFont="1" applyFill="1" applyBorder="1" applyAlignment="1" applyProtection="1">
      <alignment horizontal="center" vertical="center" wrapText="1"/>
      <protection locked="0"/>
    </xf>
    <xf numFmtId="0" fontId="17" fillId="23" borderId="5" xfId="0" applyFont="1" applyFill="1" applyBorder="1" applyAlignment="1">
      <alignment horizontal="right" vertical="center"/>
    </xf>
    <xf numFmtId="0" fontId="17" fillId="23" borderId="6" xfId="0" applyFont="1" applyFill="1" applyBorder="1" applyAlignment="1">
      <alignment horizontal="right" vertical="center"/>
    </xf>
    <xf numFmtId="0" fontId="17" fillId="23" borderId="7" xfId="0" applyFont="1" applyFill="1" applyBorder="1" applyAlignment="1">
      <alignment horizontal="right" vertical="center"/>
    </xf>
    <xf numFmtId="0" fontId="18" fillId="14" borderId="0" xfId="0" applyFont="1" applyFill="1" applyAlignment="1">
      <alignment horizontal="center" vertical="center"/>
    </xf>
    <xf numFmtId="0" fontId="17" fillId="25" borderId="5" xfId="0" applyFont="1" applyFill="1" applyBorder="1" applyAlignment="1">
      <alignment horizontal="right" vertical="center"/>
    </xf>
    <xf numFmtId="0" fontId="17" fillId="25" borderId="6" xfId="0" applyFont="1" applyFill="1" applyBorder="1" applyAlignment="1">
      <alignment horizontal="right" vertical="center"/>
    </xf>
    <xf numFmtId="0" fontId="17" fillId="25" borderId="7" xfId="0" applyFont="1" applyFill="1" applyBorder="1" applyAlignment="1">
      <alignment horizontal="right" vertical="center"/>
    </xf>
    <xf numFmtId="0" fontId="18" fillId="11" borderId="0" xfId="0" applyFont="1" applyFill="1" applyAlignment="1">
      <alignment horizontal="center" vertical="center"/>
    </xf>
    <xf numFmtId="0" fontId="23" fillId="25" borderId="3" xfId="0" applyFont="1" applyFill="1" applyBorder="1" applyAlignment="1" applyProtection="1">
      <alignment horizontal="center" vertical="center"/>
      <protection locked="0"/>
    </xf>
    <xf numFmtId="0" fontId="23" fillId="25" borderId="4" xfId="0" applyFont="1" applyFill="1" applyBorder="1" applyAlignment="1" applyProtection="1">
      <alignment horizontal="center" vertical="center"/>
      <protection locked="0"/>
    </xf>
    <xf numFmtId="0" fontId="23" fillId="25" borderId="3" xfId="0" applyFont="1" applyFill="1" applyBorder="1" applyAlignment="1" applyProtection="1">
      <alignment horizontal="left" vertical="center"/>
      <protection locked="0"/>
    </xf>
    <xf numFmtId="0" fontId="23" fillId="25" borderId="4" xfId="0" applyFont="1" applyFill="1" applyBorder="1" applyAlignment="1" applyProtection="1">
      <alignment horizontal="left" vertical="center"/>
      <protection locked="0"/>
    </xf>
    <xf numFmtId="0" fontId="23" fillId="25" borderId="3" xfId="0" applyFont="1" applyFill="1" applyBorder="1" applyAlignment="1" applyProtection="1">
      <alignment horizontal="center" vertical="center" wrapText="1"/>
      <protection locked="0"/>
    </xf>
    <xf numFmtId="0" fontId="23" fillId="25" borderId="4" xfId="0" applyFont="1" applyFill="1" applyBorder="1" applyAlignment="1" applyProtection="1">
      <alignment horizontal="center" vertical="center" wrapText="1"/>
      <protection locked="0"/>
    </xf>
    <xf numFmtId="164" fontId="24" fillId="25" borderId="1" xfId="1" applyNumberFormat="1" applyFont="1" applyFill="1" applyBorder="1" applyAlignment="1" applyProtection="1">
      <alignment horizontal="center" vertical="center"/>
      <protection locked="0"/>
    </xf>
    <xf numFmtId="0" fontId="23" fillId="25" borderId="1" xfId="0" applyFont="1" applyFill="1" applyBorder="1" applyAlignment="1" applyProtection="1">
      <alignment horizontal="center" vertical="center" wrapText="1"/>
      <protection locked="0"/>
    </xf>
    <xf numFmtId="3" fontId="23" fillId="25" borderId="5" xfId="0" applyNumberFormat="1" applyFont="1" applyFill="1" applyBorder="1" applyAlignment="1" applyProtection="1">
      <alignment horizontal="center" vertical="center"/>
      <protection locked="0"/>
    </xf>
    <xf numFmtId="3" fontId="23" fillId="25" borderId="6" xfId="0" applyNumberFormat="1" applyFont="1" applyFill="1" applyBorder="1" applyAlignment="1" applyProtection="1">
      <alignment horizontal="center" vertical="center"/>
      <protection locked="0"/>
    </xf>
    <xf numFmtId="3" fontId="23" fillId="25" borderId="7" xfId="0" applyNumberFormat="1" applyFont="1" applyFill="1" applyBorder="1" applyAlignment="1" applyProtection="1">
      <alignment horizontal="center" vertical="center"/>
      <protection locked="0"/>
    </xf>
    <xf numFmtId="0" fontId="18" fillId="26" borderId="0" xfId="0" applyFont="1" applyFill="1" applyAlignment="1">
      <alignment horizontal="center" vertical="center"/>
    </xf>
    <xf numFmtId="3" fontId="23" fillId="26" borderId="5" xfId="0" applyNumberFormat="1" applyFont="1" applyFill="1" applyBorder="1" applyAlignment="1" applyProtection="1">
      <alignment horizontal="center" vertical="center"/>
      <protection locked="0"/>
    </xf>
    <xf numFmtId="3" fontId="23" fillId="26" borderId="6" xfId="0" applyNumberFormat="1" applyFont="1" applyFill="1" applyBorder="1" applyAlignment="1" applyProtection="1">
      <alignment horizontal="center" vertical="center"/>
      <protection locked="0"/>
    </xf>
    <xf numFmtId="0" fontId="23" fillId="26" borderId="3" xfId="0" applyFont="1" applyFill="1" applyBorder="1" applyAlignment="1" applyProtection="1">
      <alignment horizontal="center" vertical="center" wrapText="1"/>
      <protection locked="0"/>
    </xf>
    <xf numFmtId="0" fontId="23" fillId="26" borderId="2" xfId="0" applyFont="1" applyFill="1" applyBorder="1" applyAlignment="1" applyProtection="1">
      <alignment horizontal="center" vertical="center" wrapText="1"/>
      <protection locked="0"/>
    </xf>
    <xf numFmtId="0" fontId="23" fillId="26" borderId="4" xfId="0" applyFont="1" applyFill="1" applyBorder="1" applyAlignment="1" applyProtection="1">
      <alignment horizontal="center" vertical="center" wrapText="1"/>
      <protection locked="0"/>
    </xf>
    <xf numFmtId="164" fontId="24" fillId="26" borderId="3" xfId="1" applyNumberFormat="1" applyFont="1" applyFill="1" applyBorder="1" applyAlignment="1" applyProtection="1">
      <alignment horizontal="center" vertical="center"/>
      <protection locked="0"/>
    </xf>
    <xf numFmtId="164" fontId="24" fillId="26" borderId="2" xfId="1" applyNumberFormat="1" applyFont="1" applyFill="1" applyBorder="1" applyAlignment="1" applyProtection="1">
      <alignment horizontal="center" vertical="center"/>
      <protection locked="0"/>
    </xf>
    <xf numFmtId="164" fontId="24" fillId="26" borderId="4" xfId="1" applyNumberFormat="1" applyFont="1" applyFill="1" applyBorder="1" applyAlignment="1" applyProtection="1">
      <alignment horizontal="center" vertical="center"/>
      <protection locked="0"/>
    </xf>
    <xf numFmtId="3" fontId="23" fillId="26" borderId="3" xfId="0" applyNumberFormat="1" applyFont="1" applyFill="1" applyBorder="1" applyAlignment="1" applyProtection="1">
      <alignment horizontal="center" vertical="center" wrapText="1"/>
      <protection locked="0"/>
    </xf>
    <xf numFmtId="3" fontId="23" fillId="26" borderId="4" xfId="0" applyNumberFormat="1" applyFont="1" applyFill="1" applyBorder="1" applyAlignment="1" applyProtection="1">
      <alignment horizontal="center" vertical="center" wrapText="1"/>
      <protection locked="0"/>
    </xf>
    <xf numFmtId="0" fontId="23" fillId="26" borderId="3" xfId="0" applyFont="1" applyFill="1" applyBorder="1" applyAlignment="1" applyProtection="1">
      <alignment horizontal="center" vertical="center"/>
      <protection locked="0"/>
    </xf>
    <xf numFmtId="0" fontId="23" fillId="26" borderId="2" xfId="0" applyFont="1" applyFill="1" applyBorder="1" applyAlignment="1" applyProtection="1">
      <alignment horizontal="center" vertical="center"/>
      <protection locked="0"/>
    </xf>
    <xf numFmtId="0" fontId="23" fillId="26" borderId="4" xfId="0" applyFont="1" applyFill="1" applyBorder="1" applyAlignment="1" applyProtection="1">
      <alignment horizontal="center" vertical="center"/>
      <protection locked="0"/>
    </xf>
    <xf numFmtId="3" fontId="23" fillId="26" borderId="5" xfId="0" applyNumberFormat="1" applyFont="1" applyFill="1" applyBorder="1" applyAlignment="1" applyProtection="1">
      <alignment horizontal="center" vertical="center" wrapText="1"/>
      <protection locked="0"/>
    </xf>
    <xf numFmtId="3" fontId="23" fillId="26" borderId="7" xfId="0" applyNumberFormat="1" applyFont="1" applyFill="1" applyBorder="1" applyAlignment="1" applyProtection="1">
      <alignment horizontal="center" vertical="center" wrapText="1"/>
      <protection locked="0"/>
    </xf>
    <xf numFmtId="0" fontId="17" fillId="26" borderId="5" xfId="0" applyFont="1" applyFill="1" applyBorder="1" applyAlignment="1">
      <alignment horizontal="right" vertical="center"/>
    </xf>
    <xf numFmtId="0" fontId="17" fillId="26" borderId="6" xfId="0" applyFont="1" applyFill="1" applyBorder="1" applyAlignment="1">
      <alignment horizontal="right" vertical="center"/>
    </xf>
    <xf numFmtId="0" fontId="17" fillId="26" borderId="7" xfId="0" applyFont="1" applyFill="1" applyBorder="1" applyAlignment="1">
      <alignment horizontal="right" vertical="center"/>
    </xf>
    <xf numFmtId="0" fontId="25" fillId="26" borderId="1" xfId="0" applyFont="1" applyFill="1" applyBorder="1" applyAlignment="1">
      <alignment horizontal="right" vertical="center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colors>
    <mruColors>
      <color rgb="FFFFFFCC"/>
      <color rgb="FFFFCCFF"/>
      <color rgb="FFCC99FF"/>
      <color rgb="FFD6E63E"/>
      <color rgb="FFEDF4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61"/>
  <sheetViews>
    <sheetView zoomScaleSheetLayoutView="100" workbookViewId="0">
      <pane xSplit="2" ySplit="4" topLeftCell="C189" activePane="bottomRight" state="frozen"/>
      <selection activeCell="D8" sqref="D8"/>
      <selection pane="topRight" activeCell="D8" sqref="D8"/>
      <selection pane="bottomLeft" activeCell="D8" sqref="D8"/>
      <selection pane="bottomRight" activeCell="D8" sqref="D8"/>
    </sheetView>
  </sheetViews>
  <sheetFormatPr defaultRowHeight="15" x14ac:dyDescent="0.25"/>
  <cols>
    <col min="1" max="1" width="51.42578125" customWidth="1"/>
    <col min="2" max="2" width="8.140625" style="5" customWidth="1"/>
    <col min="4" max="4" width="13.28515625" style="4" customWidth="1"/>
    <col min="5" max="8" width="12.42578125" style="4" customWidth="1"/>
    <col min="9" max="9" width="13.5703125" style="4" bestFit="1" customWidth="1"/>
    <col min="10" max="10" width="14" style="39" bestFit="1" customWidth="1"/>
    <col min="11" max="11" width="16" customWidth="1"/>
  </cols>
  <sheetData>
    <row r="1" spans="1:24" ht="22.5" customHeight="1" x14ac:dyDescent="0.25">
      <c r="A1" s="263" t="s">
        <v>0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7.5" customHeight="1" x14ac:dyDescent="0.25"/>
    <row r="3" spans="1:24" ht="13.5" customHeight="1" x14ac:dyDescent="0.25">
      <c r="A3" s="276" t="s">
        <v>1</v>
      </c>
      <c r="B3" s="278" t="s">
        <v>2</v>
      </c>
      <c r="C3" s="276" t="s">
        <v>3</v>
      </c>
      <c r="D3" s="269" t="s">
        <v>4</v>
      </c>
      <c r="E3" s="273" t="s">
        <v>69</v>
      </c>
      <c r="F3" s="274"/>
      <c r="G3" s="274"/>
      <c r="H3" s="275"/>
      <c r="I3" s="280" t="s">
        <v>89</v>
      </c>
      <c r="J3" s="272" t="s">
        <v>5</v>
      </c>
      <c r="K3" s="271" t="s">
        <v>72</v>
      </c>
    </row>
    <row r="4" spans="1:24" ht="14.25" customHeight="1" x14ac:dyDescent="0.25">
      <c r="A4" s="277"/>
      <c r="B4" s="279"/>
      <c r="C4" s="277"/>
      <c r="D4" s="270"/>
      <c r="E4" s="9" t="s">
        <v>70</v>
      </c>
      <c r="F4" s="9" t="s">
        <v>71</v>
      </c>
      <c r="G4" s="9" t="s">
        <v>71</v>
      </c>
      <c r="H4" s="9" t="s">
        <v>71</v>
      </c>
      <c r="I4" s="281"/>
      <c r="J4" s="272"/>
      <c r="K4" s="271"/>
    </row>
    <row r="5" spans="1:24" x14ac:dyDescent="0.25">
      <c r="A5" s="255" t="s">
        <v>6</v>
      </c>
      <c r="B5" s="268" t="s">
        <v>21</v>
      </c>
      <c r="C5" s="2" t="s">
        <v>16</v>
      </c>
      <c r="D5" s="3">
        <v>54810810</v>
      </c>
      <c r="E5" s="3"/>
      <c r="F5" s="3"/>
      <c r="G5" s="3"/>
      <c r="H5" s="3"/>
      <c r="I5" s="20">
        <f>D5+E5+F5+G5+H5</f>
        <v>54810810</v>
      </c>
      <c r="J5" s="51">
        <v>9218468</v>
      </c>
      <c r="K5" s="3">
        <f>I5-J5</f>
        <v>45592342</v>
      </c>
    </row>
    <row r="6" spans="1:24" x14ac:dyDescent="0.25">
      <c r="A6" s="256"/>
      <c r="B6" s="268"/>
      <c r="C6" s="2" t="s">
        <v>17</v>
      </c>
      <c r="D6" s="3">
        <v>7273070</v>
      </c>
      <c r="E6" s="3"/>
      <c r="F6" s="3"/>
      <c r="G6" s="3"/>
      <c r="H6" s="3"/>
      <c r="I6" s="20">
        <f t="shared" ref="I6:I23" si="0">D6+E6+F6+G6+H6</f>
        <v>7273070</v>
      </c>
      <c r="J6" s="51">
        <v>7273070</v>
      </c>
      <c r="K6" s="3">
        <f t="shared" ref="K6:K23" si="1">I6-J6</f>
        <v>0</v>
      </c>
    </row>
    <row r="7" spans="1:24" x14ac:dyDescent="0.25">
      <c r="A7" s="256"/>
      <c r="B7" s="268"/>
      <c r="C7" s="2" t="s">
        <v>18</v>
      </c>
      <c r="D7" s="3">
        <v>96985672</v>
      </c>
      <c r="E7" s="3"/>
      <c r="F7" s="3"/>
      <c r="G7" s="3"/>
      <c r="H7" s="3"/>
      <c r="I7" s="20">
        <f t="shared" si="0"/>
        <v>96985672</v>
      </c>
      <c r="J7" s="51">
        <v>22524698</v>
      </c>
      <c r="K7" s="3">
        <f t="shared" si="1"/>
        <v>74460974</v>
      </c>
    </row>
    <row r="8" spans="1:24" x14ac:dyDescent="0.25">
      <c r="A8" s="256"/>
      <c r="B8" s="252">
        <v>104042</v>
      </c>
      <c r="C8" s="2" t="s">
        <v>22</v>
      </c>
      <c r="D8" s="3">
        <v>200000</v>
      </c>
      <c r="E8" s="3"/>
      <c r="F8" s="3"/>
      <c r="G8" s="3"/>
      <c r="H8" s="3"/>
      <c r="I8" s="20">
        <f t="shared" si="0"/>
        <v>200000</v>
      </c>
      <c r="J8" s="51">
        <v>0</v>
      </c>
      <c r="K8" s="3">
        <f t="shared" si="1"/>
        <v>200000</v>
      </c>
    </row>
    <row r="9" spans="1:24" x14ac:dyDescent="0.25">
      <c r="A9" s="256"/>
      <c r="B9" s="253"/>
      <c r="C9" s="2" t="s">
        <v>19</v>
      </c>
      <c r="D9" s="3">
        <v>13200</v>
      </c>
      <c r="E9" s="3">
        <v>-1646</v>
      </c>
      <c r="F9" s="3"/>
      <c r="G9" s="3"/>
      <c r="H9" s="3"/>
      <c r="I9" s="20">
        <f t="shared" si="0"/>
        <v>11554</v>
      </c>
      <c r="J9" s="51">
        <v>2130</v>
      </c>
      <c r="K9" s="3">
        <f t="shared" si="1"/>
        <v>9424</v>
      </c>
    </row>
    <row r="10" spans="1:24" x14ac:dyDescent="0.25">
      <c r="A10" s="256"/>
      <c r="B10" s="253"/>
      <c r="C10" s="2" t="s">
        <v>20</v>
      </c>
      <c r="D10" s="3">
        <v>500</v>
      </c>
      <c r="E10" s="3">
        <v>-436</v>
      </c>
      <c r="F10" s="3"/>
      <c r="G10" s="3"/>
      <c r="H10" s="3"/>
      <c r="I10" s="20">
        <f t="shared" si="0"/>
        <v>64</v>
      </c>
      <c r="J10" s="51">
        <v>44</v>
      </c>
      <c r="K10" s="3">
        <f t="shared" si="1"/>
        <v>20</v>
      </c>
    </row>
    <row r="11" spans="1:24" x14ac:dyDescent="0.25">
      <c r="A11" s="256"/>
      <c r="B11" s="254"/>
      <c r="C11" s="2" t="s">
        <v>84</v>
      </c>
      <c r="D11" s="3">
        <v>0</v>
      </c>
      <c r="E11" s="3">
        <f>1646+892</f>
        <v>2538</v>
      </c>
      <c r="F11" s="3"/>
      <c r="G11" s="3"/>
      <c r="H11" s="3"/>
      <c r="I11" s="20">
        <f t="shared" si="0"/>
        <v>2538</v>
      </c>
      <c r="J11" s="51">
        <v>2538</v>
      </c>
      <c r="K11" s="3">
        <f t="shared" si="1"/>
        <v>0</v>
      </c>
    </row>
    <row r="12" spans="1:24" x14ac:dyDescent="0.25">
      <c r="A12" s="256"/>
      <c r="B12" s="252">
        <v>104043</v>
      </c>
      <c r="C12" s="2" t="s">
        <v>20</v>
      </c>
      <c r="D12" s="3">
        <v>500</v>
      </c>
      <c r="E12" s="3">
        <v>-457</v>
      </c>
      <c r="F12" s="3"/>
      <c r="G12" s="3"/>
      <c r="H12" s="3"/>
      <c r="I12" s="20">
        <f t="shared" si="0"/>
        <v>43</v>
      </c>
      <c r="J12" s="51">
        <v>43</v>
      </c>
      <c r="K12" s="3">
        <f t="shared" si="1"/>
        <v>0</v>
      </c>
    </row>
    <row r="13" spans="1:24" x14ac:dyDescent="0.25">
      <c r="A13" s="257"/>
      <c r="B13" s="254"/>
      <c r="C13" s="2" t="s">
        <v>84</v>
      </c>
      <c r="D13" s="3">
        <v>0</v>
      </c>
      <c r="E13" s="3">
        <v>1</v>
      </c>
      <c r="F13" s="3"/>
      <c r="G13" s="3"/>
      <c r="H13" s="3"/>
      <c r="I13" s="20">
        <f t="shared" si="0"/>
        <v>1</v>
      </c>
      <c r="J13" s="51">
        <v>1</v>
      </c>
      <c r="K13" s="3">
        <f t="shared" si="1"/>
        <v>0</v>
      </c>
    </row>
    <row r="14" spans="1:24" x14ac:dyDescent="0.25">
      <c r="A14" s="258" t="s">
        <v>7</v>
      </c>
      <c r="B14" s="268" t="s">
        <v>21</v>
      </c>
      <c r="C14" s="2" t="s">
        <v>16</v>
      </c>
      <c r="D14" s="3">
        <v>245982</v>
      </c>
      <c r="E14" s="3"/>
      <c r="F14" s="3"/>
      <c r="G14" s="3"/>
      <c r="H14" s="3"/>
      <c r="I14" s="20">
        <f t="shared" si="0"/>
        <v>245982</v>
      </c>
      <c r="J14" s="51">
        <v>46069</v>
      </c>
      <c r="K14" s="3">
        <f t="shared" si="1"/>
        <v>199913</v>
      </c>
    </row>
    <row r="15" spans="1:24" x14ac:dyDescent="0.25">
      <c r="A15" s="258"/>
      <c r="B15" s="268"/>
      <c r="C15" s="2" t="s">
        <v>17</v>
      </c>
      <c r="D15" s="3">
        <v>1005557</v>
      </c>
      <c r="E15" s="3"/>
      <c r="F15" s="3"/>
      <c r="G15" s="3"/>
      <c r="H15" s="3"/>
      <c r="I15" s="20">
        <f t="shared" si="0"/>
        <v>1005557</v>
      </c>
      <c r="J15" s="51">
        <v>1005557</v>
      </c>
      <c r="K15" s="3">
        <f t="shared" si="1"/>
        <v>0</v>
      </c>
    </row>
    <row r="16" spans="1:24" x14ac:dyDescent="0.25">
      <c r="A16" s="258" t="s">
        <v>8</v>
      </c>
      <c r="B16" s="268" t="s">
        <v>21</v>
      </c>
      <c r="C16" s="2" t="s">
        <v>16</v>
      </c>
      <c r="D16" s="3">
        <v>3086953</v>
      </c>
      <c r="E16" s="3"/>
      <c r="F16" s="3"/>
      <c r="G16" s="3"/>
      <c r="H16" s="3"/>
      <c r="I16" s="20">
        <f t="shared" si="0"/>
        <v>3086953</v>
      </c>
      <c r="J16" s="51">
        <v>514492</v>
      </c>
      <c r="K16" s="3">
        <f t="shared" si="1"/>
        <v>2572461</v>
      </c>
    </row>
    <row r="17" spans="1:11" x14ac:dyDescent="0.25">
      <c r="A17" s="258"/>
      <c r="B17" s="268"/>
      <c r="C17" s="2" t="s">
        <v>17</v>
      </c>
      <c r="D17" s="3">
        <v>440959</v>
      </c>
      <c r="E17" s="3"/>
      <c r="F17" s="3"/>
      <c r="G17" s="3"/>
      <c r="H17" s="3"/>
      <c r="I17" s="20">
        <f t="shared" si="0"/>
        <v>440959</v>
      </c>
      <c r="J17" s="51">
        <v>440959</v>
      </c>
      <c r="K17" s="3">
        <f t="shared" si="1"/>
        <v>0</v>
      </c>
    </row>
    <row r="18" spans="1:11" x14ac:dyDescent="0.25">
      <c r="A18" s="258" t="s">
        <v>9</v>
      </c>
      <c r="B18" s="268" t="s">
        <v>21</v>
      </c>
      <c r="C18" s="2" t="s">
        <v>16</v>
      </c>
      <c r="D18" s="3">
        <v>1403439</v>
      </c>
      <c r="E18" s="3"/>
      <c r="F18" s="3"/>
      <c r="G18" s="3"/>
      <c r="H18" s="3"/>
      <c r="I18" s="20">
        <f t="shared" si="0"/>
        <v>1403439</v>
      </c>
      <c r="J18" s="51">
        <v>272841</v>
      </c>
      <c r="K18" s="3">
        <f t="shared" si="1"/>
        <v>1130598</v>
      </c>
    </row>
    <row r="19" spans="1:11" x14ac:dyDescent="0.25">
      <c r="A19" s="258"/>
      <c r="B19" s="268"/>
      <c r="C19" s="2" t="s">
        <v>17</v>
      </c>
      <c r="D19" s="3">
        <v>599759</v>
      </c>
      <c r="E19" s="3"/>
      <c r="F19" s="3"/>
      <c r="G19" s="3"/>
      <c r="H19" s="3"/>
      <c r="I19" s="20">
        <f t="shared" si="0"/>
        <v>599759</v>
      </c>
      <c r="J19" s="51">
        <v>599759</v>
      </c>
      <c r="K19" s="3">
        <f t="shared" si="1"/>
        <v>0</v>
      </c>
    </row>
    <row r="20" spans="1:11" x14ac:dyDescent="0.25">
      <c r="A20" s="255" t="s">
        <v>54</v>
      </c>
      <c r="B20" s="252" t="s">
        <v>21</v>
      </c>
      <c r="C20" s="2" t="s">
        <v>16</v>
      </c>
      <c r="D20" s="3">
        <v>4056383</v>
      </c>
      <c r="E20" s="3"/>
      <c r="F20" s="3"/>
      <c r="G20" s="3"/>
      <c r="H20" s="3"/>
      <c r="I20" s="20">
        <f t="shared" si="0"/>
        <v>4056383</v>
      </c>
      <c r="J20" s="51">
        <v>676064</v>
      </c>
      <c r="K20" s="3">
        <f t="shared" si="1"/>
        <v>3380319</v>
      </c>
    </row>
    <row r="21" spans="1:11" x14ac:dyDescent="0.25">
      <c r="A21" s="257"/>
      <c r="B21" s="254"/>
      <c r="C21" s="2" t="s">
        <v>17</v>
      </c>
      <c r="D21" s="3">
        <v>226299</v>
      </c>
      <c r="E21" s="3"/>
      <c r="F21" s="3"/>
      <c r="G21" s="3"/>
      <c r="H21" s="3"/>
      <c r="I21" s="20">
        <f t="shared" si="0"/>
        <v>226299</v>
      </c>
      <c r="J21" s="51">
        <v>226299</v>
      </c>
      <c r="K21" s="3">
        <f t="shared" si="1"/>
        <v>0</v>
      </c>
    </row>
    <row r="22" spans="1:11" x14ac:dyDescent="0.25">
      <c r="A22" s="258" t="s">
        <v>10</v>
      </c>
      <c r="B22" s="268" t="s">
        <v>21</v>
      </c>
      <c r="C22" s="2" t="s">
        <v>16</v>
      </c>
      <c r="D22" s="3">
        <v>53627392</v>
      </c>
      <c r="E22" s="3"/>
      <c r="F22" s="3"/>
      <c r="G22" s="3"/>
      <c r="H22" s="3"/>
      <c r="I22" s="20">
        <f t="shared" si="0"/>
        <v>53627392</v>
      </c>
      <c r="J22" s="51">
        <v>0</v>
      </c>
      <c r="K22" s="3">
        <f t="shared" si="1"/>
        <v>53627392</v>
      </c>
    </row>
    <row r="23" spans="1:11" x14ac:dyDescent="0.25">
      <c r="A23" s="258"/>
      <c r="B23" s="268"/>
      <c r="C23" s="2" t="s">
        <v>17</v>
      </c>
      <c r="D23" s="3">
        <v>6467166</v>
      </c>
      <c r="E23" s="3"/>
      <c r="F23" s="3"/>
      <c r="G23" s="3"/>
      <c r="H23" s="3"/>
      <c r="I23" s="20">
        <f t="shared" si="0"/>
        <v>6467166</v>
      </c>
      <c r="J23" s="51">
        <v>6467166</v>
      </c>
      <c r="K23" s="3">
        <f t="shared" si="1"/>
        <v>0</v>
      </c>
    </row>
    <row r="24" spans="1:11" s="23" customFormat="1" ht="27" customHeight="1" x14ac:dyDescent="0.25">
      <c r="A24" s="264" t="s">
        <v>73</v>
      </c>
      <c r="B24" s="265"/>
      <c r="C24" s="266"/>
      <c r="D24" s="22">
        <f t="shared" ref="D24:K24" si="2">SUM(D5:D23)</f>
        <v>230443641</v>
      </c>
      <c r="E24" s="22">
        <f t="shared" si="2"/>
        <v>0</v>
      </c>
      <c r="F24" s="22">
        <f t="shared" si="2"/>
        <v>0</v>
      </c>
      <c r="G24" s="22">
        <f t="shared" si="2"/>
        <v>0</v>
      </c>
      <c r="H24" s="22">
        <f t="shared" si="2"/>
        <v>0</v>
      </c>
      <c r="I24" s="22">
        <f t="shared" si="2"/>
        <v>230443641</v>
      </c>
      <c r="J24" s="40">
        <f t="shared" si="2"/>
        <v>49270198</v>
      </c>
      <c r="K24" s="22">
        <f t="shared" si="2"/>
        <v>181173443</v>
      </c>
    </row>
    <row r="25" spans="1:11" x14ac:dyDescent="0.25">
      <c r="A25" s="258" t="s">
        <v>11</v>
      </c>
      <c r="B25" s="252" t="s">
        <v>23</v>
      </c>
      <c r="C25" s="2" t="s">
        <v>24</v>
      </c>
      <c r="D25" s="3">
        <v>35883092</v>
      </c>
      <c r="E25" s="3">
        <f>-66995-24913</f>
        <v>-91908</v>
      </c>
      <c r="F25" s="3"/>
      <c r="G25" s="3"/>
      <c r="H25" s="3"/>
      <c r="I25" s="20">
        <f t="shared" ref="I25:I31" si="3">D25+E25+F25+G25+H25</f>
        <v>35791184</v>
      </c>
      <c r="J25" s="51">
        <v>7399813</v>
      </c>
      <c r="K25" s="3">
        <f t="shared" ref="K25:K31" si="4">I25-J25</f>
        <v>28391371</v>
      </c>
    </row>
    <row r="26" spans="1:11" x14ac:dyDescent="0.25">
      <c r="A26" s="258"/>
      <c r="B26" s="253"/>
      <c r="C26" s="2" t="s">
        <v>25</v>
      </c>
      <c r="D26" s="3">
        <v>1542000</v>
      </c>
      <c r="E26" s="3"/>
      <c r="F26" s="3"/>
      <c r="G26" s="3"/>
      <c r="H26" s="3"/>
      <c r="I26" s="20">
        <f t="shared" si="3"/>
        <v>1542000</v>
      </c>
      <c r="J26" s="51">
        <v>0</v>
      </c>
      <c r="K26" s="3">
        <f t="shared" si="4"/>
        <v>1542000</v>
      </c>
    </row>
    <row r="27" spans="1:11" x14ac:dyDescent="0.25">
      <c r="A27" s="258"/>
      <c r="B27" s="253"/>
      <c r="C27" s="2" t="s">
        <v>26</v>
      </c>
      <c r="D27" s="3">
        <v>80000</v>
      </c>
      <c r="E27" s="3"/>
      <c r="F27" s="3"/>
      <c r="G27" s="3"/>
      <c r="H27" s="3"/>
      <c r="I27" s="20">
        <f t="shared" si="3"/>
        <v>80000</v>
      </c>
      <c r="J27" s="51">
        <v>0</v>
      </c>
      <c r="K27" s="3">
        <f t="shared" si="4"/>
        <v>80000</v>
      </c>
    </row>
    <row r="28" spans="1:11" x14ac:dyDescent="0.25">
      <c r="A28" s="258"/>
      <c r="B28" s="253"/>
      <c r="C28" s="2" t="s">
        <v>27</v>
      </c>
      <c r="D28" s="3">
        <v>893400</v>
      </c>
      <c r="E28" s="3"/>
      <c r="F28" s="3"/>
      <c r="G28" s="3"/>
      <c r="H28" s="3"/>
      <c r="I28" s="20">
        <f t="shared" si="3"/>
        <v>893400</v>
      </c>
      <c r="J28" s="51">
        <v>118760</v>
      </c>
      <c r="K28" s="3">
        <f t="shared" si="4"/>
        <v>774640</v>
      </c>
    </row>
    <row r="29" spans="1:11" x14ac:dyDescent="0.25">
      <c r="A29" s="258"/>
      <c r="B29" s="253"/>
      <c r="C29" s="2" t="s">
        <v>28</v>
      </c>
      <c r="D29" s="3">
        <v>190000</v>
      </c>
      <c r="E29" s="3"/>
      <c r="F29" s="3"/>
      <c r="G29" s="3"/>
      <c r="H29" s="3"/>
      <c r="I29" s="20">
        <f t="shared" si="3"/>
        <v>190000</v>
      </c>
      <c r="J29" s="51">
        <v>0</v>
      </c>
      <c r="K29" s="3">
        <f t="shared" si="4"/>
        <v>190000</v>
      </c>
    </row>
    <row r="30" spans="1:11" x14ac:dyDescent="0.25">
      <c r="A30" s="258"/>
      <c r="B30" s="253"/>
      <c r="C30" s="2" t="s">
        <v>29</v>
      </c>
      <c r="D30" s="3">
        <v>1086500</v>
      </c>
      <c r="E30" s="3">
        <f>66995+24913</f>
        <v>91908</v>
      </c>
      <c r="F30" s="3"/>
      <c r="G30" s="3"/>
      <c r="H30" s="3"/>
      <c r="I30" s="20">
        <f t="shared" si="3"/>
        <v>1178408</v>
      </c>
      <c r="J30" s="51">
        <v>160641</v>
      </c>
      <c r="K30" s="3">
        <f t="shared" si="4"/>
        <v>1017767</v>
      </c>
    </row>
    <row r="31" spans="1:11" x14ac:dyDescent="0.25">
      <c r="A31" s="258"/>
      <c r="B31" s="253"/>
      <c r="C31" s="2" t="s">
        <v>30</v>
      </c>
      <c r="D31" s="3">
        <v>100000</v>
      </c>
      <c r="E31" s="3"/>
      <c r="F31" s="3"/>
      <c r="G31" s="3"/>
      <c r="H31" s="3"/>
      <c r="I31" s="20">
        <f t="shared" si="3"/>
        <v>100000</v>
      </c>
      <c r="J31" s="51">
        <v>0</v>
      </c>
      <c r="K31" s="3">
        <f t="shared" si="4"/>
        <v>100000</v>
      </c>
    </row>
    <row r="32" spans="1:11" x14ac:dyDescent="0.25">
      <c r="A32" s="258"/>
      <c r="B32" s="253"/>
      <c r="C32" s="6" t="s">
        <v>53</v>
      </c>
      <c r="D32" s="7">
        <f>SUM(D25:D31)</f>
        <v>39774992</v>
      </c>
      <c r="E32" s="7">
        <f t="shared" ref="E32:K32" si="5">SUM(E25:E31)</f>
        <v>0</v>
      </c>
      <c r="F32" s="7">
        <f t="shared" si="5"/>
        <v>0</v>
      </c>
      <c r="G32" s="7">
        <f t="shared" si="5"/>
        <v>0</v>
      </c>
      <c r="H32" s="7">
        <f t="shared" si="5"/>
        <v>0</v>
      </c>
      <c r="I32" s="7">
        <f t="shared" si="5"/>
        <v>39774992</v>
      </c>
      <c r="J32" s="52">
        <f t="shared" si="5"/>
        <v>7679214</v>
      </c>
      <c r="K32" s="7">
        <f t="shared" si="5"/>
        <v>32095778</v>
      </c>
    </row>
    <row r="33" spans="1:11" x14ac:dyDescent="0.25">
      <c r="A33" s="258"/>
      <c r="B33" s="253"/>
      <c r="C33" s="6" t="s">
        <v>31</v>
      </c>
      <c r="D33" s="7">
        <v>7793417</v>
      </c>
      <c r="E33" s="7"/>
      <c r="F33" s="7"/>
      <c r="G33" s="7"/>
      <c r="H33" s="7"/>
      <c r="I33" s="21">
        <f t="shared" ref="I33" si="6">D33+E33+F33+G33+H33</f>
        <v>7793417</v>
      </c>
      <c r="J33" s="53">
        <v>1507624</v>
      </c>
      <c r="K33" s="8">
        <f t="shared" ref="K33" si="7">I33-J33</f>
        <v>6285793</v>
      </c>
    </row>
    <row r="34" spans="1:11" x14ac:dyDescent="0.25">
      <c r="A34" s="258"/>
      <c r="B34" s="253"/>
      <c r="C34" s="2" t="s">
        <v>32</v>
      </c>
      <c r="D34" s="3">
        <v>105000</v>
      </c>
      <c r="E34" s="3"/>
      <c r="F34" s="3"/>
      <c r="G34" s="3"/>
      <c r="H34" s="3"/>
      <c r="I34" s="20">
        <f t="shared" ref="I34:I47" si="8">D34+E34+F34+G34+H34</f>
        <v>105000</v>
      </c>
      <c r="J34" s="51">
        <v>0</v>
      </c>
      <c r="K34" s="3">
        <f t="shared" ref="K34:K47" si="9">I34-J34</f>
        <v>105000</v>
      </c>
    </row>
    <row r="35" spans="1:11" x14ac:dyDescent="0.25">
      <c r="A35" s="258"/>
      <c r="B35" s="253"/>
      <c r="C35" s="2" t="s">
        <v>33</v>
      </c>
      <c r="D35" s="3">
        <v>500000</v>
      </c>
      <c r="E35" s="3"/>
      <c r="F35" s="3"/>
      <c r="G35" s="3"/>
      <c r="H35" s="3"/>
      <c r="I35" s="20">
        <f t="shared" si="8"/>
        <v>500000</v>
      </c>
      <c r="J35" s="51">
        <v>0</v>
      </c>
      <c r="K35" s="3">
        <f t="shared" si="9"/>
        <v>500000</v>
      </c>
    </row>
    <row r="36" spans="1:11" x14ac:dyDescent="0.25">
      <c r="A36" s="258"/>
      <c r="B36" s="253"/>
      <c r="C36" s="2" t="s">
        <v>34</v>
      </c>
      <c r="D36" s="3">
        <v>213000</v>
      </c>
      <c r="E36" s="3"/>
      <c r="F36" s="3"/>
      <c r="G36" s="3"/>
      <c r="H36" s="3"/>
      <c r="I36" s="20">
        <f t="shared" si="8"/>
        <v>213000</v>
      </c>
      <c r="J36" s="51">
        <v>20818</v>
      </c>
      <c r="K36" s="3">
        <f t="shared" si="9"/>
        <v>192182</v>
      </c>
    </row>
    <row r="37" spans="1:11" x14ac:dyDescent="0.25">
      <c r="A37" s="258"/>
      <c r="B37" s="253"/>
      <c r="C37" s="2" t="s">
        <v>35</v>
      </c>
      <c r="D37" s="3">
        <v>162000</v>
      </c>
      <c r="E37" s="3"/>
      <c r="F37" s="3"/>
      <c r="G37" s="3"/>
      <c r="H37" s="3"/>
      <c r="I37" s="20">
        <f t="shared" si="8"/>
        <v>162000</v>
      </c>
      <c r="J37" s="51">
        <v>16189</v>
      </c>
      <c r="K37" s="3">
        <f t="shared" si="9"/>
        <v>145811</v>
      </c>
    </row>
    <row r="38" spans="1:11" x14ac:dyDescent="0.25">
      <c r="A38" s="258"/>
      <c r="B38" s="253"/>
      <c r="C38" s="2" t="s">
        <v>36</v>
      </c>
      <c r="D38" s="3">
        <v>569540</v>
      </c>
      <c r="E38" s="3"/>
      <c r="F38" s="3"/>
      <c r="G38" s="3"/>
      <c r="H38" s="3"/>
      <c r="I38" s="20">
        <f t="shared" si="8"/>
        <v>569540</v>
      </c>
      <c r="J38" s="51">
        <v>200895</v>
      </c>
      <c r="K38" s="3">
        <f t="shared" si="9"/>
        <v>368645</v>
      </c>
    </row>
    <row r="39" spans="1:11" x14ac:dyDescent="0.25">
      <c r="A39" s="258"/>
      <c r="B39" s="253"/>
      <c r="C39" s="2" t="s">
        <v>37</v>
      </c>
      <c r="D39" s="3">
        <v>3000</v>
      </c>
      <c r="E39" s="3"/>
      <c r="F39" s="3"/>
      <c r="G39" s="3"/>
      <c r="H39" s="3"/>
      <c r="I39" s="20">
        <f t="shared" si="8"/>
        <v>3000</v>
      </c>
      <c r="J39" s="51">
        <v>0</v>
      </c>
      <c r="K39" s="3">
        <f t="shared" si="9"/>
        <v>3000</v>
      </c>
    </row>
    <row r="40" spans="1:11" x14ac:dyDescent="0.25">
      <c r="A40" s="258"/>
      <c r="B40" s="253"/>
      <c r="C40" s="2" t="s">
        <v>38</v>
      </c>
      <c r="D40" s="3">
        <v>460000</v>
      </c>
      <c r="E40" s="3"/>
      <c r="F40" s="3"/>
      <c r="G40" s="3"/>
      <c r="H40" s="3"/>
      <c r="I40" s="20">
        <f t="shared" si="8"/>
        <v>460000</v>
      </c>
      <c r="J40" s="51">
        <v>45459</v>
      </c>
      <c r="K40" s="3">
        <f t="shared" si="9"/>
        <v>414541</v>
      </c>
    </row>
    <row r="41" spans="1:11" x14ac:dyDescent="0.25">
      <c r="A41" s="258"/>
      <c r="B41" s="253"/>
      <c r="C41" s="2" t="s">
        <v>39</v>
      </c>
      <c r="D41" s="3">
        <v>13200</v>
      </c>
      <c r="E41" s="3">
        <v>-1646</v>
      </c>
      <c r="F41" s="3"/>
      <c r="G41" s="3"/>
      <c r="H41" s="3"/>
      <c r="I41" s="20">
        <f t="shared" si="8"/>
        <v>11554</v>
      </c>
      <c r="J41" s="51">
        <v>3206</v>
      </c>
      <c r="K41" s="3">
        <f t="shared" si="9"/>
        <v>8348</v>
      </c>
    </row>
    <row r="42" spans="1:11" x14ac:dyDescent="0.25">
      <c r="A42" s="258"/>
      <c r="B42" s="253"/>
      <c r="C42" s="2" t="s">
        <v>40</v>
      </c>
      <c r="D42" s="3">
        <v>137800</v>
      </c>
      <c r="E42" s="3"/>
      <c r="F42" s="3"/>
      <c r="G42" s="3"/>
      <c r="H42" s="3"/>
      <c r="I42" s="20">
        <f t="shared" si="8"/>
        <v>137800</v>
      </c>
      <c r="J42" s="51">
        <v>0</v>
      </c>
      <c r="K42" s="3">
        <f t="shared" si="9"/>
        <v>137800</v>
      </c>
    </row>
    <row r="43" spans="1:11" x14ac:dyDescent="0.25">
      <c r="A43" s="258"/>
      <c r="B43" s="253"/>
      <c r="C43" s="2" t="s">
        <v>41</v>
      </c>
      <c r="D43" s="3">
        <v>582236</v>
      </c>
      <c r="E43" s="3">
        <v>1646</v>
      </c>
      <c r="F43" s="3"/>
      <c r="G43" s="3"/>
      <c r="H43" s="3"/>
      <c r="I43" s="20">
        <f t="shared" si="8"/>
        <v>583882</v>
      </c>
      <c r="J43" s="51">
        <v>231122</v>
      </c>
      <c r="K43" s="3">
        <f t="shared" si="9"/>
        <v>352760</v>
      </c>
    </row>
    <row r="44" spans="1:11" x14ac:dyDescent="0.25">
      <c r="A44" s="258"/>
      <c r="B44" s="253"/>
      <c r="C44" s="2" t="s">
        <v>42</v>
      </c>
      <c r="D44" s="3">
        <v>552000</v>
      </c>
      <c r="E44" s="3"/>
      <c r="F44" s="3"/>
      <c r="G44" s="3"/>
      <c r="H44" s="3"/>
      <c r="I44" s="20">
        <f t="shared" si="8"/>
        <v>552000</v>
      </c>
      <c r="J44" s="51">
        <v>127045</v>
      </c>
      <c r="K44" s="3">
        <f t="shared" si="9"/>
        <v>424955</v>
      </c>
    </row>
    <row r="45" spans="1:11" x14ac:dyDescent="0.25">
      <c r="A45" s="258"/>
      <c r="B45" s="253"/>
      <c r="C45" s="2" t="s">
        <v>43</v>
      </c>
      <c r="D45" s="3">
        <v>30000</v>
      </c>
      <c r="E45" s="3"/>
      <c r="F45" s="3"/>
      <c r="G45" s="3"/>
      <c r="H45" s="3"/>
      <c r="I45" s="20">
        <f t="shared" si="8"/>
        <v>30000</v>
      </c>
      <c r="J45" s="51">
        <v>0</v>
      </c>
      <c r="K45" s="3">
        <f t="shared" si="9"/>
        <v>30000</v>
      </c>
    </row>
    <row r="46" spans="1:11" x14ac:dyDescent="0.25">
      <c r="A46" s="258"/>
      <c r="B46" s="253"/>
      <c r="C46" s="2" t="s">
        <v>44</v>
      </c>
      <c r="D46" s="3">
        <v>455834</v>
      </c>
      <c r="E46" s="3"/>
      <c r="F46" s="3"/>
      <c r="G46" s="3"/>
      <c r="H46" s="3"/>
      <c r="I46" s="20">
        <f t="shared" si="8"/>
        <v>455834</v>
      </c>
      <c r="J46" s="51">
        <v>42033</v>
      </c>
      <c r="K46" s="3">
        <f t="shared" si="9"/>
        <v>413801</v>
      </c>
    </row>
    <row r="47" spans="1:11" x14ac:dyDescent="0.25">
      <c r="A47" s="258"/>
      <c r="B47" s="253"/>
      <c r="C47" s="2" t="s">
        <v>45</v>
      </c>
      <c r="D47" s="3">
        <v>80000</v>
      </c>
      <c r="E47" s="3">
        <v>-4236</v>
      </c>
      <c r="F47" s="3"/>
      <c r="G47" s="3"/>
      <c r="H47" s="3"/>
      <c r="I47" s="20">
        <f t="shared" si="8"/>
        <v>75764</v>
      </c>
      <c r="J47" s="51">
        <v>16264</v>
      </c>
      <c r="K47" s="3">
        <f t="shared" si="9"/>
        <v>59500</v>
      </c>
    </row>
    <row r="48" spans="1:11" x14ac:dyDescent="0.25">
      <c r="A48" s="258"/>
      <c r="B48" s="253"/>
      <c r="C48" s="6" t="s">
        <v>49</v>
      </c>
      <c r="D48" s="7">
        <f>SUM(D34:D47)</f>
        <v>3863610</v>
      </c>
      <c r="E48" s="7">
        <f t="shared" ref="E48:K48" si="10">SUM(E34:E47)</f>
        <v>-4236</v>
      </c>
      <c r="F48" s="7">
        <f t="shared" si="10"/>
        <v>0</v>
      </c>
      <c r="G48" s="7">
        <f t="shared" si="10"/>
        <v>0</v>
      </c>
      <c r="H48" s="7">
        <f t="shared" si="10"/>
        <v>0</v>
      </c>
      <c r="I48" s="7">
        <f t="shared" si="10"/>
        <v>3859374</v>
      </c>
      <c r="J48" s="52">
        <f t="shared" si="10"/>
        <v>703031</v>
      </c>
      <c r="K48" s="7">
        <f t="shared" si="10"/>
        <v>3156343</v>
      </c>
    </row>
    <row r="49" spans="1:11" x14ac:dyDescent="0.25">
      <c r="A49" s="258"/>
      <c r="B49" s="253"/>
      <c r="C49" s="2" t="s">
        <v>50</v>
      </c>
      <c r="D49" s="3">
        <v>78740</v>
      </c>
      <c r="E49" s="3"/>
      <c r="F49" s="3"/>
      <c r="G49" s="3"/>
      <c r="H49" s="3"/>
      <c r="I49" s="20">
        <f t="shared" ref="I49:I50" si="11">D49+E49+F49+G49+H49</f>
        <v>78740</v>
      </c>
      <c r="J49" s="51">
        <v>0</v>
      </c>
      <c r="K49" s="3">
        <f t="shared" ref="K49:K50" si="12">I49-J49</f>
        <v>78740</v>
      </c>
    </row>
    <row r="50" spans="1:11" x14ac:dyDescent="0.25">
      <c r="A50" s="258"/>
      <c r="B50" s="253"/>
      <c r="C50" s="2" t="s">
        <v>51</v>
      </c>
      <c r="D50" s="3">
        <v>21260</v>
      </c>
      <c r="E50" s="3"/>
      <c r="F50" s="3"/>
      <c r="G50" s="3"/>
      <c r="H50" s="3"/>
      <c r="I50" s="20">
        <f t="shared" si="11"/>
        <v>21260</v>
      </c>
      <c r="J50" s="51">
        <v>0</v>
      </c>
      <c r="K50" s="3">
        <f t="shared" si="12"/>
        <v>21260</v>
      </c>
    </row>
    <row r="51" spans="1:11" x14ac:dyDescent="0.25">
      <c r="A51" s="258"/>
      <c r="B51" s="254"/>
      <c r="C51" s="6" t="s">
        <v>52</v>
      </c>
      <c r="D51" s="7">
        <f>SUM(D49:D50)</f>
        <v>100000</v>
      </c>
      <c r="E51" s="7">
        <f t="shared" ref="E51:K51" si="13">SUM(E49:E50)</f>
        <v>0</v>
      </c>
      <c r="F51" s="7">
        <f t="shared" si="13"/>
        <v>0</v>
      </c>
      <c r="G51" s="7">
        <f t="shared" si="13"/>
        <v>0</v>
      </c>
      <c r="H51" s="7">
        <f t="shared" si="13"/>
        <v>0</v>
      </c>
      <c r="I51" s="7">
        <f t="shared" si="13"/>
        <v>100000</v>
      </c>
      <c r="J51" s="52">
        <f t="shared" si="13"/>
        <v>0</v>
      </c>
      <c r="K51" s="7">
        <f t="shared" si="13"/>
        <v>100000</v>
      </c>
    </row>
    <row r="52" spans="1:11" x14ac:dyDescent="0.25">
      <c r="A52" s="258"/>
      <c r="B52" s="268" t="s">
        <v>46</v>
      </c>
      <c r="C52" s="2" t="s">
        <v>24</v>
      </c>
      <c r="D52" s="3">
        <v>25123345</v>
      </c>
      <c r="E52" s="3"/>
      <c r="F52" s="3"/>
      <c r="G52" s="3"/>
      <c r="H52" s="3"/>
      <c r="I52" s="20">
        <f t="shared" ref="I52:I60" si="14">D52+E52+F52+G52+H52</f>
        <v>25123345</v>
      </c>
      <c r="J52" s="51">
        <v>5590364</v>
      </c>
      <c r="K52" s="3">
        <f t="shared" ref="K52:K60" si="15">I52-J52</f>
        <v>19532981</v>
      </c>
    </row>
    <row r="53" spans="1:11" x14ac:dyDescent="0.25">
      <c r="A53" s="258"/>
      <c r="B53" s="268"/>
      <c r="C53" s="2" t="s">
        <v>47</v>
      </c>
      <c r="D53" s="3">
        <v>2040480</v>
      </c>
      <c r="E53" s="3"/>
      <c r="F53" s="3"/>
      <c r="G53" s="3"/>
      <c r="H53" s="3"/>
      <c r="I53" s="20">
        <f t="shared" si="14"/>
        <v>2040480</v>
      </c>
      <c r="J53" s="51">
        <v>453207</v>
      </c>
      <c r="K53" s="3">
        <f t="shared" si="15"/>
        <v>1587273</v>
      </c>
    </row>
    <row r="54" spans="1:11" x14ac:dyDescent="0.25">
      <c r="A54" s="258"/>
      <c r="B54" s="268"/>
      <c r="C54" s="2" t="s">
        <v>48</v>
      </c>
      <c r="D54" s="3">
        <v>0</v>
      </c>
      <c r="E54" s="3"/>
      <c r="F54" s="3"/>
      <c r="G54" s="3"/>
      <c r="H54" s="3"/>
      <c r="I54" s="20">
        <f t="shared" si="14"/>
        <v>0</v>
      </c>
      <c r="J54" s="51">
        <v>0</v>
      </c>
      <c r="K54" s="3">
        <f t="shared" si="15"/>
        <v>0</v>
      </c>
    </row>
    <row r="55" spans="1:11" x14ac:dyDescent="0.25">
      <c r="A55" s="258"/>
      <c r="B55" s="268"/>
      <c r="C55" s="2" t="s">
        <v>25</v>
      </c>
      <c r="D55" s="3">
        <v>1025000</v>
      </c>
      <c r="E55" s="3"/>
      <c r="F55" s="3"/>
      <c r="G55" s="3"/>
      <c r="H55" s="3"/>
      <c r="I55" s="20">
        <f t="shared" si="14"/>
        <v>1025000</v>
      </c>
      <c r="J55" s="51">
        <v>0</v>
      </c>
      <c r="K55" s="3">
        <f t="shared" si="15"/>
        <v>1025000</v>
      </c>
    </row>
    <row r="56" spans="1:11" x14ac:dyDescent="0.25">
      <c r="A56" s="258"/>
      <c r="B56" s="268"/>
      <c r="C56" s="2" t="s">
        <v>26</v>
      </c>
      <c r="D56" s="3">
        <v>60000</v>
      </c>
      <c r="E56" s="3"/>
      <c r="F56" s="3"/>
      <c r="G56" s="3"/>
      <c r="H56" s="3"/>
      <c r="I56" s="20">
        <f t="shared" si="14"/>
        <v>60000</v>
      </c>
      <c r="J56" s="51">
        <v>0</v>
      </c>
      <c r="K56" s="3">
        <f t="shared" si="15"/>
        <v>60000</v>
      </c>
    </row>
    <row r="57" spans="1:11" x14ac:dyDescent="0.25">
      <c r="A57" s="258"/>
      <c r="B57" s="268"/>
      <c r="C57" s="2" t="s">
        <v>27</v>
      </c>
      <c r="D57" s="3">
        <v>240000</v>
      </c>
      <c r="E57" s="3"/>
      <c r="F57" s="3"/>
      <c r="G57" s="3"/>
      <c r="H57" s="3"/>
      <c r="I57" s="20">
        <f t="shared" si="14"/>
        <v>240000</v>
      </c>
      <c r="J57" s="51">
        <v>19710</v>
      </c>
      <c r="K57" s="3">
        <f t="shared" si="15"/>
        <v>220290</v>
      </c>
    </row>
    <row r="58" spans="1:11" x14ac:dyDescent="0.25">
      <c r="A58" s="258"/>
      <c r="B58" s="268"/>
      <c r="C58" s="2" t="s">
        <v>28</v>
      </c>
      <c r="D58" s="3">
        <v>147000</v>
      </c>
      <c r="E58" s="3"/>
      <c r="F58" s="3"/>
      <c r="G58" s="3"/>
      <c r="H58" s="3"/>
      <c r="I58" s="20">
        <f t="shared" si="14"/>
        <v>147000</v>
      </c>
      <c r="J58" s="51">
        <v>0</v>
      </c>
      <c r="K58" s="3">
        <f t="shared" si="15"/>
        <v>147000</v>
      </c>
    </row>
    <row r="59" spans="1:11" x14ac:dyDescent="0.25">
      <c r="A59" s="258"/>
      <c r="B59" s="268"/>
      <c r="C59" s="2" t="s">
        <v>29</v>
      </c>
      <c r="D59" s="3">
        <v>553500</v>
      </c>
      <c r="E59" s="3"/>
      <c r="F59" s="3"/>
      <c r="G59" s="3"/>
      <c r="H59" s="3"/>
      <c r="I59" s="20">
        <f t="shared" si="14"/>
        <v>553500</v>
      </c>
      <c r="J59" s="51">
        <v>98357</v>
      </c>
      <c r="K59" s="3">
        <f t="shared" si="15"/>
        <v>455143</v>
      </c>
    </row>
    <row r="60" spans="1:11" x14ac:dyDescent="0.25">
      <c r="A60" s="258"/>
      <c r="B60" s="268"/>
      <c r="C60" s="2" t="s">
        <v>30</v>
      </c>
      <c r="D60" s="3">
        <v>100000</v>
      </c>
      <c r="E60" s="3"/>
      <c r="F60" s="3"/>
      <c r="G60" s="3"/>
      <c r="H60" s="3"/>
      <c r="I60" s="20">
        <f t="shared" si="14"/>
        <v>100000</v>
      </c>
      <c r="J60" s="51">
        <v>0</v>
      </c>
      <c r="K60" s="3">
        <f t="shared" si="15"/>
        <v>100000</v>
      </c>
    </row>
    <row r="61" spans="1:11" x14ac:dyDescent="0.25">
      <c r="A61" s="258"/>
      <c r="B61" s="268"/>
      <c r="C61" s="6" t="s">
        <v>53</v>
      </c>
      <c r="D61" s="7">
        <f>SUM(D52:D60)</f>
        <v>29289325</v>
      </c>
      <c r="E61" s="7">
        <f t="shared" ref="E61:K61" si="16">SUM(E52:E60)</f>
        <v>0</v>
      </c>
      <c r="F61" s="7">
        <f t="shared" si="16"/>
        <v>0</v>
      </c>
      <c r="G61" s="7">
        <f t="shared" si="16"/>
        <v>0</v>
      </c>
      <c r="H61" s="7">
        <f t="shared" si="16"/>
        <v>0</v>
      </c>
      <c r="I61" s="7">
        <f t="shared" si="16"/>
        <v>29289325</v>
      </c>
      <c r="J61" s="52">
        <f t="shared" si="16"/>
        <v>6161638</v>
      </c>
      <c r="K61" s="7">
        <f t="shared" si="16"/>
        <v>23127687</v>
      </c>
    </row>
    <row r="62" spans="1:11" x14ac:dyDescent="0.25">
      <c r="A62" s="258"/>
      <c r="B62" s="268"/>
      <c r="C62" s="6" t="s">
        <v>31</v>
      </c>
      <c r="D62" s="7">
        <v>5849797</v>
      </c>
      <c r="E62" s="7"/>
      <c r="F62" s="7"/>
      <c r="G62" s="7"/>
      <c r="H62" s="7"/>
      <c r="I62" s="21">
        <f t="shared" ref="I62" si="17">D62+E62+F62+G62+H62</f>
        <v>5849797</v>
      </c>
      <c r="J62" s="53">
        <v>1229588</v>
      </c>
      <c r="K62" s="8">
        <f t="shared" ref="K62" si="18">I62-J62</f>
        <v>4620209</v>
      </c>
    </row>
    <row r="63" spans="1:11" x14ac:dyDescent="0.25">
      <c r="A63" s="258"/>
      <c r="B63" s="268"/>
      <c r="C63" s="2" t="s">
        <v>32</v>
      </c>
      <c r="D63" s="3">
        <v>105000</v>
      </c>
      <c r="E63" s="3"/>
      <c r="F63" s="3"/>
      <c r="G63" s="3"/>
      <c r="H63" s="3"/>
      <c r="I63" s="20">
        <f t="shared" ref="I63:I75" si="19">D63+E63+F63+G63+H63</f>
        <v>105000</v>
      </c>
      <c r="J63" s="51">
        <v>0</v>
      </c>
      <c r="K63" s="3">
        <f t="shared" ref="K63:K75" si="20">I63-J63</f>
        <v>105000</v>
      </c>
    </row>
    <row r="64" spans="1:11" x14ac:dyDescent="0.25">
      <c r="A64" s="258"/>
      <c r="B64" s="268"/>
      <c r="C64" s="2" t="s">
        <v>33</v>
      </c>
      <c r="D64" s="3">
        <v>700000</v>
      </c>
      <c r="E64" s="3"/>
      <c r="F64" s="3"/>
      <c r="G64" s="3"/>
      <c r="H64" s="3"/>
      <c r="I64" s="20">
        <f t="shared" si="19"/>
        <v>700000</v>
      </c>
      <c r="J64" s="51">
        <v>13072</v>
      </c>
      <c r="K64" s="3">
        <f t="shared" si="20"/>
        <v>686928</v>
      </c>
    </row>
    <row r="65" spans="1:11" x14ac:dyDescent="0.25">
      <c r="A65" s="258"/>
      <c r="B65" s="268"/>
      <c r="C65" s="2" t="s">
        <v>34</v>
      </c>
      <c r="D65" s="3">
        <v>213000</v>
      </c>
      <c r="E65" s="3"/>
      <c r="F65" s="3"/>
      <c r="G65" s="3"/>
      <c r="H65" s="3"/>
      <c r="I65" s="20">
        <f t="shared" si="19"/>
        <v>213000</v>
      </c>
      <c r="J65" s="51">
        <v>20819</v>
      </c>
      <c r="K65" s="3">
        <f t="shared" si="20"/>
        <v>192181</v>
      </c>
    </row>
    <row r="66" spans="1:11" x14ac:dyDescent="0.25">
      <c r="A66" s="258"/>
      <c r="B66" s="268"/>
      <c r="C66" s="2" t="s">
        <v>35</v>
      </c>
      <c r="D66" s="3">
        <v>288000</v>
      </c>
      <c r="E66" s="3">
        <v>-172800</v>
      </c>
      <c r="F66" s="3"/>
      <c r="G66" s="3"/>
      <c r="H66" s="3"/>
      <c r="I66" s="20">
        <f t="shared" si="19"/>
        <v>115200</v>
      </c>
      <c r="J66" s="51">
        <v>26624</v>
      </c>
      <c r="K66" s="3">
        <f t="shared" si="20"/>
        <v>88576</v>
      </c>
    </row>
    <row r="67" spans="1:11" x14ac:dyDescent="0.25">
      <c r="A67" s="258"/>
      <c r="B67" s="268"/>
      <c r="C67" s="2" t="s">
        <v>36</v>
      </c>
      <c r="D67" s="3">
        <v>669540</v>
      </c>
      <c r="E67" s="3"/>
      <c r="F67" s="3"/>
      <c r="G67" s="3"/>
      <c r="H67" s="3"/>
      <c r="I67" s="20">
        <f t="shared" si="19"/>
        <v>669540</v>
      </c>
      <c r="J67" s="51">
        <v>243485</v>
      </c>
      <c r="K67" s="3">
        <f t="shared" si="20"/>
        <v>426055</v>
      </c>
    </row>
    <row r="68" spans="1:11" x14ac:dyDescent="0.25">
      <c r="A68" s="258"/>
      <c r="B68" s="268"/>
      <c r="C68" s="2" t="s">
        <v>37</v>
      </c>
      <c r="D68" s="3">
        <v>123000</v>
      </c>
      <c r="E68" s="3"/>
      <c r="F68" s="3"/>
      <c r="G68" s="3"/>
      <c r="H68" s="3"/>
      <c r="I68" s="20">
        <f t="shared" si="19"/>
        <v>123000</v>
      </c>
      <c r="J68" s="51">
        <v>0</v>
      </c>
      <c r="K68" s="3">
        <f t="shared" si="20"/>
        <v>123000</v>
      </c>
    </row>
    <row r="69" spans="1:11" x14ac:dyDescent="0.25">
      <c r="A69" s="258"/>
      <c r="B69" s="268"/>
      <c r="C69" s="2" t="s">
        <v>38</v>
      </c>
      <c r="D69" s="3">
        <v>460000</v>
      </c>
      <c r="E69" s="3"/>
      <c r="F69" s="3"/>
      <c r="G69" s="3"/>
      <c r="H69" s="3"/>
      <c r="I69" s="20">
        <f t="shared" si="19"/>
        <v>460000</v>
      </c>
      <c r="J69" s="51">
        <v>45459</v>
      </c>
      <c r="K69" s="3">
        <f t="shared" si="20"/>
        <v>414541</v>
      </c>
    </row>
    <row r="70" spans="1:11" x14ac:dyDescent="0.25">
      <c r="A70" s="258"/>
      <c r="B70" s="268"/>
      <c r="C70" s="2" t="s">
        <v>40</v>
      </c>
      <c r="D70" s="3">
        <v>1361904</v>
      </c>
      <c r="E70" s="3"/>
      <c r="F70" s="3"/>
      <c r="G70" s="3"/>
      <c r="H70" s="3"/>
      <c r="I70" s="20">
        <f t="shared" si="19"/>
        <v>1361904</v>
      </c>
      <c r="J70" s="51">
        <v>125984</v>
      </c>
      <c r="K70" s="3">
        <f t="shared" si="20"/>
        <v>1235920</v>
      </c>
    </row>
    <row r="71" spans="1:11" x14ac:dyDescent="0.25">
      <c r="A71" s="258"/>
      <c r="B71" s="268"/>
      <c r="C71" s="2" t="s">
        <v>41</v>
      </c>
      <c r="D71" s="3">
        <v>982236</v>
      </c>
      <c r="E71" s="3"/>
      <c r="F71" s="3"/>
      <c r="G71" s="3"/>
      <c r="H71" s="3"/>
      <c r="I71" s="20">
        <f t="shared" si="19"/>
        <v>982236</v>
      </c>
      <c r="J71" s="51">
        <v>205218</v>
      </c>
      <c r="K71" s="3">
        <f t="shared" si="20"/>
        <v>777018</v>
      </c>
    </row>
    <row r="72" spans="1:11" x14ac:dyDescent="0.25">
      <c r="A72" s="258"/>
      <c r="B72" s="268"/>
      <c r="C72" s="2" t="s">
        <v>42</v>
      </c>
      <c r="D72" s="3">
        <v>1200000</v>
      </c>
      <c r="E72" s="3">
        <f>-9980-34080</f>
        <v>-44060</v>
      </c>
      <c r="F72" s="3"/>
      <c r="G72" s="3"/>
      <c r="H72" s="3"/>
      <c r="I72" s="20">
        <f t="shared" si="19"/>
        <v>1155940</v>
      </c>
      <c r="J72" s="51">
        <v>107460</v>
      </c>
      <c r="K72" s="3">
        <f t="shared" si="20"/>
        <v>1048480</v>
      </c>
    </row>
    <row r="73" spans="1:11" x14ac:dyDescent="0.25">
      <c r="A73" s="258"/>
      <c r="B73" s="268"/>
      <c r="C73" s="2" t="s">
        <v>43</v>
      </c>
      <c r="D73" s="3">
        <v>30000</v>
      </c>
      <c r="E73" s="3"/>
      <c r="F73" s="3"/>
      <c r="G73" s="3"/>
      <c r="H73" s="3"/>
      <c r="I73" s="20">
        <f t="shared" si="19"/>
        <v>30000</v>
      </c>
      <c r="J73" s="51">
        <v>0</v>
      </c>
      <c r="K73" s="3">
        <f t="shared" si="20"/>
        <v>30000</v>
      </c>
    </row>
    <row r="74" spans="1:11" x14ac:dyDescent="0.25">
      <c r="A74" s="258"/>
      <c r="B74" s="268"/>
      <c r="C74" s="2" t="s">
        <v>44</v>
      </c>
      <c r="D74" s="3">
        <v>1041508</v>
      </c>
      <c r="E74" s="3">
        <v>-60140</v>
      </c>
      <c r="F74" s="3"/>
      <c r="G74" s="3"/>
      <c r="H74" s="3"/>
      <c r="I74" s="20">
        <f t="shared" si="19"/>
        <v>981368</v>
      </c>
      <c r="J74" s="51">
        <v>76356</v>
      </c>
      <c r="K74" s="3">
        <f t="shared" si="20"/>
        <v>905012</v>
      </c>
    </row>
    <row r="75" spans="1:11" x14ac:dyDescent="0.25">
      <c r="A75" s="258"/>
      <c r="B75" s="268"/>
      <c r="C75" s="2" t="s">
        <v>45</v>
      </c>
      <c r="D75" s="3">
        <v>433021</v>
      </c>
      <c r="E75" s="3">
        <f>-166879-88139</f>
        <v>-255018</v>
      </c>
      <c r="F75" s="3"/>
      <c r="G75" s="3"/>
      <c r="H75" s="3"/>
      <c r="I75" s="20">
        <f t="shared" si="19"/>
        <v>178003</v>
      </c>
      <c r="J75" s="51">
        <v>0</v>
      </c>
      <c r="K75" s="3">
        <f t="shared" si="20"/>
        <v>178003</v>
      </c>
    </row>
    <row r="76" spans="1:11" x14ac:dyDescent="0.25">
      <c r="A76" s="258"/>
      <c r="B76" s="268"/>
      <c r="C76" s="6" t="s">
        <v>49</v>
      </c>
      <c r="D76" s="7">
        <f>SUM(D63:D75)</f>
        <v>7607209</v>
      </c>
      <c r="E76" s="7">
        <f t="shared" ref="E76:K76" si="21">SUM(E63:E75)</f>
        <v>-532018</v>
      </c>
      <c r="F76" s="7">
        <f t="shared" si="21"/>
        <v>0</v>
      </c>
      <c r="G76" s="7">
        <f t="shared" si="21"/>
        <v>0</v>
      </c>
      <c r="H76" s="7">
        <f t="shared" si="21"/>
        <v>0</v>
      </c>
      <c r="I76" s="7">
        <f t="shared" si="21"/>
        <v>7075191</v>
      </c>
      <c r="J76" s="52">
        <f t="shared" si="21"/>
        <v>864477</v>
      </c>
      <c r="K76" s="7">
        <f t="shared" si="21"/>
        <v>6210714</v>
      </c>
    </row>
    <row r="77" spans="1:11" x14ac:dyDescent="0.25">
      <c r="A77" s="258"/>
      <c r="B77" s="268"/>
      <c r="C77" s="2" t="s">
        <v>50</v>
      </c>
      <c r="D77" s="3">
        <v>78740</v>
      </c>
      <c r="E77" s="3"/>
      <c r="F77" s="3"/>
      <c r="G77" s="3"/>
      <c r="H77" s="3"/>
      <c r="I77" s="20">
        <f t="shared" ref="I77:I78" si="22">D77+E77+F77+G77+H77</f>
        <v>78740</v>
      </c>
      <c r="J77" s="51">
        <v>0</v>
      </c>
      <c r="K77" s="3">
        <f t="shared" ref="K77:K78" si="23">I77-J77</f>
        <v>78740</v>
      </c>
    </row>
    <row r="78" spans="1:11" x14ac:dyDescent="0.25">
      <c r="A78" s="258"/>
      <c r="B78" s="268"/>
      <c r="C78" s="2" t="s">
        <v>51</v>
      </c>
      <c r="D78" s="3">
        <v>21260</v>
      </c>
      <c r="E78" s="3"/>
      <c r="F78" s="3"/>
      <c r="G78" s="3"/>
      <c r="H78" s="3"/>
      <c r="I78" s="20">
        <f t="shared" si="22"/>
        <v>21260</v>
      </c>
      <c r="J78" s="51">
        <v>0</v>
      </c>
      <c r="K78" s="3">
        <f t="shared" si="23"/>
        <v>21260</v>
      </c>
    </row>
    <row r="79" spans="1:11" x14ac:dyDescent="0.25">
      <c r="A79" s="258"/>
      <c r="B79" s="268"/>
      <c r="C79" s="6" t="s">
        <v>52</v>
      </c>
      <c r="D79" s="7">
        <f>SUM(D77:D78)</f>
        <v>100000</v>
      </c>
      <c r="E79" s="7">
        <f t="shared" ref="E79:K79" si="24">SUM(E77:E78)</f>
        <v>0</v>
      </c>
      <c r="F79" s="7">
        <f t="shared" si="24"/>
        <v>0</v>
      </c>
      <c r="G79" s="7">
        <f t="shared" si="24"/>
        <v>0</v>
      </c>
      <c r="H79" s="7">
        <f t="shared" si="24"/>
        <v>0</v>
      </c>
      <c r="I79" s="7">
        <f t="shared" si="24"/>
        <v>100000</v>
      </c>
      <c r="J79" s="52">
        <f t="shared" si="24"/>
        <v>0</v>
      </c>
      <c r="K79" s="7">
        <f t="shared" si="24"/>
        <v>100000</v>
      </c>
    </row>
    <row r="80" spans="1:11" s="14" customFormat="1" x14ac:dyDescent="0.25">
      <c r="A80" s="259" t="s">
        <v>58</v>
      </c>
      <c r="B80" s="261" t="s">
        <v>46</v>
      </c>
      <c r="C80" s="15" t="s">
        <v>29</v>
      </c>
      <c r="D80" s="24">
        <v>410400</v>
      </c>
      <c r="E80" s="11"/>
      <c r="F80" s="11"/>
      <c r="G80" s="11"/>
      <c r="H80" s="11"/>
      <c r="I80" s="20">
        <f t="shared" ref="I80:I87" si="25">D80+E80+F80+G80+H80</f>
        <v>410400</v>
      </c>
      <c r="J80" s="51">
        <v>104600</v>
      </c>
      <c r="K80" s="3">
        <f t="shared" ref="K80:K87" si="26">I80-J80</f>
        <v>305800</v>
      </c>
    </row>
    <row r="81" spans="1:11" s="14" customFormat="1" x14ac:dyDescent="0.25">
      <c r="A81" s="260"/>
      <c r="B81" s="262"/>
      <c r="C81" s="15" t="s">
        <v>31</v>
      </c>
      <c r="D81" s="24">
        <v>76266</v>
      </c>
      <c r="E81" s="11"/>
      <c r="F81" s="11"/>
      <c r="G81" s="11"/>
      <c r="H81" s="11"/>
      <c r="I81" s="20">
        <f t="shared" si="25"/>
        <v>76266</v>
      </c>
      <c r="J81" s="51">
        <v>20397</v>
      </c>
      <c r="K81" s="3">
        <f t="shared" si="26"/>
        <v>55869</v>
      </c>
    </row>
    <row r="82" spans="1:11" s="14" customFormat="1" x14ac:dyDescent="0.25">
      <c r="A82" s="259" t="s">
        <v>59</v>
      </c>
      <c r="B82" s="261" t="s">
        <v>23</v>
      </c>
      <c r="C82" s="15" t="s">
        <v>29</v>
      </c>
      <c r="D82" s="24">
        <v>603600</v>
      </c>
      <c r="E82" s="11"/>
      <c r="F82" s="11"/>
      <c r="G82" s="11"/>
      <c r="H82" s="11"/>
      <c r="I82" s="20">
        <f t="shared" si="25"/>
        <v>603600</v>
      </c>
      <c r="J82" s="51">
        <v>103300</v>
      </c>
      <c r="K82" s="3">
        <f t="shared" si="26"/>
        <v>500300</v>
      </c>
    </row>
    <row r="83" spans="1:11" s="14" customFormat="1" x14ac:dyDescent="0.25">
      <c r="A83" s="260"/>
      <c r="B83" s="262"/>
      <c r="C83" s="15" t="s">
        <v>31</v>
      </c>
      <c r="D83" s="24">
        <v>112169</v>
      </c>
      <c r="E83" s="11"/>
      <c r="F83" s="11"/>
      <c r="G83" s="11"/>
      <c r="H83" s="11"/>
      <c r="I83" s="20">
        <f t="shared" si="25"/>
        <v>112169</v>
      </c>
      <c r="J83" s="51">
        <v>20143</v>
      </c>
      <c r="K83" s="3">
        <f t="shared" si="26"/>
        <v>92026</v>
      </c>
    </row>
    <row r="84" spans="1:11" s="14" customFormat="1" x14ac:dyDescent="0.25">
      <c r="A84" s="259" t="s">
        <v>60</v>
      </c>
      <c r="B84" s="261" t="s">
        <v>23</v>
      </c>
      <c r="C84" s="15" t="s">
        <v>24</v>
      </c>
      <c r="D84" s="24">
        <v>10676226</v>
      </c>
      <c r="E84" s="11"/>
      <c r="F84" s="11"/>
      <c r="G84" s="11"/>
      <c r="H84" s="11"/>
      <c r="I84" s="20">
        <f t="shared" si="25"/>
        <v>10676226</v>
      </c>
      <c r="J84" s="51">
        <v>2487627</v>
      </c>
      <c r="K84" s="3">
        <f t="shared" si="26"/>
        <v>8188599</v>
      </c>
    </row>
    <row r="85" spans="1:11" s="14" customFormat="1" x14ac:dyDescent="0.25">
      <c r="A85" s="260"/>
      <c r="B85" s="262"/>
      <c r="C85" s="15" t="s">
        <v>31</v>
      </c>
      <c r="D85" s="24">
        <v>1989265</v>
      </c>
      <c r="E85" s="11"/>
      <c r="F85" s="11"/>
      <c r="G85" s="11"/>
      <c r="H85" s="11"/>
      <c r="I85" s="20">
        <f t="shared" si="25"/>
        <v>1989265</v>
      </c>
      <c r="J85" s="51">
        <v>485087</v>
      </c>
      <c r="K85" s="3">
        <f t="shared" si="26"/>
        <v>1504178</v>
      </c>
    </row>
    <row r="86" spans="1:11" s="14" customFormat="1" x14ac:dyDescent="0.25">
      <c r="A86" s="259" t="s">
        <v>61</v>
      </c>
      <c r="B86" s="261" t="s">
        <v>46</v>
      </c>
      <c r="C86" s="15" t="s">
        <v>24</v>
      </c>
      <c r="D86" s="24">
        <v>8397674</v>
      </c>
      <c r="E86" s="11"/>
      <c r="F86" s="11"/>
      <c r="G86" s="11"/>
      <c r="H86" s="11"/>
      <c r="I86" s="20">
        <f t="shared" si="25"/>
        <v>8397674</v>
      </c>
      <c r="J86" s="51">
        <v>1861295</v>
      </c>
      <c r="K86" s="3">
        <f t="shared" si="26"/>
        <v>6536379</v>
      </c>
    </row>
    <row r="87" spans="1:11" s="14" customFormat="1" x14ac:dyDescent="0.25">
      <c r="A87" s="260"/>
      <c r="B87" s="262"/>
      <c r="C87" s="15" t="s">
        <v>31</v>
      </c>
      <c r="D87" s="24">
        <v>1563353</v>
      </c>
      <c r="E87" s="11"/>
      <c r="F87" s="11"/>
      <c r="G87" s="11"/>
      <c r="H87" s="11"/>
      <c r="I87" s="20">
        <f t="shared" si="25"/>
        <v>1563353</v>
      </c>
      <c r="J87" s="51">
        <v>362952</v>
      </c>
      <c r="K87" s="3">
        <f t="shared" si="26"/>
        <v>1200401</v>
      </c>
    </row>
    <row r="88" spans="1:11" s="30" customFormat="1" ht="27" customHeight="1" x14ac:dyDescent="0.25">
      <c r="A88" s="264" t="s">
        <v>76</v>
      </c>
      <c r="B88" s="265"/>
      <c r="C88" s="266"/>
      <c r="D88" s="22">
        <f t="shared" ref="D88:K88" si="27">SUM(D32+D33+D48+D51+D61+D62+D76+D79+D80+D81+D82+D83+D84+D85+D86+D87)</f>
        <v>118207303</v>
      </c>
      <c r="E88" s="22">
        <f t="shared" si="27"/>
        <v>-536254</v>
      </c>
      <c r="F88" s="22">
        <f t="shared" si="27"/>
        <v>0</v>
      </c>
      <c r="G88" s="22">
        <f t="shared" si="27"/>
        <v>0</v>
      </c>
      <c r="H88" s="22">
        <f t="shared" si="27"/>
        <v>0</v>
      </c>
      <c r="I88" s="22">
        <f t="shared" si="27"/>
        <v>117671049</v>
      </c>
      <c r="J88" s="54">
        <f t="shared" si="27"/>
        <v>23590973</v>
      </c>
      <c r="K88" s="22">
        <f t="shared" si="27"/>
        <v>94080076</v>
      </c>
    </row>
    <row r="89" spans="1:11" x14ac:dyDescent="0.25">
      <c r="A89" s="258" t="s">
        <v>12</v>
      </c>
      <c r="B89" s="268" t="s">
        <v>23</v>
      </c>
      <c r="C89" s="2" t="s">
        <v>24</v>
      </c>
      <c r="D89" s="3">
        <v>4811583</v>
      </c>
      <c r="E89" s="3"/>
      <c r="F89" s="3"/>
      <c r="G89" s="3"/>
      <c r="H89" s="3"/>
      <c r="I89" s="20">
        <f t="shared" ref="I89:I95" si="28">D89+E89+F89+G89+H89</f>
        <v>4811583</v>
      </c>
      <c r="J89" s="51">
        <v>1140999</v>
      </c>
      <c r="K89" s="3">
        <f t="shared" ref="K89:K95" si="29">I89-J89</f>
        <v>3670584</v>
      </c>
    </row>
    <row r="90" spans="1:11" x14ac:dyDescent="0.25">
      <c r="A90" s="258"/>
      <c r="B90" s="268"/>
      <c r="C90" s="2" t="s">
        <v>25</v>
      </c>
      <c r="D90" s="3">
        <v>200000</v>
      </c>
      <c r="E90" s="3"/>
      <c r="F90" s="3"/>
      <c r="G90" s="3"/>
      <c r="H90" s="3"/>
      <c r="I90" s="20">
        <f t="shared" si="28"/>
        <v>200000</v>
      </c>
      <c r="J90" s="51">
        <v>0</v>
      </c>
      <c r="K90" s="3">
        <f t="shared" si="29"/>
        <v>200000</v>
      </c>
    </row>
    <row r="91" spans="1:11" x14ac:dyDescent="0.25">
      <c r="A91" s="258"/>
      <c r="B91" s="268"/>
      <c r="C91" s="2" t="s">
        <v>26</v>
      </c>
      <c r="D91" s="3">
        <v>10000</v>
      </c>
      <c r="E91" s="3"/>
      <c r="F91" s="3"/>
      <c r="G91" s="3"/>
      <c r="H91" s="3"/>
      <c r="I91" s="20">
        <f t="shared" si="28"/>
        <v>10000</v>
      </c>
      <c r="J91" s="51">
        <v>0</v>
      </c>
      <c r="K91" s="3">
        <f t="shared" si="29"/>
        <v>10000</v>
      </c>
    </row>
    <row r="92" spans="1:11" x14ac:dyDescent="0.25">
      <c r="A92" s="258"/>
      <c r="B92" s="268"/>
      <c r="C92" s="2" t="s">
        <v>27</v>
      </c>
      <c r="D92" s="3">
        <v>198000</v>
      </c>
      <c r="E92" s="3"/>
      <c r="F92" s="3"/>
      <c r="G92" s="3"/>
      <c r="H92" s="3"/>
      <c r="I92" s="20">
        <f t="shared" si="28"/>
        <v>198000</v>
      </c>
      <c r="J92" s="51">
        <v>17010</v>
      </c>
      <c r="K92" s="3">
        <f t="shared" si="29"/>
        <v>180990</v>
      </c>
    </row>
    <row r="93" spans="1:11" x14ac:dyDescent="0.25">
      <c r="A93" s="258"/>
      <c r="B93" s="268"/>
      <c r="C93" s="2" t="s">
        <v>28</v>
      </c>
      <c r="D93" s="3">
        <v>24000</v>
      </c>
      <c r="E93" s="3"/>
      <c r="F93" s="3"/>
      <c r="G93" s="3"/>
      <c r="H93" s="3"/>
      <c r="I93" s="20">
        <f t="shared" si="28"/>
        <v>24000</v>
      </c>
      <c r="J93" s="51">
        <v>0</v>
      </c>
      <c r="K93" s="3">
        <f t="shared" si="29"/>
        <v>24000</v>
      </c>
    </row>
    <row r="94" spans="1:11" x14ac:dyDescent="0.25">
      <c r="A94" s="258"/>
      <c r="B94" s="268"/>
      <c r="C94" s="2" t="s">
        <v>29</v>
      </c>
      <c r="D94" s="3">
        <v>75000</v>
      </c>
      <c r="E94" s="3"/>
      <c r="F94" s="3"/>
      <c r="G94" s="3"/>
      <c r="H94" s="3"/>
      <c r="I94" s="20">
        <f t="shared" si="28"/>
        <v>75000</v>
      </c>
      <c r="J94" s="51">
        <v>0</v>
      </c>
      <c r="K94" s="3">
        <f t="shared" si="29"/>
        <v>75000</v>
      </c>
    </row>
    <row r="95" spans="1:11" x14ac:dyDescent="0.25">
      <c r="A95" s="258"/>
      <c r="B95" s="268"/>
      <c r="C95" s="2" t="s">
        <v>30</v>
      </c>
      <c r="D95" s="3">
        <v>0</v>
      </c>
      <c r="E95" s="3"/>
      <c r="F95" s="3"/>
      <c r="G95" s="3"/>
      <c r="H95" s="3"/>
      <c r="I95" s="20">
        <f t="shared" si="28"/>
        <v>0</v>
      </c>
      <c r="J95" s="51">
        <v>0</v>
      </c>
      <c r="K95" s="3">
        <f t="shared" si="29"/>
        <v>0</v>
      </c>
    </row>
    <row r="96" spans="1:11" x14ac:dyDescent="0.25">
      <c r="A96" s="258"/>
      <c r="B96" s="268"/>
      <c r="C96" s="6" t="s">
        <v>53</v>
      </c>
      <c r="D96" s="7">
        <f>SUM(D89:D95)</f>
        <v>5318583</v>
      </c>
      <c r="E96" s="7">
        <f t="shared" ref="E96:K96" si="30">SUM(E89:E95)</f>
        <v>0</v>
      </c>
      <c r="F96" s="7">
        <f t="shared" si="30"/>
        <v>0</v>
      </c>
      <c r="G96" s="7">
        <f t="shared" si="30"/>
        <v>0</v>
      </c>
      <c r="H96" s="7">
        <f t="shared" si="30"/>
        <v>0</v>
      </c>
      <c r="I96" s="7">
        <f t="shared" si="30"/>
        <v>5318583</v>
      </c>
      <c r="J96" s="52">
        <f t="shared" si="30"/>
        <v>1158009</v>
      </c>
      <c r="K96" s="7">
        <f t="shared" si="30"/>
        <v>4160574</v>
      </c>
    </row>
    <row r="97" spans="1:11" x14ac:dyDescent="0.25">
      <c r="A97" s="258"/>
      <c r="B97" s="268"/>
      <c r="C97" s="6" t="s">
        <v>31</v>
      </c>
      <c r="D97" s="7">
        <v>1035556</v>
      </c>
      <c r="E97" s="7"/>
      <c r="F97" s="7"/>
      <c r="G97" s="7"/>
      <c r="H97" s="7"/>
      <c r="I97" s="21">
        <f t="shared" ref="I97" si="31">D97+E97+F97+G97+H97</f>
        <v>1035556</v>
      </c>
      <c r="J97" s="53">
        <v>230142</v>
      </c>
      <c r="K97" s="8">
        <f t="shared" ref="K97" si="32">I97-J97</f>
        <v>805414</v>
      </c>
    </row>
    <row r="98" spans="1:11" x14ac:dyDescent="0.25">
      <c r="A98" s="258"/>
      <c r="B98" s="268"/>
      <c r="C98" s="2" t="s">
        <v>32</v>
      </c>
      <c r="D98" s="3">
        <v>100000</v>
      </c>
      <c r="E98" s="3"/>
      <c r="F98" s="3"/>
      <c r="G98" s="3"/>
      <c r="H98" s="3"/>
      <c r="I98" s="20">
        <f t="shared" ref="I98:I107" si="33">D98+E98+F98+G98+H98</f>
        <v>100000</v>
      </c>
      <c r="J98" s="51">
        <v>0</v>
      </c>
      <c r="K98" s="3">
        <f t="shared" ref="K98:K107" si="34">I98-J98</f>
        <v>100000</v>
      </c>
    </row>
    <row r="99" spans="1:11" x14ac:dyDescent="0.25">
      <c r="A99" s="258"/>
      <c r="B99" s="268"/>
      <c r="C99" s="2" t="s">
        <v>33</v>
      </c>
      <c r="D99" s="3">
        <v>100000</v>
      </c>
      <c r="E99" s="3"/>
      <c r="F99" s="3"/>
      <c r="G99" s="3"/>
      <c r="H99" s="3"/>
      <c r="I99" s="20">
        <f t="shared" si="33"/>
        <v>100000</v>
      </c>
      <c r="J99" s="51">
        <v>0</v>
      </c>
      <c r="K99" s="3">
        <f t="shared" si="34"/>
        <v>100000</v>
      </c>
    </row>
    <row r="100" spans="1:11" x14ac:dyDescent="0.25">
      <c r="A100" s="258"/>
      <c r="B100" s="268"/>
      <c r="C100" s="2" t="s">
        <v>34</v>
      </c>
      <c r="D100" s="3">
        <v>210000</v>
      </c>
      <c r="E100" s="3"/>
      <c r="F100" s="3"/>
      <c r="G100" s="3"/>
      <c r="H100" s="3"/>
      <c r="I100" s="20">
        <f t="shared" si="33"/>
        <v>210000</v>
      </c>
      <c r="J100" s="51">
        <v>0</v>
      </c>
      <c r="K100" s="3">
        <f t="shared" si="34"/>
        <v>210000</v>
      </c>
    </row>
    <row r="101" spans="1:11" x14ac:dyDescent="0.25">
      <c r="A101" s="258"/>
      <c r="B101" s="268"/>
      <c r="C101" s="2" t="s">
        <v>35</v>
      </c>
      <c r="D101" s="3">
        <v>110000</v>
      </c>
      <c r="E101" s="3"/>
      <c r="F101" s="3"/>
      <c r="G101" s="3"/>
      <c r="H101" s="3"/>
      <c r="I101" s="20">
        <f t="shared" si="33"/>
        <v>110000</v>
      </c>
      <c r="J101" s="51">
        <v>0</v>
      </c>
      <c r="K101" s="3">
        <f t="shared" si="34"/>
        <v>110000</v>
      </c>
    </row>
    <row r="102" spans="1:11" x14ac:dyDescent="0.25">
      <c r="A102" s="258"/>
      <c r="B102" s="268"/>
      <c r="C102" s="2" t="s">
        <v>36</v>
      </c>
      <c r="D102" s="3">
        <v>500000</v>
      </c>
      <c r="E102" s="3"/>
      <c r="F102" s="3"/>
      <c r="G102" s="3"/>
      <c r="H102" s="3"/>
      <c r="I102" s="20">
        <f t="shared" si="33"/>
        <v>500000</v>
      </c>
      <c r="J102" s="51">
        <v>188625</v>
      </c>
      <c r="K102" s="3">
        <f t="shared" si="34"/>
        <v>311375</v>
      </c>
    </row>
    <row r="103" spans="1:11" x14ac:dyDescent="0.25">
      <c r="A103" s="258"/>
      <c r="B103" s="268"/>
      <c r="C103" s="2" t="s">
        <v>38</v>
      </c>
      <c r="D103" s="3">
        <v>140000</v>
      </c>
      <c r="E103" s="3"/>
      <c r="F103" s="3"/>
      <c r="G103" s="3"/>
      <c r="H103" s="3"/>
      <c r="I103" s="20">
        <f t="shared" si="33"/>
        <v>140000</v>
      </c>
      <c r="J103" s="51">
        <v>0</v>
      </c>
      <c r="K103" s="3">
        <f t="shared" si="34"/>
        <v>140000</v>
      </c>
    </row>
    <row r="104" spans="1:11" x14ac:dyDescent="0.25">
      <c r="A104" s="258"/>
      <c r="B104" s="268"/>
      <c r="C104" s="2" t="s">
        <v>40</v>
      </c>
      <c r="D104" s="3">
        <v>16800</v>
      </c>
      <c r="E104" s="3"/>
      <c r="F104" s="3"/>
      <c r="G104" s="3"/>
      <c r="H104" s="3"/>
      <c r="I104" s="20">
        <f t="shared" si="33"/>
        <v>16800</v>
      </c>
      <c r="J104" s="51">
        <v>0</v>
      </c>
      <c r="K104" s="3">
        <f t="shared" si="34"/>
        <v>16800</v>
      </c>
    </row>
    <row r="105" spans="1:11" x14ac:dyDescent="0.25">
      <c r="A105" s="258"/>
      <c r="B105" s="268"/>
      <c r="C105" s="2" t="s">
        <v>41</v>
      </c>
      <c r="D105" s="3">
        <v>80000</v>
      </c>
      <c r="E105" s="3"/>
      <c r="F105" s="3"/>
      <c r="G105" s="3"/>
      <c r="H105" s="3"/>
      <c r="I105" s="20">
        <f t="shared" si="33"/>
        <v>80000</v>
      </c>
      <c r="J105" s="51">
        <v>25900</v>
      </c>
      <c r="K105" s="3">
        <f t="shared" si="34"/>
        <v>54100</v>
      </c>
    </row>
    <row r="106" spans="1:11" x14ac:dyDescent="0.25">
      <c r="A106" s="258"/>
      <c r="B106" s="268"/>
      <c r="C106" s="2" t="s">
        <v>42</v>
      </c>
      <c r="D106" s="3">
        <v>240000</v>
      </c>
      <c r="E106" s="3"/>
      <c r="F106" s="3"/>
      <c r="G106" s="3"/>
      <c r="H106" s="3"/>
      <c r="I106" s="20">
        <f t="shared" si="33"/>
        <v>240000</v>
      </c>
      <c r="J106" s="51">
        <v>38125</v>
      </c>
      <c r="K106" s="3">
        <f t="shared" si="34"/>
        <v>201875</v>
      </c>
    </row>
    <row r="107" spans="1:11" x14ac:dyDescent="0.25">
      <c r="A107" s="258"/>
      <c r="B107" s="268"/>
      <c r="C107" s="2" t="s">
        <v>44</v>
      </c>
      <c r="D107" s="3">
        <v>200600</v>
      </c>
      <c r="E107" s="3"/>
      <c r="F107" s="3"/>
      <c r="G107" s="3"/>
      <c r="H107" s="3"/>
      <c r="I107" s="20">
        <f t="shared" si="33"/>
        <v>200600</v>
      </c>
      <c r="J107" s="51">
        <v>16424</v>
      </c>
      <c r="K107" s="3">
        <f t="shared" si="34"/>
        <v>184176</v>
      </c>
    </row>
    <row r="108" spans="1:11" x14ac:dyDescent="0.25">
      <c r="A108" s="258"/>
      <c r="B108" s="268"/>
      <c r="C108" s="6" t="s">
        <v>49</v>
      </c>
      <c r="D108" s="7">
        <f>SUM(D98:D107)</f>
        <v>1697400</v>
      </c>
      <c r="E108" s="7">
        <f t="shared" ref="E108:K108" si="35">SUM(E98:E107)</f>
        <v>0</v>
      </c>
      <c r="F108" s="7">
        <f t="shared" si="35"/>
        <v>0</v>
      </c>
      <c r="G108" s="7">
        <f t="shared" si="35"/>
        <v>0</v>
      </c>
      <c r="H108" s="7">
        <f t="shared" si="35"/>
        <v>0</v>
      </c>
      <c r="I108" s="7">
        <f t="shared" si="35"/>
        <v>1697400</v>
      </c>
      <c r="J108" s="52">
        <f t="shared" si="35"/>
        <v>269074</v>
      </c>
      <c r="K108" s="7">
        <f t="shared" si="35"/>
        <v>1428326</v>
      </c>
    </row>
    <row r="109" spans="1:11" x14ac:dyDescent="0.25">
      <c r="A109" s="255" t="s">
        <v>62</v>
      </c>
      <c r="B109" s="252" t="s">
        <v>23</v>
      </c>
      <c r="C109" s="15" t="s">
        <v>29</v>
      </c>
      <c r="D109" s="24">
        <v>111600</v>
      </c>
      <c r="E109" s="11"/>
      <c r="F109" s="11"/>
      <c r="G109" s="11"/>
      <c r="H109" s="11"/>
      <c r="I109" s="20">
        <f t="shared" ref="I109:I112" si="36">D109+E109+F109+G109+H109</f>
        <v>111600</v>
      </c>
      <c r="J109" s="51">
        <v>19900</v>
      </c>
      <c r="K109" s="3">
        <f t="shared" ref="K109:K112" si="37">I109-J109</f>
        <v>91700</v>
      </c>
    </row>
    <row r="110" spans="1:11" x14ac:dyDescent="0.25">
      <c r="A110" s="257"/>
      <c r="B110" s="254"/>
      <c r="C110" s="15" t="s">
        <v>31</v>
      </c>
      <c r="D110" s="24">
        <v>20739</v>
      </c>
      <c r="E110" s="11"/>
      <c r="F110" s="11"/>
      <c r="G110" s="11"/>
      <c r="H110" s="11"/>
      <c r="I110" s="20">
        <f t="shared" si="36"/>
        <v>20739</v>
      </c>
      <c r="J110" s="51">
        <v>3879</v>
      </c>
      <c r="K110" s="3">
        <f t="shared" si="37"/>
        <v>16860</v>
      </c>
    </row>
    <row r="111" spans="1:11" x14ac:dyDescent="0.25">
      <c r="A111" s="255" t="s">
        <v>63</v>
      </c>
      <c r="B111" s="252" t="s">
        <v>23</v>
      </c>
      <c r="C111" s="15" t="s">
        <v>24</v>
      </c>
      <c r="D111" s="24">
        <v>1460272</v>
      </c>
      <c r="E111" s="11"/>
      <c r="F111" s="11"/>
      <c r="G111" s="11"/>
      <c r="H111" s="11"/>
      <c r="I111" s="20">
        <f t="shared" si="36"/>
        <v>1460272</v>
      </c>
      <c r="J111" s="51">
        <v>371607</v>
      </c>
      <c r="K111" s="3">
        <f t="shared" si="37"/>
        <v>1088665</v>
      </c>
    </row>
    <row r="112" spans="1:11" x14ac:dyDescent="0.25">
      <c r="A112" s="257"/>
      <c r="B112" s="254"/>
      <c r="C112" s="15" t="s">
        <v>31</v>
      </c>
      <c r="D112" s="24">
        <v>272168</v>
      </c>
      <c r="E112" s="11"/>
      <c r="F112" s="11"/>
      <c r="G112" s="11"/>
      <c r="H112" s="11"/>
      <c r="I112" s="20">
        <f t="shared" si="36"/>
        <v>272168</v>
      </c>
      <c r="J112" s="51">
        <v>72464</v>
      </c>
      <c r="K112" s="3">
        <f t="shared" si="37"/>
        <v>199704</v>
      </c>
    </row>
    <row r="113" spans="1:11" s="23" customFormat="1" ht="27" customHeight="1" x14ac:dyDescent="0.25">
      <c r="A113" s="264" t="s">
        <v>77</v>
      </c>
      <c r="B113" s="265"/>
      <c r="C113" s="266"/>
      <c r="D113" s="22">
        <f>SUM(D96+D97+D108+D109+D110+D111+D112)</f>
        <v>9916318</v>
      </c>
      <c r="E113" s="22">
        <f t="shared" ref="E113:K113" si="38">SUM(E96+E97+E108+E109+E110+E111+E112)</f>
        <v>0</v>
      </c>
      <c r="F113" s="22">
        <f t="shared" si="38"/>
        <v>0</v>
      </c>
      <c r="G113" s="22">
        <f t="shared" si="38"/>
        <v>0</v>
      </c>
      <c r="H113" s="22">
        <f t="shared" si="38"/>
        <v>0</v>
      </c>
      <c r="I113" s="22">
        <f t="shared" si="38"/>
        <v>9916318</v>
      </c>
      <c r="J113" s="54">
        <f t="shared" si="38"/>
        <v>2125075</v>
      </c>
      <c r="K113" s="22">
        <f t="shared" si="38"/>
        <v>7791243</v>
      </c>
    </row>
    <row r="114" spans="1:11" x14ac:dyDescent="0.25">
      <c r="A114" s="258" t="s">
        <v>13</v>
      </c>
      <c r="B114" s="268" t="s">
        <v>23</v>
      </c>
      <c r="C114" s="2" t="s">
        <v>24</v>
      </c>
      <c r="D114" s="3">
        <v>4871210</v>
      </c>
      <c r="E114" s="3"/>
      <c r="F114" s="3"/>
      <c r="G114" s="3"/>
      <c r="H114" s="3"/>
      <c r="I114" s="20">
        <f t="shared" ref="I114:I119" si="39">D114+E114+F114+G114+H114</f>
        <v>4871210</v>
      </c>
      <c r="J114" s="51">
        <v>1176501</v>
      </c>
      <c r="K114" s="3">
        <f t="shared" ref="K114:K119" si="40">I114-J114</f>
        <v>3694709</v>
      </c>
    </row>
    <row r="115" spans="1:11" x14ac:dyDescent="0.25">
      <c r="A115" s="258"/>
      <c r="B115" s="268"/>
      <c r="C115" s="2" t="s">
        <v>25</v>
      </c>
      <c r="D115" s="3">
        <v>200000</v>
      </c>
      <c r="E115" s="3"/>
      <c r="F115" s="3"/>
      <c r="G115" s="3"/>
      <c r="H115" s="3"/>
      <c r="I115" s="20">
        <f t="shared" si="39"/>
        <v>200000</v>
      </c>
      <c r="J115" s="51">
        <v>0</v>
      </c>
      <c r="K115" s="3">
        <f t="shared" si="40"/>
        <v>200000</v>
      </c>
    </row>
    <row r="116" spans="1:11" x14ac:dyDescent="0.25">
      <c r="A116" s="258"/>
      <c r="B116" s="268"/>
      <c r="C116" s="2" t="s">
        <v>26</v>
      </c>
      <c r="D116" s="3">
        <v>10000</v>
      </c>
      <c r="E116" s="3"/>
      <c r="F116" s="3"/>
      <c r="G116" s="3"/>
      <c r="H116" s="3"/>
      <c r="I116" s="20">
        <f t="shared" si="39"/>
        <v>10000</v>
      </c>
      <c r="J116" s="51">
        <v>0</v>
      </c>
      <c r="K116" s="3">
        <f t="shared" si="40"/>
        <v>10000</v>
      </c>
    </row>
    <row r="117" spans="1:11" x14ac:dyDescent="0.25">
      <c r="A117" s="258"/>
      <c r="B117" s="268"/>
      <c r="C117" s="2" t="s">
        <v>28</v>
      </c>
      <c r="D117" s="3">
        <v>24000</v>
      </c>
      <c r="E117" s="3"/>
      <c r="F117" s="3"/>
      <c r="G117" s="3"/>
      <c r="H117" s="3"/>
      <c r="I117" s="20">
        <f t="shared" si="39"/>
        <v>24000</v>
      </c>
      <c r="J117" s="51">
        <v>0</v>
      </c>
      <c r="K117" s="3">
        <f t="shared" si="40"/>
        <v>24000</v>
      </c>
    </row>
    <row r="118" spans="1:11" x14ac:dyDescent="0.25">
      <c r="A118" s="258"/>
      <c r="B118" s="268"/>
      <c r="C118" s="2" t="s">
        <v>29</v>
      </c>
      <c r="D118" s="3">
        <v>75000</v>
      </c>
      <c r="E118" s="3"/>
      <c r="F118" s="3"/>
      <c r="G118" s="3"/>
      <c r="H118" s="3"/>
      <c r="I118" s="20">
        <f t="shared" si="39"/>
        <v>75000</v>
      </c>
      <c r="J118" s="51">
        <v>0</v>
      </c>
      <c r="K118" s="3">
        <f t="shared" si="40"/>
        <v>75000</v>
      </c>
    </row>
    <row r="119" spans="1:11" x14ac:dyDescent="0.25">
      <c r="A119" s="258"/>
      <c r="B119" s="268"/>
      <c r="C119" s="2" t="s">
        <v>30</v>
      </c>
      <c r="D119" s="3">
        <v>0</v>
      </c>
      <c r="E119" s="3"/>
      <c r="F119" s="3"/>
      <c r="G119" s="3"/>
      <c r="H119" s="3"/>
      <c r="I119" s="20">
        <f t="shared" si="39"/>
        <v>0</v>
      </c>
      <c r="J119" s="51">
        <v>0</v>
      </c>
      <c r="K119" s="3">
        <f t="shared" si="40"/>
        <v>0</v>
      </c>
    </row>
    <row r="120" spans="1:11" x14ac:dyDescent="0.25">
      <c r="A120" s="258"/>
      <c r="B120" s="268"/>
      <c r="C120" s="6" t="s">
        <v>53</v>
      </c>
      <c r="D120" s="7">
        <f>SUM(D114:D119)</f>
        <v>5180210</v>
      </c>
      <c r="E120" s="7">
        <f t="shared" ref="E120:K120" si="41">SUM(E114:E119)</f>
        <v>0</v>
      </c>
      <c r="F120" s="7">
        <f t="shared" si="41"/>
        <v>0</v>
      </c>
      <c r="G120" s="7">
        <f t="shared" si="41"/>
        <v>0</v>
      </c>
      <c r="H120" s="7">
        <f t="shared" si="41"/>
        <v>0</v>
      </c>
      <c r="I120" s="7">
        <f t="shared" si="41"/>
        <v>5180210</v>
      </c>
      <c r="J120" s="52">
        <f t="shared" si="41"/>
        <v>1176501</v>
      </c>
      <c r="K120" s="7">
        <f t="shared" si="41"/>
        <v>4003709</v>
      </c>
    </row>
    <row r="121" spans="1:11" x14ac:dyDescent="0.25">
      <c r="A121" s="258"/>
      <c r="B121" s="268"/>
      <c r="C121" s="6" t="s">
        <v>31</v>
      </c>
      <c r="D121" s="7">
        <v>1046402</v>
      </c>
      <c r="E121" s="7"/>
      <c r="F121" s="7"/>
      <c r="G121" s="7"/>
      <c r="H121" s="7"/>
      <c r="I121" s="21">
        <f t="shared" ref="I121" si="42">D121+E121+F121+G121+H121</f>
        <v>1046402</v>
      </c>
      <c r="J121" s="53">
        <v>237064</v>
      </c>
      <c r="K121" s="8">
        <f t="shared" ref="K121" si="43">I121-J121</f>
        <v>809338</v>
      </c>
    </row>
    <row r="122" spans="1:11" x14ac:dyDescent="0.25">
      <c r="A122" s="258"/>
      <c r="B122" s="268"/>
      <c r="C122" s="2" t="s">
        <v>32</v>
      </c>
      <c r="D122" s="3">
        <v>50000</v>
      </c>
      <c r="E122" s="3"/>
      <c r="F122" s="3"/>
      <c r="G122" s="3"/>
      <c r="H122" s="3"/>
      <c r="I122" s="20">
        <f t="shared" ref="I122:I129" si="44">D122+E122+F122+G122+H122</f>
        <v>50000</v>
      </c>
      <c r="J122" s="51">
        <v>0</v>
      </c>
      <c r="K122" s="3">
        <f t="shared" ref="K122:K129" si="45">I122-J122</f>
        <v>50000</v>
      </c>
    </row>
    <row r="123" spans="1:11" x14ac:dyDescent="0.25">
      <c r="A123" s="258"/>
      <c r="B123" s="268"/>
      <c r="C123" s="2" t="s">
        <v>33</v>
      </c>
      <c r="D123" s="3">
        <v>100000</v>
      </c>
      <c r="E123" s="3"/>
      <c r="F123" s="3"/>
      <c r="G123" s="3"/>
      <c r="H123" s="3"/>
      <c r="I123" s="20">
        <f t="shared" si="44"/>
        <v>100000</v>
      </c>
      <c r="J123" s="51">
        <v>0</v>
      </c>
      <c r="K123" s="3">
        <f t="shared" si="45"/>
        <v>100000</v>
      </c>
    </row>
    <row r="124" spans="1:11" x14ac:dyDescent="0.25">
      <c r="A124" s="258"/>
      <c r="B124" s="268"/>
      <c r="C124" s="2" t="s">
        <v>34</v>
      </c>
      <c r="D124" s="3">
        <v>150000</v>
      </c>
      <c r="E124" s="3">
        <v>-34000</v>
      </c>
      <c r="F124" s="3"/>
      <c r="G124" s="3"/>
      <c r="H124" s="3"/>
      <c r="I124" s="20">
        <f t="shared" si="44"/>
        <v>116000</v>
      </c>
      <c r="J124" s="51">
        <v>0</v>
      </c>
      <c r="K124" s="3">
        <f t="shared" si="45"/>
        <v>116000</v>
      </c>
    </row>
    <row r="125" spans="1:11" x14ac:dyDescent="0.25">
      <c r="A125" s="258"/>
      <c r="B125" s="268"/>
      <c r="C125" s="2" t="s">
        <v>38</v>
      </c>
      <c r="D125" s="3">
        <v>50000</v>
      </c>
      <c r="E125" s="3"/>
      <c r="F125" s="3"/>
      <c r="G125" s="3"/>
      <c r="H125" s="3"/>
      <c r="I125" s="20">
        <f t="shared" si="44"/>
        <v>50000</v>
      </c>
      <c r="J125" s="51">
        <v>0</v>
      </c>
      <c r="K125" s="3">
        <f t="shared" si="45"/>
        <v>50000</v>
      </c>
    </row>
    <row r="126" spans="1:11" x14ac:dyDescent="0.25">
      <c r="A126" s="258"/>
      <c r="B126" s="268"/>
      <c r="C126" s="2" t="s">
        <v>40</v>
      </c>
      <c r="D126" s="3">
        <v>16800</v>
      </c>
      <c r="E126" s="3"/>
      <c r="F126" s="3"/>
      <c r="G126" s="3"/>
      <c r="H126" s="3"/>
      <c r="I126" s="20">
        <f t="shared" si="44"/>
        <v>16800</v>
      </c>
      <c r="J126" s="51">
        <v>0</v>
      </c>
      <c r="K126" s="3">
        <f t="shared" si="45"/>
        <v>16800</v>
      </c>
    </row>
    <row r="127" spans="1:11" x14ac:dyDescent="0.25">
      <c r="A127" s="258"/>
      <c r="B127" s="268"/>
      <c r="C127" s="2" t="s">
        <v>41</v>
      </c>
      <c r="D127" s="3">
        <v>0</v>
      </c>
      <c r="E127" s="3">
        <v>34000</v>
      </c>
      <c r="F127" s="3"/>
      <c r="G127" s="3"/>
      <c r="H127" s="3"/>
      <c r="I127" s="20">
        <f t="shared" si="44"/>
        <v>34000</v>
      </c>
      <c r="J127" s="51">
        <v>25900</v>
      </c>
      <c r="K127" s="3">
        <f t="shared" si="45"/>
        <v>8100</v>
      </c>
    </row>
    <row r="128" spans="1:11" x14ac:dyDescent="0.25">
      <c r="A128" s="258"/>
      <c r="B128" s="268"/>
      <c r="C128" s="2" t="s">
        <v>42</v>
      </c>
      <c r="D128" s="3">
        <v>240000</v>
      </c>
      <c r="E128" s="3"/>
      <c r="F128" s="3"/>
      <c r="G128" s="3"/>
      <c r="H128" s="3"/>
      <c r="I128" s="20">
        <f t="shared" si="44"/>
        <v>240000</v>
      </c>
      <c r="J128" s="51">
        <v>37570</v>
      </c>
      <c r="K128" s="3">
        <f t="shared" si="45"/>
        <v>202430</v>
      </c>
    </row>
    <row r="129" spans="1:11" x14ac:dyDescent="0.25">
      <c r="A129" s="258"/>
      <c r="B129" s="268"/>
      <c r="C129" s="2" t="s">
        <v>44</v>
      </c>
      <c r="D129" s="3">
        <v>94500</v>
      </c>
      <c r="E129" s="3"/>
      <c r="F129" s="3"/>
      <c r="G129" s="3"/>
      <c r="H129" s="3"/>
      <c r="I129" s="20">
        <f t="shared" si="44"/>
        <v>94500</v>
      </c>
      <c r="J129" s="51">
        <v>6993</v>
      </c>
      <c r="K129" s="3">
        <f t="shared" si="45"/>
        <v>87507</v>
      </c>
    </row>
    <row r="130" spans="1:11" x14ac:dyDescent="0.25">
      <c r="A130" s="258"/>
      <c r="B130" s="268"/>
      <c r="C130" s="6" t="s">
        <v>49</v>
      </c>
      <c r="D130" s="7">
        <f>SUM(D122:D129)</f>
        <v>701300</v>
      </c>
      <c r="E130" s="7">
        <f t="shared" ref="E130:K130" si="46">SUM(E122:E129)</f>
        <v>0</v>
      </c>
      <c r="F130" s="7">
        <f t="shared" si="46"/>
        <v>0</v>
      </c>
      <c r="G130" s="7">
        <f t="shared" si="46"/>
        <v>0</v>
      </c>
      <c r="H130" s="7">
        <f t="shared" si="46"/>
        <v>0</v>
      </c>
      <c r="I130" s="7">
        <f t="shared" si="46"/>
        <v>701300</v>
      </c>
      <c r="J130" s="52">
        <f t="shared" si="46"/>
        <v>70463</v>
      </c>
      <c r="K130" s="7">
        <f t="shared" si="46"/>
        <v>630837</v>
      </c>
    </row>
    <row r="131" spans="1:11" x14ac:dyDescent="0.25">
      <c r="A131" s="255" t="s">
        <v>64</v>
      </c>
      <c r="B131" s="252" t="s">
        <v>23</v>
      </c>
      <c r="C131" s="15" t="s">
        <v>29</v>
      </c>
      <c r="D131" s="24">
        <v>39600</v>
      </c>
      <c r="E131" s="11"/>
      <c r="F131" s="11"/>
      <c r="G131" s="11"/>
      <c r="H131" s="11"/>
      <c r="I131" s="20">
        <f t="shared" ref="I131:I134" si="47">D131+E131+F131+G131+H131</f>
        <v>39600</v>
      </c>
      <c r="J131" s="51">
        <v>9900</v>
      </c>
      <c r="K131" s="3">
        <f t="shared" ref="K131:K134" si="48">I131-J131</f>
        <v>29700</v>
      </c>
    </row>
    <row r="132" spans="1:11" x14ac:dyDescent="0.25">
      <c r="A132" s="257"/>
      <c r="B132" s="254"/>
      <c r="C132" s="15" t="s">
        <v>31</v>
      </c>
      <c r="D132" s="24">
        <v>7359</v>
      </c>
      <c r="E132" s="11"/>
      <c r="F132" s="11"/>
      <c r="G132" s="11"/>
      <c r="H132" s="11"/>
      <c r="I132" s="20">
        <f t="shared" si="47"/>
        <v>7359</v>
      </c>
      <c r="J132" s="51">
        <v>1931</v>
      </c>
      <c r="K132" s="3">
        <f t="shared" si="48"/>
        <v>5428</v>
      </c>
    </row>
    <row r="133" spans="1:11" x14ac:dyDescent="0.25">
      <c r="A133" s="255" t="s">
        <v>65</v>
      </c>
      <c r="B133" s="252" t="s">
        <v>23</v>
      </c>
      <c r="C133" s="15" t="s">
        <v>24</v>
      </c>
      <c r="D133" s="24">
        <v>1357158</v>
      </c>
      <c r="E133" s="11"/>
      <c r="F133" s="11"/>
      <c r="G133" s="11"/>
      <c r="H133" s="11"/>
      <c r="I133" s="20">
        <f t="shared" si="47"/>
        <v>1357158</v>
      </c>
      <c r="J133" s="51">
        <v>339558</v>
      </c>
      <c r="K133" s="3">
        <f t="shared" si="48"/>
        <v>1017600</v>
      </c>
    </row>
    <row r="134" spans="1:11" x14ac:dyDescent="0.25">
      <c r="A134" s="257"/>
      <c r="B134" s="254"/>
      <c r="C134" s="15" t="s">
        <v>31</v>
      </c>
      <c r="D134" s="24">
        <v>253327</v>
      </c>
      <c r="E134" s="11"/>
      <c r="F134" s="11"/>
      <c r="G134" s="11"/>
      <c r="H134" s="11"/>
      <c r="I134" s="20">
        <f t="shared" si="47"/>
        <v>253327</v>
      </c>
      <c r="J134" s="51">
        <v>66214</v>
      </c>
      <c r="K134" s="3">
        <f t="shared" si="48"/>
        <v>187113</v>
      </c>
    </row>
    <row r="135" spans="1:11" ht="27" customHeight="1" x14ac:dyDescent="0.25">
      <c r="A135" s="264" t="s">
        <v>78</v>
      </c>
      <c r="B135" s="265"/>
      <c r="C135" s="266"/>
      <c r="D135" s="22">
        <f>SUM(D120+D121+D130+D131+D132+D133+D134)</f>
        <v>8585356</v>
      </c>
      <c r="E135" s="22">
        <f t="shared" ref="E135:K135" si="49">SUM(E120+E121+E130+E131+E132+E133+E134)</f>
        <v>0</v>
      </c>
      <c r="F135" s="22">
        <f t="shared" si="49"/>
        <v>0</v>
      </c>
      <c r="G135" s="22">
        <f t="shared" si="49"/>
        <v>0</v>
      </c>
      <c r="H135" s="22">
        <f t="shared" si="49"/>
        <v>0</v>
      </c>
      <c r="I135" s="22">
        <f t="shared" si="49"/>
        <v>8585356</v>
      </c>
      <c r="J135" s="54">
        <f t="shared" si="49"/>
        <v>1901631</v>
      </c>
      <c r="K135" s="22">
        <f t="shared" si="49"/>
        <v>6683725</v>
      </c>
    </row>
    <row r="136" spans="1:11" x14ac:dyDescent="0.25">
      <c r="A136" s="258" t="s">
        <v>14</v>
      </c>
      <c r="B136" s="268" t="s">
        <v>23</v>
      </c>
      <c r="C136" s="2" t="s">
        <v>24</v>
      </c>
      <c r="D136" s="3">
        <v>4756797</v>
      </c>
      <c r="E136" s="3">
        <v>-48282</v>
      </c>
      <c r="F136" s="3"/>
      <c r="G136" s="3"/>
      <c r="H136" s="3"/>
      <c r="I136" s="20">
        <f t="shared" ref="I136:I142" si="50">D136+E136+F136+G136+H136</f>
        <v>4708515</v>
      </c>
      <c r="J136" s="51">
        <v>1084245</v>
      </c>
      <c r="K136" s="3">
        <f t="shared" ref="K136:K142" si="51">I136-J136</f>
        <v>3624270</v>
      </c>
    </row>
    <row r="137" spans="1:11" x14ac:dyDescent="0.25">
      <c r="A137" s="258"/>
      <c r="B137" s="268"/>
      <c r="C137" s="2" t="s">
        <v>25</v>
      </c>
      <c r="D137" s="3">
        <v>200000</v>
      </c>
      <c r="E137" s="3"/>
      <c r="F137" s="3"/>
      <c r="G137" s="3"/>
      <c r="H137" s="3"/>
      <c r="I137" s="20">
        <f t="shared" si="50"/>
        <v>200000</v>
      </c>
      <c r="J137" s="51">
        <v>0</v>
      </c>
      <c r="K137" s="3">
        <f t="shared" si="51"/>
        <v>200000</v>
      </c>
    </row>
    <row r="138" spans="1:11" x14ac:dyDescent="0.25">
      <c r="A138" s="258"/>
      <c r="B138" s="268"/>
      <c r="C138" s="2" t="s">
        <v>26</v>
      </c>
      <c r="D138" s="3">
        <v>10000</v>
      </c>
      <c r="E138" s="3"/>
      <c r="F138" s="3"/>
      <c r="G138" s="3"/>
      <c r="H138" s="3"/>
      <c r="I138" s="20">
        <f t="shared" si="50"/>
        <v>10000</v>
      </c>
      <c r="J138" s="51">
        <v>0</v>
      </c>
      <c r="K138" s="3">
        <f t="shared" si="51"/>
        <v>10000</v>
      </c>
    </row>
    <row r="139" spans="1:11" x14ac:dyDescent="0.25">
      <c r="A139" s="258"/>
      <c r="B139" s="268"/>
      <c r="C139" s="2" t="s">
        <v>27</v>
      </c>
      <c r="D139" s="3">
        <v>255000</v>
      </c>
      <c r="E139" s="3"/>
      <c r="F139" s="3"/>
      <c r="G139" s="3"/>
      <c r="H139" s="3"/>
      <c r="I139" s="20">
        <f t="shared" si="50"/>
        <v>255000</v>
      </c>
      <c r="J139" s="51">
        <v>29648</v>
      </c>
      <c r="K139" s="3">
        <f t="shared" si="51"/>
        <v>225352</v>
      </c>
    </row>
    <row r="140" spans="1:11" x14ac:dyDescent="0.25">
      <c r="A140" s="258"/>
      <c r="B140" s="268"/>
      <c r="C140" s="2" t="s">
        <v>28</v>
      </c>
      <c r="D140" s="3">
        <v>24000</v>
      </c>
      <c r="E140" s="3"/>
      <c r="F140" s="3"/>
      <c r="G140" s="3"/>
      <c r="H140" s="3"/>
      <c r="I140" s="20">
        <f t="shared" si="50"/>
        <v>24000</v>
      </c>
      <c r="J140" s="51">
        <v>0</v>
      </c>
      <c r="K140" s="3">
        <f t="shared" si="51"/>
        <v>24000</v>
      </c>
    </row>
    <row r="141" spans="1:11" x14ac:dyDescent="0.25">
      <c r="A141" s="258"/>
      <c r="B141" s="268"/>
      <c r="C141" s="2" t="s">
        <v>29</v>
      </c>
      <c r="D141" s="3">
        <v>0</v>
      </c>
      <c r="E141" s="3">
        <v>48282</v>
      </c>
      <c r="F141" s="3"/>
      <c r="G141" s="3"/>
      <c r="H141" s="3"/>
      <c r="I141" s="20">
        <f t="shared" si="50"/>
        <v>48282</v>
      </c>
      <c r="J141" s="51">
        <v>48282</v>
      </c>
      <c r="K141" s="3">
        <f t="shared" si="51"/>
        <v>0</v>
      </c>
    </row>
    <row r="142" spans="1:11" x14ac:dyDescent="0.25">
      <c r="A142" s="258"/>
      <c r="B142" s="268"/>
      <c r="C142" s="2" t="s">
        <v>30</v>
      </c>
      <c r="D142" s="3">
        <v>0</v>
      </c>
      <c r="E142" s="3"/>
      <c r="F142" s="3"/>
      <c r="G142" s="3"/>
      <c r="H142" s="3"/>
      <c r="I142" s="20">
        <f t="shared" si="50"/>
        <v>0</v>
      </c>
      <c r="J142" s="51">
        <v>0</v>
      </c>
      <c r="K142" s="3">
        <f t="shared" si="51"/>
        <v>0</v>
      </c>
    </row>
    <row r="143" spans="1:11" x14ac:dyDescent="0.25">
      <c r="A143" s="258"/>
      <c r="B143" s="268"/>
      <c r="C143" s="6" t="s">
        <v>53</v>
      </c>
      <c r="D143" s="7">
        <f>SUM(D136:D142)</f>
        <v>5245797</v>
      </c>
      <c r="E143" s="7">
        <f t="shared" ref="E143:K143" si="52">SUM(E136:E142)</f>
        <v>0</v>
      </c>
      <c r="F143" s="7">
        <f t="shared" si="52"/>
        <v>0</v>
      </c>
      <c r="G143" s="7">
        <f t="shared" si="52"/>
        <v>0</v>
      </c>
      <c r="H143" s="7">
        <f t="shared" si="52"/>
        <v>0</v>
      </c>
      <c r="I143" s="7">
        <f t="shared" si="52"/>
        <v>5245797</v>
      </c>
      <c r="J143" s="52">
        <f t="shared" si="52"/>
        <v>1162175</v>
      </c>
      <c r="K143" s="7">
        <f t="shared" si="52"/>
        <v>4083622</v>
      </c>
    </row>
    <row r="144" spans="1:11" x14ac:dyDescent="0.25">
      <c r="A144" s="258"/>
      <c r="B144" s="268"/>
      <c r="C144" s="6" t="s">
        <v>31</v>
      </c>
      <c r="D144" s="7">
        <v>1025121</v>
      </c>
      <c r="E144" s="7"/>
      <c r="F144" s="7"/>
      <c r="G144" s="7"/>
      <c r="H144" s="7"/>
      <c r="I144" s="21">
        <f t="shared" ref="I144" si="53">D144+E144+F144+G144+H144</f>
        <v>1025121</v>
      </c>
      <c r="J144" s="53">
        <v>228491</v>
      </c>
      <c r="K144" s="8">
        <f t="shared" ref="K144" si="54">I144-J144</f>
        <v>796630</v>
      </c>
    </row>
    <row r="145" spans="1:11" x14ac:dyDescent="0.25">
      <c r="A145" s="258"/>
      <c r="B145" s="268"/>
      <c r="C145" s="2" t="s">
        <v>32</v>
      </c>
      <c r="D145" s="3">
        <v>80000</v>
      </c>
      <c r="E145" s="3"/>
      <c r="F145" s="3"/>
      <c r="G145" s="3"/>
      <c r="H145" s="3"/>
      <c r="I145" s="20">
        <f t="shared" ref="I145:I152" si="55">D145+E145+F145+G145+H145</f>
        <v>80000</v>
      </c>
      <c r="J145" s="51">
        <v>0</v>
      </c>
      <c r="K145" s="3">
        <f t="shared" ref="K145:K152" si="56">I145-J145</f>
        <v>80000</v>
      </c>
    </row>
    <row r="146" spans="1:11" x14ac:dyDescent="0.25">
      <c r="A146" s="258"/>
      <c r="B146" s="268"/>
      <c r="C146" s="2" t="s">
        <v>33</v>
      </c>
      <c r="D146" s="3">
        <v>110000</v>
      </c>
      <c r="E146" s="3"/>
      <c r="F146" s="3"/>
      <c r="G146" s="3"/>
      <c r="H146" s="3"/>
      <c r="I146" s="20">
        <f t="shared" si="55"/>
        <v>110000</v>
      </c>
      <c r="J146" s="51">
        <v>0</v>
      </c>
      <c r="K146" s="3">
        <f t="shared" si="56"/>
        <v>110000</v>
      </c>
    </row>
    <row r="147" spans="1:11" x14ac:dyDescent="0.25">
      <c r="A147" s="258"/>
      <c r="B147" s="268"/>
      <c r="C147" s="2" t="s">
        <v>34</v>
      </c>
      <c r="D147" s="3">
        <v>150000</v>
      </c>
      <c r="E147" s="3">
        <v>-14000</v>
      </c>
      <c r="F147" s="3"/>
      <c r="G147" s="3"/>
      <c r="H147" s="3"/>
      <c r="I147" s="20">
        <f t="shared" si="55"/>
        <v>136000</v>
      </c>
      <c r="J147" s="51">
        <v>0</v>
      </c>
      <c r="K147" s="3">
        <f t="shared" si="56"/>
        <v>136000</v>
      </c>
    </row>
    <row r="148" spans="1:11" x14ac:dyDescent="0.25">
      <c r="A148" s="258"/>
      <c r="B148" s="268"/>
      <c r="C148" s="2" t="s">
        <v>38</v>
      </c>
      <c r="D148" s="3">
        <v>144000</v>
      </c>
      <c r="E148" s="3"/>
      <c r="F148" s="3"/>
      <c r="G148" s="3"/>
      <c r="H148" s="3"/>
      <c r="I148" s="20">
        <f t="shared" si="55"/>
        <v>144000</v>
      </c>
      <c r="J148" s="51">
        <v>0</v>
      </c>
      <c r="K148" s="3">
        <f t="shared" si="56"/>
        <v>144000</v>
      </c>
    </row>
    <row r="149" spans="1:11" x14ac:dyDescent="0.25">
      <c r="A149" s="258"/>
      <c r="B149" s="268"/>
      <c r="C149" s="2" t="s">
        <v>40</v>
      </c>
      <c r="D149" s="3">
        <v>16800</v>
      </c>
      <c r="E149" s="3"/>
      <c r="F149" s="3"/>
      <c r="G149" s="3"/>
      <c r="H149" s="3"/>
      <c r="I149" s="20">
        <f t="shared" si="55"/>
        <v>16800</v>
      </c>
      <c r="J149" s="51">
        <v>0</v>
      </c>
      <c r="K149" s="3">
        <f t="shared" si="56"/>
        <v>16800</v>
      </c>
    </row>
    <row r="150" spans="1:11" x14ac:dyDescent="0.25">
      <c r="A150" s="258"/>
      <c r="B150" s="268"/>
      <c r="C150" s="2" t="s">
        <v>41</v>
      </c>
      <c r="D150" s="3">
        <v>40000</v>
      </c>
      <c r="E150" s="3">
        <v>14000</v>
      </c>
      <c r="F150" s="3"/>
      <c r="G150" s="3"/>
      <c r="H150" s="3"/>
      <c r="I150" s="20">
        <f t="shared" si="55"/>
        <v>54000</v>
      </c>
      <c r="J150" s="51">
        <v>45900</v>
      </c>
      <c r="K150" s="3">
        <f t="shared" si="56"/>
        <v>8100</v>
      </c>
    </row>
    <row r="151" spans="1:11" x14ac:dyDescent="0.25">
      <c r="A151" s="258"/>
      <c r="B151" s="268"/>
      <c r="C151" s="2" t="s">
        <v>42</v>
      </c>
      <c r="D151" s="3">
        <v>150000</v>
      </c>
      <c r="E151" s="3"/>
      <c r="F151" s="3"/>
      <c r="G151" s="3"/>
      <c r="H151" s="3"/>
      <c r="I151" s="20">
        <f t="shared" si="55"/>
        <v>150000</v>
      </c>
      <c r="J151" s="51">
        <v>32125</v>
      </c>
      <c r="K151" s="3">
        <f t="shared" si="56"/>
        <v>117875</v>
      </c>
    </row>
    <row r="152" spans="1:11" x14ac:dyDescent="0.25">
      <c r="A152" s="258"/>
      <c r="B152" s="268"/>
      <c r="C152" s="2" t="s">
        <v>44</v>
      </c>
      <c r="D152" s="3">
        <v>141480</v>
      </c>
      <c r="E152" s="3"/>
      <c r="F152" s="3"/>
      <c r="G152" s="3"/>
      <c r="H152" s="3"/>
      <c r="I152" s="20">
        <f t="shared" si="55"/>
        <v>141480</v>
      </c>
      <c r="J152" s="51">
        <v>6993</v>
      </c>
      <c r="K152" s="3">
        <f t="shared" si="56"/>
        <v>134487</v>
      </c>
    </row>
    <row r="153" spans="1:11" x14ac:dyDescent="0.25">
      <c r="A153" s="258"/>
      <c r="B153" s="268"/>
      <c r="C153" s="6" t="s">
        <v>49</v>
      </c>
      <c r="D153" s="7">
        <f>SUM(D145:D152)</f>
        <v>832280</v>
      </c>
      <c r="E153" s="7">
        <f t="shared" ref="E153:K153" si="57">SUM(E145:E152)</f>
        <v>0</v>
      </c>
      <c r="F153" s="7">
        <f t="shared" si="57"/>
        <v>0</v>
      </c>
      <c r="G153" s="7">
        <f t="shared" si="57"/>
        <v>0</v>
      </c>
      <c r="H153" s="7">
        <f t="shared" si="57"/>
        <v>0</v>
      </c>
      <c r="I153" s="7">
        <f t="shared" si="57"/>
        <v>832280</v>
      </c>
      <c r="J153" s="52">
        <f t="shared" si="57"/>
        <v>85018</v>
      </c>
      <c r="K153" s="7">
        <f t="shared" si="57"/>
        <v>747262</v>
      </c>
    </row>
    <row r="154" spans="1:11" x14ac:dyDescent="0.25">
      <c r="A154" s="255" t="s">
        <v>66</v>
      </c>
      <c r="B154" s="252" t="s">
        <v>23</v>
      </c>
      <c r="C154" s="15" t="s">
        <v>24</v>
      </c>
      <c r="D154" s="24">
        <v>832628</v>
      </c>
      <c r="E154" s="11"/>
      <c r="F154" s="11"/>
      <c r="G154" s="11"/>
      <c r="H154" s="11"/>
      <c r="I154" s="20">
        <f t="shared" ref="I154:I155" si="58">D154+E154+F154+G154+H154</f>
        <v>832628</v>
      </c>
      <c r="J154" s="51">
        <v>196354</v>
      </c>
      <c r="K154" s="3">
        <f t="shared" ref="K154:K155" si="59">I154-J154</f>
        <v>636274</v>
      </c>
    </row>
    <row r="155" spans="1:11" x14ac:dyDescent="0.25">
      <c r="A155" s="257"/>
      <c r="B155" s="254"/>
      <c r="C155" s="15" t="s">
        <v>31</v>
      </c>
      <c r="D155" s="24">
        <v>155410</v>
      </c>
      <c r="E155" s="11"/>
      <c r="F155" s="11"/>
      <c r="G155" s="11"/>
      <c r="H155" s="11"/>
      <c r="I155" s="20">
        <f t="shared" si="58"/>
        <v>155410</v>
      </c>
      <c r="J155" s="51">
        <v>38288</v>
      </c>
      <c r="K155" s="3">
        <f t="shared" si="59"/>
        <v>117122</v>
      </c>
    </row>
    <row r="156" spans="1:11" ht="27" customHeight="1" x14ac:dyDescent="0.25">
      <c r="A156" s="264" t="s">
        <v>79</v>
      </c>
      <c r="B156" s="265"/>
      <c r="C156" s="266"/>
      <c r="D156" s="22">
        <f>SUM(D143+D144+D153+D154+D155)</f>
        <v>8091236</v>
      </c>
      <c r="E156" s="22">
        <f t="shared" ref="E156:K156" si="60">SUM(E143+E144+E153+E154+E155)</f>
        <v>0</v>
      </c>
      <c r="F156" s="22">
        <f t="shared" si="60"/>
        <v>0</v>
      </c>
      <c r="G156" s="22">
        <f t="shared" si="60"/>
        <v>0</v>
      </c>
      <c r="H156" s="22">
        <f t="shared" si="60"/>
        <v>0</v>
      </c>
      <c r="I156" s="22">
        <f t="shared" si="60"/>
        <v>8091236</v>
      </c>
      <c r="J156" s="54">
        <f t="shared" si="60"/>
        <v>1710326</v>
      </c>
      <c r="K156" s="22">
        <f t="shared" si="60"/>
        <v>6380910</v>
      </c>
    </row>
    <row r="157" spans="1:11" x14ac:dyDescent="0.25">
      <c r="A157" s="258" t="s">
        <v>55</v>
      </c>
      <c r="B157" s="268" t="s">
        <v>23</v>
      </c>
      <c r="C157" s="10" t="s">
        <v>24</v>
      </c>
      <c r="D157" s="24">
        <v>5055869</v>
      </c>
      <c r="E157" s="11"/>
      <c r="F157" s="11"/>
      <c r="G157" s="11"/>
      <c r="H157" s="11"/>
      <c r="I157" s="20">
        <f t="shared" ref="I157:I162" si="61">D157+E157+F157+G157+H157</f>
        <v>5055869</v>
      </c>
      <c r="J157" s="51">
        <v>1200998</v>
      </c>
      <c r="K157" s="3">
        <f t="shared" ref="K157:K162" si="62">I157-J157</f>
        <v>3854871</v>
      </c>
    </row>
    <row r="158" spans="1:11" x14ac:dyDescent="0.25">
      <c r="A158" s="258"/>
      <c r="B158" s="268"/>
      <c r="C158" s="10" t="s">
        <v>25</v>
      </c>
      <c r="D158" s="24">
        <v>425000</v>
      </c>
      <c r="E158" s="11"/>
      <c r="F158" s="11"/>
      <c r="G158" s="11"/>
      <c r="H158" s="11"/>
      <c r="I158" s="20">
        <f t="shared" si="61"/>
        <v>425000</v>
      </c>
      <c r="J158" s="51">
        <v>0</v>
      </c>
      <c r="K158" s="3">
        <f t="shared" si="62"/>
        <v>425000</v>
      </c>
    </row>
    <row r="159" spans="1:11" x14ac:dyDescent="0.25">
      <c r="A159" s="258"/>
      <c r="B159" s="268"/>
      <c r="C159" s="10" t="s">
        <v>26</v>
      </c>
      <c r="D159" s="24">
        <v>10000</v>
      </c>
      <c r="E159" s="11"/>
      <c r="F159" s="11"/>
      <c r="G159" s="11"/>
      <c r="H159" s="11"/>
      <c r="I159" s="20">
        <f t="shared" si="61"/>
        <v>10000</v>
      </c>
      <c r="J159" s="51">
        <v>0</v>
      </c>
      <c r="K159" s="3">
        <f t="shared" si="62"/>
        <v>10000</v>
      </c>
    </row>
    <row r="160" spans="1:11" x14ac:dyDescent="0.25">
      <c r="A160" s="258"/>
      <c r="B160" s="268"/>
      <c r="C160" s="10" t="s">
        <v>28</v>
      </c>
      <c r="D160" s="24">
        <v>24000</v>
      </c>
      <c r="E160" s="11"/>
      <c r="F160" s="11"/>
      <c r="G160" s="11"/>
      <c r="H160" s="11"/>
      <c r="I160" s="20">
        <f t="shared" si="61"/>
        <v>24000</v>
      </c>
      <c r="J160" s="51">
        <v>0</v>
      </c>
      <c r="K160" s="3">
        <f t="shared" si="62"/>
        <v>24000</v>
      </c>
    </row>
    <row r="161" spans="1:11" x14ac:dyDescent="0.25">
      <c r="A161" s="258"/>
      <c r="B161" s="268"/>
      <c r="C161" s="10" t="s">
        <v>29</v>
      </c>
      <c r="D161" s="24">
        <v>75000</v>
      </c>
      <c r="E161" s="11"/>
      <c r="F161" s="11"/>
      <c r="G161" s="11"/>
      <c r="H161" s="11"/>
      <c r="I161" s="20">
        <f t="shared" si="61"/>
        <v>75000</v>
      </c>
      <c r="J161" s="51">
        <v>0</v>
      </c>
      <c r="K161" s="3">
        <f t="shared" si="62"/>
        <v>75000</v>
      </c>
    </row>
    <row r="162" spans="1:11" x14ac:dyDescent="0.25">
      <c r="A162" s="258"/>
      <c r="B162" s="268"/>
      <c r="C162" s="10" t="s">
        <v>30</v>
      </c>
      <c r="D162" s="24">
        <v>0</v>
      </c>
      <c r="E162" s="11"/>
      <c r="F162" s="11"/>
      <c r="G162" s="11"/>
      <c r="H162" s="11"/>
      <c r="I162" s="20">
        <f t="shared" si="61"/>
        <v>0</v>
      </c>
      <c r="J162" s="51">
        <v>0</v>
      </c>
      <c r="K162" s="3">
        <f t="shared" si="62"/>
        <v>0</v>
      </c>
    </row>
    <row r="163" spans="1:11" x14ac:dyDescent="0.25">
      <c r="A163" s="258"/>
      <c r="B163" s="268"/>
      <c r="C163" s="6" t="s">
        <v>53</v>
      </c>
      <c r="D163" s="7">
        <f>SUM(D157:D162)</f>
        <v>5589869</v>
      </c>
      <c r="E163" s="7">
        <f t="shared" ref="E163:K163" si="63">SUM(E157:E162)</f>
        <v>0</v>
      </c>
      <c r="F163" s="7">
        <f t="shared" si="63"/>
        <v>0</v>
      </c>
      <c r="G163" s="7">
        <f t="shared" si="63"/>
        <v>0</v>
      </c>
      <c r="H163" s="7">
        <f t="shared" si="63"/>
        <v>0</v>
      </c>
      <c r="I163" s="7">
        <f t="shared" si="63"/>
        <v>5589869</v>
      </c>
      <c r="J163" s="52">
        <f t="shared" si="63"/>
        <v>1200998</v>
      </c>
      <c r="K163" s="7">
        <f t="shared" si="63"/>
        <v>4388871</v>
      </c>
    </row>
    <row r="164" spans="1:11" x14ac:dyDescent="0.25">
      <c r="A164" s="258"/>
      <c r="B164" s="268"/>
      <c r="C164" s="6" t="s">
        <v>31</v>
      </c>
      <c r="D164" s="7">
        <v>1124913</v>
      </c>
      <c r="E164" s="7"/>
      <c r="F164" s="7"/>
      <c r="G164" s="7"/>
      <c r="H164" s="7"/>
      <c r="I164" s="21">
        <f t="shared" ref="I164" si="64">D164+E164+F164+G164+H164</f>
        <v>1124913</v>
      </c>
      <c r="J164" s="53">
        <v>241841</v>
      </c>
      <c r="K164" s="8">
        <f t="shared" ref="K164" si="65">I164-J164</f>
        <v>883072</v>
      </c>
    </row>
    <row r="165" spans="1:11" x14ac:dyDescent="0.25">
      <c r="A165" s="258"/>
      <c r="B165" s="268"/>
      <c r="C165" s="10" t="s">
        <v>32</v>
      </c>
      <c r="D165" s="24">
        <v>100000</v>
      </c>
      <c r="E165" s="11"/>
      <c r="F165" s="11"/>
      <c r="G165" s="11"/>
      <c r="H165" s="11"/>
      <c r="I165" s="20">
        <f t="shared" ref="I165:I173" si="66">D165+E165+F165+G165+H165</f>
        <v>100000</v>
      </c>
      <c r="J165" s="51">
        <v>0</v>
      </c>
      <c r="K165" s="3">
        <f t="shared" ref="K165:K173" si="67">I165-J165</f>
        <v>100000</v>
      </c>
    </row>
    <row r="166" spans="1:11" x14ac:dyDescent="0.25">
      <c r="A166" s="258"/>
      <c r="B166" s="268"/>
      <c r="C166" s="10" t="s">
        <v>33</v>
      </c>
      <c r="D166" s="24">
        <v>100000</v>
      </c>
      <c r="E166" s="11"/>
      <c r="F166" s="11"/>
      <c r="G166" s="11"/>
      <c r="H166" s="11"/>
      <c r="I166" s="20">
        <f t="shared" si="66"/>
        <v>100000</v>
      </c>
      <c r="J166" s="51">
        <v>0</v>
      </c>
      <c r="K166" s="3">
        <f t="shared" si="67"/>
        <v>100000</v>
      </c>
    </row>
    <row r="167" spans="1:11" x14ac:dyDescent="0.25">
      <c r="A167" s="258"/>
      <c r="B167" s="268"/>
      <c r="C167" s="10" t="s">
        <v>34</v>
      </c>
      <c r="D167" s="24">
        <v>100000</v>
      </c>
      <c r="E167" s="11"/>
      <c r="F167" s="11"/>
      <c r="G167" s="11"/>
      <c r="H167" s="11"/>
      <c r="I167" s="20">
        <f t="shared" si="66"/>
        <v>100000</v>
      </c>
      <c r="J167" s="51">
        <v>0</v>
      </c>
      <c r="K167" s="3">
        <f t="shared" si="67"/>
        <v>100000</v>
      </c>
    </row>
    <row r="168" spans="1:11" x14ac:dyDescent="0.25">
      <c r="A168" s="258"/>
      <c r="B168" s="268"/>
      <c r="C168" s="10" t="s">
        <v>35</v>
      </c>
      <c r="D168" s="24">
        <v>50000</v>
      </c>
      <c r="E168" s="11"/>
      <c r="F168" s="11"/>
      <c r="G168" s="11"/>
      <c r="H168" s="11"/>
      <c r="I168" s="20">
        <f t="shared" si="66"/>
        <v>50000</v>
      </c>
      <c r="J168" s="51">
        <v>0</v>
      </c>
      <c r="K168" s="3">
        <f t="shared" si="67"/>
        <v>50000</v>
      </c>
    </row>
    <row r="169" spans="1:11" x14ac:dyDescent="0.25">
      <c r="A169" s="258"/>
      <c r="B169" s="268"/>
      <c r="C169" s="10" t="s">
        <v>38</v>
      </c>
      <c r="D169" s="24">
        <v>140000</v>
      </c>
      <c r="E169" s="11"/>
      <c r="F169" s="11"/>
      <c r="G169" s="11"/>
      <c r="H169" s="11"/>
      <c r="I169" s="20">
        <f t="shared" si="66"/>
        <v>140000</v>
      </c>
      <c r="J169" s="51">
        <v>13994</v>
      </c>
      <c r="K169" s="3">
        <f t="shared" si="67"/>
        <v>126006</v>
      </c>
    </row>
    <row r="170" spans="1:11" x14ac:dyDescent="0.25">
      <c r="A170" s="258"/>
      <c r="B170" s="268"/>
      <c r="C170" s="10" t="s">
        <v>40</v>
      </c>
      <c r="D170" s="24">
        <v>15000</v>
      </c>
      <c r="E170" s="11"/>
      <c r="F170" s="11"/>
      <c r="G170" s="11"/>
      <c r="H170" s="11"/>
      <c r="I170" s="20">
        <f t="shared" si="66"/>
        <v>15000</v>
      </c>
      <c r="J170" s="51">
        <v>0</v>
      </c>
      <c r="K170" s="3">
        <f t="shared" si="67"/>
        <v>15000</v>
      </c>
    </row>
    <row r="171" spans="1:11" x14ac:dyDescent="0.25">
      <c r="A171" s="258"/>
      <c r="B171" s="268"/>
      <c r="C171" s="10" t="s">
        <v>41</v>
      </c>
      <c r="D171" s="24">
        <v>80000</v>
      </c>
      <c r="E171" s="11"/>
      <c r="F171" s="11"/>
      <c r="G171" s="11"/>
      <c r="H171" s="11"/>
      <c r="I171" s="20">
        <f t="shared" si="66"/>
        <v>80000</v>
      </c>
      <c r="J171" s="51">
        <v>25900</v>
      </c>
      <c r="K171" s="3">
        <f t="shared" si="67"/>
        <v>54100</v>
      </c>
    </row>
    <row r="172" spans="1:11" x14ac:dyDescent="0.25">
      <c r="A172" s="258"/>
      <c r="B172" s="268"/>
      <c r="C172" s="10" t="s">
        <v>42</v>
      </c>
      <c r="D172" s="24">
        <v>240000</v>
      </c>
      <c r="E172" s="11"/>
      <c r="F172" s="11"/>
      <c r="G172" s="11"/>
      <c r="H172" s="11"/>
      <c r="I172" s="20">
        <f t="shared" si="66"/>
        <v>240000</v>
      </c>
      <c r="J172" s="51">
        <v>64650</v>
      </c>
      <c r="K172" s="3">
        <f t="shared" si="67"/>
        <v>175350</v>
      </c>
    </row>
    <row r="173" spans="1:11" x14ac:dyDescent="0.25">
      <c r="A173" s="258"/>
      <c r="B173" s="268"/>
      <c r="C173" s="10" t="s">
        <v>44</v>
      </c>
      <c r="D173" s="24">
        <v>142900</v>
      </c>
      <c r="E173" s="11"/>
      <c r="F173" s="11"/>
      <c r="G173" s="11"/>
      <c r="H173" s="11"/>
      <c r="I173" s="20">
        <f t="shared" si="66"/>
        <v>142900</v>
      </c>
      <c r="J173" s="51">
        <v>10771</v>
      </c>
      <c r="K173" s="3">
        <f t="shared" si="67"/>
        <v>132129</v>
      </c>
    </row>
    <row r="174" spans="1:11" x14ac:dyDescent="0.25">
      <c r="A174" s="258"/>
      <c r="B174" s="268"/>
      <c r="C174" s="6" t="s">
        <v>49</v>
      </c>
      <c r="D174" s="7">
        <f>SUM(D165:D173)</f>
        <v>967900</v>
      </c>
      <c r="E174" s="7">
        <f t="shared" ref="E174:K174" si="68">SUM(E165:E173)</f>
        <v>0</v>
      </c>
      <c r="F174" s="7">
        <f t="shared" si="68"/>
        <v>0</v>
      </c>
      <c r="G174" s="7">
        <f t="shared" si="68"/>
        <v>0</v>
      </c>
      <c r="H174" s="7">
        <f t="shared" si="68"/>
        <v>0</v>
      </c>
      <c r="I174" s="7">
        <f t="shared" si="68"/>
        <v>967900</v>
      </c>
      <c r="J174" s="52">
        <f t="shared" si="68"/>
        <v>115315</v>
      </c>
      <c r="K174" s="7">
        <f t="shared" si="68"/>
        <v>852585</v>
      </c>
    </row>
    <row r="175" spans="1:11" x14ac:dyDescent="0.25">
      <c r="A175" s="255" t="s">
        <v>67</v>
      </c>
      <c r="B175" s="252" t="s">
        <v>23</v>
      </c>
      <c r="C175" s="25" t="s">
        <v>29</v>
      </c>
      <c r="D175" s="24">
        <v>157200</v>
      </c>
      <c r="E175" s="11"/>
      <c r="F175" s="11"/>
      <c r="G175" s="11"/>
      <c r="H175" s="11"/>
      <c r="I175" s="20">
        <f t="shared" ref="I175:I180" si="69">D175+E175+F175+G175+H175</f>
        <v>157200</v>
      </c>
      <c r="J175" s="51">
        <v>23700</v>
      </c>
      <c r="K175" s="3">
        <f t="shared" ref="K175:K180" si="70">I175-J175</f>
        <v>133500</v>
      </c>
    </row>
    <row r="176" spans="1:11" x14ac:dyDescent="0.25">
      <c r="A176" s="257"/>
      <c r="B176" s="254"/>
      <c r="C176" s="25" t="s">
        <v>31</v>
      </c>
      <c r="D176" s="24">
        <v>29213</v>
      </c>
      <c r="E176" s="11"/>
      <c r="F176" s="11"/>
      <c r="G176" s="11"/>
      <c r="H176" s="11"/>
      <c r="I176" s="20">
        <f t="shared" si="69"/>
        <v>29213</v>
      </c>
      <c r="J176" s="51">
        <v>4621</v>
      </c>
      <c r="K176" s="3">
        <f t="shared" si="70"/>
        <v>24592</v>
      </c>
    </row>
    <row r="177" spans="1:11" x14ac:dyDescent="0.25">
      <c r="A177" s="255" t="s">
        <v>75</v>
      </c>
      <c r="B177" s="252" t="s">
        <v>23</v>
      </c>
      <c r="C177" s="15" t="s">
        <v>24</v>
      </c>
      <c r="D177" s="24">
        <v>1604509</v>
      </c>
      <c r="E177" s="11"/>
      <c r="F177" s="11"/>
      <c r="G177" s="11"/>
      <c r="H177" s="11"/>
      <c r="I177" s="20">
        <f t="shared" si="69"/>
        <v>1604509</v>
      </c>
      <c r="J177" s="51">
        <v>406620</v>
      </c>
      <c r="K177" s="3">
        <f t="shared" si="70"/>
        <v>1197889</v>
      </c>
    </row>
    <row r="178" spans="1:11" x14ac:dyDescent="0.25">
      <c r="A178" s="257"/>
      <c r="B178" s="254"/>
      <c r="C178" s="15" t="s">
        <v>31</v>
      </c>
      <c r="D178" s="24">
        <v>299119</v>
      </c>
      <c r="E178" s="11"/>
      <c r="F178" s="11"/>
      <c r="G178" s="11"/>
      <c r="H178" s="11"/>
      <c r="I178" s="20">
        <f t="shared" si="69"/>
        <v>299119</v>
      </c>
      <c r="J178" s="51">
        <v>79292</v>
      </c>
      <c r="K178" s="3">
        <f t="shared" si="70"/>
        <v>219827</v>
      </c>
    </row>
    <row r="179" spans="1:11" s="29" customFormat="1" ht="27" customHeight="1" x14ac:dyDescent="0.25">
      <c r="A179" s="282" t="s">
        <v>80</v>
      </c>
      <c r="B179" s="282"/>
      <c r="C179" s="282"/>
      <c r="D179" s="42">
        <f>SUM(D163+D164+D174+D175+D176+D177+D178)</f>
        <v>9772723</v>
      </c>
      <c r="E179" s="42">
        <f t="shared" ref="E179:K179" si="71">SUM(E163+E164+E174+E175+E176+E177+E178)</f>
        <v>0</v>
      </c>
      <c r="F179" s="42">
        <f t="shared" si="71"/>
        <v>0</v>
      </c>
      <c r="G179" s="42">
        <f t="shared" si="71"/>
        <v>0</v>
      </c>
      <c r="H179" s="42">
        <f t="shared" si="71"/>
        <v>0</v>
      </c>
      <c r="I179" s="42">
        <f t="shared" si="71"/>
        <v>9772723</v>
      </c>
      <c r="J179" s="55">
        <f t="shared" si="71"/>
        <v>2072387</v>
      </c>
      <c r="K179" s="42">
        <f t="shared" si="71"/>
        <v>7700336</v>
      </c>
    </row>
    <row r="180" spans="1:11" s="45" customFormat="1" ht="13.5" customHeight="1" x14ac:dyDescent="0.25">
      <c r="A180" s="258" t="s">
        <v>15</v>
      </c>
      <c r="B180" s="252" t="s">
        <v>23</v>
      </c>
      <c r="C180" s="43" t="s">
        <v>24</v>
      </c>
      <c r="D180" s="44">
        <v>11144060</v>
      </c>
      <c r="E180" s="44"/>
      <c r="F180" s="44"/>
      <c r="G180" s="44"/>
      <c r="H180" s="44"/>
      <c r="I180" s="20">
        <f t="shared" si="69"/>
        <v>11144060</v>
      </c>
      <c r="J180" s="56">
        <v>570500</v>
      </c>
      <c r="K180" s="3">
        <f t="shared" si="70"/>
        <v>10573560</v>
      </c>
    </row>
    <row r="181" spans="1:11" x14ac:dyDescent="0.25">
      <c r="A181" s="258"/>
      <c r="B181" s="253"/>
      <c r="C181" s="6" t="s">
        <v>53</v>
      </c>
      <c r="D181" s="7">
        <f>D180</f>
        <v>11144060</v>
      </c>
      <c r="E181" s="7"/>
      <c r="F181" s="7"/>
      <c r="G181" s="7"/>
      <c r="H181" s="7"/>
      <c r="I181" s="8">
        <f t="shared" ref="I181:I182" si="72">D181+E181+F181+G181+H181</f>
        <v>11144060</v>
      </c>
      <c r="J181" s="53">
        <f>SUM(J180)</f>
        <v>570500</v>
      </c>
      <c r="K181" s="8">
        <f t="shared" ref="K181:K182" si="73">I181-J181</f>
        <v>10573560</v>
      </c>
    </row>
    <row r="182" spans="1:11" x14ac:dyDescent="0.25">
      <c r="A182" s="258"/>
      <c r="B182" s="253"/>
      <c r="C182" s="6" t="s">
        <v>31</v>
      </c>
      <c r="D182" s="7">
        <v>2295657</v>
      </c>
      <c r="E182" s="7"/>
      <c r="F182" s="7"/>
      <c r="G182" s="7"/>
      <c r="H182" s="7"/>
      <c r="I182" s="8">
        <f t="shared" si="72"/>
        <v>2295657</v>
      </c>
      <c r="J182" s="53">
        <v>111248</v>
      </c>
      <c r="K182" s="8">
        <f t="shared" si="73"/>
        <v>2184409</v>
      </c>
    </row>
    <row r="183" spans="1:11" x14ac:dyDescent="0.25">
      <c r="A183" s="258"/>
      <c r="B183" s="253"/>
      <c r="C183" s="10" t="s">
        <v>33</v>
      </c>
      <c r="D183" s="3">
        <v>90000</v>
      </c>
      <c r="E183" s="3"/>
      <c r="F183" s="3"/>
      <c r="G183" s="3"/>
      <c r="H183" s="3"/>
      <c r="I183" s="3">
        <f t="shared" ref="I183:I190" si="74">D183+E183+F183+G183+H183</f>
        <v>90000</v>
      </c>
      <c r="J183" s="51">
        <v>0</v>
      </c>
      <c r="K183" s="3">
        <f t="shared" ref="K183:K190" si="75">I183-J183</f>
        <v>90000</v>
      </c>
    </row>
    <row r="184" spans="1:11" x14ac:dyDescent="0.25">
      <c r="A184" s="258"/>
      <c r="B184" s="253"/>
      <c r="C184" s="10" t="s">
        <v>37</v>
      </c>
      <c r="D184" s="3">
        <v>230000</v>
      </c>
      <c r="E184" s="3"/>
      <c r="F184" s="3"/>
      <c r="G184" s="3"/>
      <c r="H184" s="3"/>
      <c r="I184" s="3">
        <f t="shared" si="74"/>
        <v>230000</v>
      </c>
      <c r="J184" s="51">
        <v>0</v>
      </c>
      <c r="K184" s="3">
        <f t="shared" si="75"/>
        <v>230000</v>
      </c>
    </row>
    <row r="185" spans="1:11" x14ac:dyDescent="0.25">
      <c r="A185" s="258"/>
      <c r="B185" s="253"/>
      <c r="C185" s="10" t="s">
        <v>40</v>
      </c>
      <c r="D185" s="3">
        <v>14850000</v>
      </c>
      <c r="E185" s="3"/>
      <c r="F185" s="3"/>
      <c r="G185" s="3"/>
      <c r="H185" s="3"/>
      <c r="I185" s="3">
        <f t="shared" si="74"/>
        <v>14850000</v>
      </c>
      <c r="J185" s="51">
        <v>0</v>
      </c>
      <c r="K185" s="3">
        <f t="shared" si="75"/>
        <v>14850000</v>
      </c>
    </row>
    <row r="186" spans="1:11" x14ac:dyDescent="0.25">
      <c r="A186" s="258"/>
      <c r="B186" s="253"/>
      <c r="C186" s="10" t="s">
        <v>41</v>
      </c>
      <c r="D186" s="3">
        <v>25112271</v>
      </c>
      <c r="E186" s="3"/>
      <c r="F186" s="3"/>
      <c r="G186" s="3"/>
      <c r="H186" s="3"/>
      <c r="I186" s="3">
        <f t="shared" si="74"/>
        <v>25112271</v>
      </c>
      <c r="J186" s="51">
        <v>0</v>
      </c>
      <c r="K186" s="3">
        <f t="shared" si="75"/>
        <v>25112271</v>
      </c>
    </row>
    <row r="187" spans="1:11" x14ac:dyDescent="0.25">
      <c r="A187" s="258"/>
      <c r="B187" s="253"/>
      <c r="C187" s="10" t="s">
        <v>42</v>
      </c>
      <c r="D187" s="3">
        <v>230000</v>
      </c>
      <c r="E187" s="3"/>
      <c r="F187" s="3"/>
      <c r="G187" s="3"/>
      <c r="H187" s="3"/>
      <c r="I187" s="3">
        <f t="shared" si="74"/>
        <v>230000</v>
      </c>
      <c r="J187" s="51">
        <v>0</v>
      </c>
      <c r="K187" s="3">
        <f t="shared" si="75"/>
        <v>230000</v>
      </c>
    </row>
    <row r="188" spans="1:11" x14ac:dyDescent="0.25">
      <c r="A188" s="258"/>
      <c r="B188" s="253"/>
      <c r="C188" s="10" t="s">
        <v>43</v>
      </c>
      <c r="D188" s="3">
        <v>230000</v>
      </c>
      <c r="E188" s="3"/>
      <c r="F188" s="3"/>
      <c r="G188" s="3"/>
      <c r="H188" s="3"/>
      <c r="I188" s="3">
        <f t="shared" si="74"/>
        <v>230000</v>
      </c>
      <c r="J188" s="51">
        <v>0</v>
      </c>
      <c r="K188" s="3">
        <f t="shared" si="75"/>
        <v>230000</v>
      </c>
    </row>
    <row r="189" spans="1:11" x14ac:dyDescent="0.25">
      <c r="A189" s="258"/>
      <c r="B189" s="253"/>
      <c r="C189" s="10" t="s">
        <v>44</v>
      </c>
      <c r="D189" s="3">
        <v>5677830</v>
      </c>
      <c r="E189" s="3"/>
      <c r="F189" s="3"/>
      <c r="G189" s="3"/>
      <c r="H189" s="3"/>
      <c r="I189" s="3">
        <f t="shared" si="74"/>
        <v>5677830</v>
      </c>
      <c r="J189" s="51">
        <v>0</v>
      </c>
      <c r="K189" s="3">
        <f t="shared" si="75"/>
        <v>5677830</v>
      </c>
    </row>
    <row r="190" spans="1:11" x14ac:dyDescent="0.25">
      <c r="A190" s="258"/>
      <c r="B190" s="253"/>
      <c r="C190" s="10" t="s">
        <v>45</v>
      </c>
      <c r="D190" s="3">
        <v>229990</v>
      </c>
      <c r="E190" s="3"/>
      <c r="F190" s="3"/>
      <c r="G190" s="3"/>
      <c r="H190" s="3"/>
      <c r="I190" s="3">
        <f t="shared" si="74"/>
        <v>229990</v>
      </c>
      <c r="J190" s="51">
        <v>0</v>
      </c>
      <c r="K190" s="3">
        <f t="shared" si="75"/>
        <v>229990</v>
      </c>
    </row>
    <row r="191" spans="1:11" x14ac:dyDescent="0.25">
      <c r="A191" s="258"/>
      <c r="B191" s="253"/>
      <c r="C191" s="6" t="s">
        <v>49</v>
      </c>
      <c r="D191" s="7">
        <f>SUM(D183:D190)</f>
        <v>46650091</v>
      </c>
      <c r="E191" s="7">
        <f t="shared" ref="E191:K191" si="76">SUM(E183:E190)</f>
        <v>0</v>
      </c>
      <c r="F191" s="7">
        <f t="shared" si="76"/>
        <v>0</v>
      </c>
      <c r="G191" s="7">
        <f t="shared" si="76"/>
        <v>0</v>
      </c>
      <c r="H191" s="7">
        <f t="shared" si="76"/>
        <v>0</v>
      </c>
      <c r="I191" s="7">
        <f t="shared" si="76"/>
        <v>46650091</v>
      </c>
      <c r="J191" s="52">
        <f t="shared" si="76"/>
        <v>0</v>
      </c>
      <c r="K191" s="7">
        <f t="shared" si="76"/>
        <v>46650091</v>
      </c>
    </row>
    <row r="192" spans="1:11" x14ac:dyDescent="0.25">
      <c r="A192" s="258"/>
      <c r="B192" s="253"/>
      <c r="C192" s="10" t="s">
        <v>56</v>
      </c>
      <c r="D192" s="3">
        <v>0</v>
      </c>
      <c r="E192" s="3"/>
      <c r="F192" s="3"/>
      <c r="G192" s="3"/>
      <c r="H192" s="3"/>
      <c r="I192" s="3">
        <f t="shared" ref="I192:I194" si="77">D192+E192+F192+G192+H192</f>
        <v>0</v>
      </c>
      <c r="J192" s="51">
        <v>0</v>
      </c>
      <c r="K192" s="3">
        <f t="shared" ref="K192:K194" si="78">I192-J192</f>
        <v>0</v>
      </c>
    </row>
    <row r="193" spans="1:11" x14ac:dyDescent="0.25">
      <c r="A193" s="258"/>
      <c r="B193" s="253"/>
      <c r="C193" s="10" t="s">
        <v>50</v>
      </c>
      <c r="D193" s="3">
        <v>3740</v>
      </c>
      <c r="E193" s="3"/>
      <c r="F193" s="3"/>
      <c r="G193" s="3"/>
      <c r="H193" s="3"/>
      <c r="I193" s="3">
        <f t="shared" si="77"/>
        <v>3740</v>
      </c>
      <c r="J193" s="51">
        <v>0</v>
      </c>
      <c r="K193" s="3">
        <f t="shared" si="78"/>
        <v>3740</v>
      </c>
    </row>
    <row r="194" spans="1:11" x14ac:dyDescent="0.25">
      <c r="A194" s="258"/>
      <c r="B194" s="253"/>
      <c r="C194" s="10" t="s">
        <v>51</v>
      </c>
      <c r="D194" s="3">
        <v>1010</v>
      </c>
      <c r="E194" s="3"/>
      <c r="F194" s="3"/>
      <c r="G194" s="3"/>
      <c r="H194" s="3"/>
      <c r="I194" s="3">
        <f t="shared" si="77"/>
        <v>1010</v>
      </c>
      <c r="J194" s="51">
        <v>0</v>
      </c>
      <c r="K194" s="3">
        <f t="shared" si="78"/>
        <v>1010</v>
      </c>
    </row>
    <row r="195" spans="1:11" x14ac:dyDescent="0.25">
      <c r="A195" s="258"/>
      <c r="B195" s="253"/>
      <c r="C195" s="6" t="s">
        <v>52</v>
      </c>
      <c r="D195" s="7">
        <f>SUM(D192:D194)</f>
        <v>4750</v>
      </c>
      <c r="E195" s="7">
        <f t="shared" ref="E195:K195" si="79">SUM(E192:E194)</f>
        <v>0</v>
      </c>
      <c r="F195" s="7">
        <f t="shared" si="79"/>
        <v>0</v>
      </c>
      <c r="G195" s="7">
        <f t="shared" si="79"/>
        <v>0</v>
      </c>
      <c r="H195" s="7">
        <f t="shared" si="79"/>
        <v>0</v>
      </c>
      <c r="I195" s="7">
        <f t="shared" si="79"/>
        <v>4750</v>
      </c>
      <c r="J195" s="52">
        <f t="shared" si="79"/>
        <v>0</v>
      </c>
      <c r="K195" s="7">
        <f t="shared" si="79"/>
        <v>4750</v>
      </c>
    </row>
    <row r="196" spans="1:11" x14ac:dyDescent="0.25">
      <c r="A196" s="258"/>
      <c r="B196" s="254"/>
      <c r="C196" s="10" t="s">
        <v>57</v>
      </c>
      <c r="D196" s="3">
        <v>0</v>
      </c>
      <c r="E196" s="3"/>
      <c r="F196" s="3"/>
      <c r="G196" s="3"/>
      <c r="H196" s="3"/>
      <c r="I196" s="3">
        <f t="shared" ref="I196" si="80">D196+E196+F196+G196+H196</f>
        <v>0</v>
      </c>
      <c r="J196" s="51">
        <v>0</v>
      </c>
      <c r="K196" s="3">
        <f t="shared" ref="K196" si="81">I196-J196</f>
        <v>0</v>
      </c>
    </row>
    <row r="197" spans="1:11" s="31" customFormat="1" ht="27" customHeight="1" x14ac:dyDescent="0.25">
      <c r="A197" s="264" t="s">
        <v>81</v>
      </c>
      <c r="B197" s="265"/>
      <c r="C197" s="266"/>
      <c r="D197" s="22">
        <f>SUM(D181+D182+D191+D195+D196)</f>
        <v>60094558</v>
      </c>
      <c r="E197" s="22">
        <f t="shared" ref="E197:K197" si="82">SUM(E181+E182+E191+E195+E196)</f>
        <v>0</v>
      </c>
      <c r="F197" s="22">
        <f t="shared" si="82"/>
        <v>0</v>
      </c>
      <c r="G197" s="22">
        <f t="shared" si="82"/>
        <v>0</v>
      </c>
      <c r="H197" s="22">
        <f t="shared" si="82"/>
        <v>0</v>
      </c>
      <c r="I197" s="22">
        <f t="shared" si="82"/>
        <v>60094558</v>
      </c>
      <c r="J197" s="54">
        <f t="shared" si="82"/>
        <v>681748</v>
      </c>
      <c r="K197" s="22">
        <f t="shared" si="82"/>
        <v>59412810</v>
      </c>
    </row>
    <row r="198" spans="1:11" ht="15.75" customHeight="1" x14ac:dyDescent="0.25">
      <c r="A198" s="256" t="s">
        <v>85</v>
      </c>
      <c r="B198" s="252" t="s">
        <v>46</v>
      </c>
      <c r="C198" s="12" t="s">
        <v>24</v>
      </c>
      <c r="D198" s="3">
        <v>9880165</v>
      </c>
      <c r="E198" s="3">
        <f>-145472-38261</f>
        <v>-183733</v>
      </c>
      <c r="F198" s="3"/>
      <c r="G198" s="3"/>
      <c r="H198" s="3"/>
      <c r="I198" s="20">
        <f t="shared" ref="I198:I203" si="83">D198+E198+F198+G198+H198</f>
        <v>9696432</v>
      </c>
      <c r="J198" s="51">
        <v>2097889</v>
      </c>
      <c r="K198" s="3">
        <f t="shared" ref="K198:K203" si="84">I198-J198</f>
        <v>7598543</v>
      </c>
    </row>
    <row r="199" spans="1:11" x14ac:dyDescent="0.25">
      <c r="A199" s="256"/>
      <c r="B199" s="253"/>
      <c r="C199" s="12" t="s">
        <v>25</v>
      </c>
      <c r="D199" s="3">
        <v>400000</v>
      </c>
      <c r="E199" s="3"/>
      <c r="F199" s="3"/>
      <c r="G199" s="3"/>
      <c r="H199" s="3"/>
      <c r="I199" s="20">
        <f t="shared" si="83"/>
        <v>400000</v>
      </c>
      <c r="J199" s="51">
        <v>0</v>
      </c>
      <c r="K199" s="3">
        <f t="shared" si="84"/>
        <v>400000</v>
      </c>
    </row>
    <row r="200" spans="1:11" x14ac:dyDescent="0.25">
      <c r="A200" s="256"/>
      <c r="B200" s="253"/>
      <c r="C200" s="12" t="s">
        <v>26</v>
      </c>
      <c r="D200" s="3">
        <v>20000</v>
      </c>
      <c r="E200" s="3"/>
      <c r="F200" s="3"/>
      <c r="G200" s="3"/>
      <c r="H200" s="3"/>
      <c r="I200" s="20">
        <f t="shared" si="83"/>
        <v>20000</v>
      </c>
      <c r="J200" s="51">
        <v>0</v>
      </c>
      <c r="K200" s="3">
        <f t="shared" si="84"/>
        <v>20000</v>
      </c>
    </row>
    <row r="201" spans="1:11" x14ac:dyDescent="0.25">
      <c r="A201" s="256"/>
      <c r="B201" s="253"/>
      <c r="C201" s="2" t="s">
        <v>27</v>
      </c>
      <c r="D201" s="3">
        <v>75000</v>
      </c>
      <c r="E201" s="3"/>
      <c r="F201" s="3"/>
      <c r="G201" s="3"/>
      <c r="H201" s="3"/>
      <c r="I201" s="20">
        <f t="shared" si="83"/>
        <v>75000</v>
      </c>
      <c r="J201" s="51">
        <v>0</v>
      </c>
      <c r="K201" s="3">
        <f t="shared" si="84"/>
        <v>75000</v>
      </c>
    </row>
    <row r="202" spans="1:11" x14ac:dyDescent="0.25">
      <c r="A202" s="256"/>
      <c r="B202" s="253"/>
      <c r="C202" s="2" t="s">
        <v>28</v>
      </c>
      <c r="D202" s="3">
        <v>48000</v>
      </c>
      <c r="E202" s="3"/>
      <c r="F202" s="3"/>
      <c r="G202" s="3"/>
      <c r="H202" s="3"/>
      <c r="I202" s="20">
        <f t="shared" si="83"/>
        <v>48000</v>
      </c>
      <c r="J202" s="51">
        <v>0</v>
      </c>
      <c r="K202" s="3">
        <f t="shared" si="84"/>
        <v>48000</v>
      </c>
    </row>
    <row r="203" spans="1:11" x14ac:dyDescent="0.25">
      <c r="A203" s="256"/>
      <c r="B203" s="253"/>
      <c r="C203" s="2" t="s">
        <v>29</v>
      </c>
      <c r="D203" s="3">
        <v>264000</v>
      </c>
      <c r="E203" s="3">
        <f>145472+38261</f>
        <v>183733</v>
      </c>
      <c r="F203" s="3"/>
      <c r="G203" s="3"/>
      <c r="H203" s="3"/>
      <c r="I203" s="20">
        <f t="shared" si="83"/>
        <v>447733</v>
      </c>
      <c r="J203" s="51">
        <v>226853</v>
      </c>
      <c r="K203" s="3">
        <f t="shared" si="84"/>
        <v>220880</v>
      </c>
    </row>
    <row r="204" spans="1:11" x14ac:dyDescent="0.25">
      <c r="A204" s="256"/>
      <c r="B204" s="253"/>
      <c r="C204" s="26" t="s">
        <v>53</v>
      </c>
      <c r="D204" s="7">
        <f>SUM(D198:D203)</f>
        <v>10687165</v>
      </c>
      <c r="E204" s="7">
        <f t="shared" ref="E204:K204" si="85">SUM(E198:E203)</f>
        <v>0</v>
      </c>
      <c r="F204" s="7">
        <f t="shared" si="85"/>
        <v>0</v>
      </c>
      <c r="G204" s="7">
        <f t="shared" si="85"/>
        <v>0</v>
      </c>
      <c r="H204" s="7">
        <f t="shared" si="85"/>
        <v>0</v>
      </c>
      <c r="I204" s="7">
        <f t="shared" si="85"/>
        <v>10687165</v>
      </c>
      <c r="J204" s="52">
        <f t="shared" si="85"/>
        <v>2324742</v>
      </c>
      <c r="K204" s="7">
        <f t="shared" si="85"/>
        <v>8362423</v>
      </c>
    </row>
    <row r="205" spans="1:11" x14ac:dyDescent="0.25">
      <c r="A205" s="256"/>
      <c r="B205" s="253"/>
      <c r="C205" s="27" t="s">
        <v>31</v>
      </c>
      <c r="D205" s="28">
        <v>2120857</v>
      </c>
      <c r="E205" s="13"/>
      <c r="F205" s="13"/>
      <c r="G205" s="13"/>
      <c r="H205" s="13"/>
      <c r="I205" s="21">
        <f t="shared" ref="I205:I209" si="86">D205+E205+F205+G205+H205</f>
        <v>2120857</v>
      </c>
      <c r="J205" s="53">
        <v>450721</v>
      </c>
      <c r="K205" s="8">
        <f t="shared" ref="K205:K209" si="87">I205-J205</f>
        <v>1670136</v>
      </c>
    </row>
    <row r="206" spans="1:11" s="48" customFormat="1" x14ac:dyDescent="0.25">
      <c r="A206" s="256"/>
      <c r="B206" s="253"/>
      <c r="C206" s="46" t="s">
        <v>35</v>
      </c>
      <c r="D206" s="47">
        <v>0</v>
      </c>
      <c r="E206" s="47">
        <v>172800</v>
      </c>
      <c r="F206" s="47"/>
      <c r="G206" s="47"/>
      <c r="H206" s="47"/>
      <c r="I206" s="20">
        <f t="shared" si="86"/>
        <v>172800</v>
      </c>
      <c r="J206" s="57">
        <v>12212</v>
      </c>
      <c r="K206" s="3">
        <f t="shared" si="87"/>
        <v>160588</v>
      </c>
    </row>
    <row r="207" spans="1:11" s="48" customFormat="1" x14ac:dyDescent="0.25">
      <c r="A207" s="256"/>
      <c r="B207" s="253"/>
      <c r="C207" s="46" t="s">
        <v>42</v>
      </c>
      <c r="D207" s="47">
        <v>0</v>
      </c>
      <c r="E207" s="47">
        <f>9980+34080</f>
        <v>44060</v>
      </c>
      <c r="F207" s="47"/>
      <c r="G207" s="47"/>
      <c r="H207" s="47"/>
      <c r="I207" s="20">
        <f t="shared" si="86"/>
        <v>44060</v>
      </c>
      <c r="J207" s="57">
        <v>44060</v>
      </c>
      <c r="K207" s="3">
        <f t="shared" si="87"/>
        <v>0</v>
      </c>
    </row>
    <row r="208" spans="1:11" s="48" customFormat="1" x14ac:dyDescent="0.25">
      <c r="A208" s="256"/>
      <c r="B208" s="253"/>
      <c r="C208" s="46" t="s">
        <v>44</v>
      </c>
      <c r="D208" s="47">
        <v>0</v>
      </c>
      <c r="E208" s="47">
        <v>60140</v>
      </c>
      <c r="F208" s="47"/>
      <c r="G208" s="47"/>
      <c r="H208" s="47"/>
      <c r="I208" s="20">
        <f t="shared" si="86"/>
        <v>60140</v>
      </c>
      <c r="J208" s="57">
        <v>23763</v>
      </c>
      <c r="K208" s="3">
        <f t="shared" si="87"/>
        <v>36377</v>
      </c>
    </row>
    <row r="209" spans="1:11" s="48" customFormat="1" x14ac:dyDescent="0.25">
      <c r="A209" s="256"/>
      <c r="B209" s="253"/>
      <c r="C209" s="46" t="s">
        <v>45</v>
      </c>
      <c r="D209" s="47">
        <v>0</v>
      </c>
      <c r="E209" s="47">
        <f>166879+4236+88139</f>
        <v>259254</v>
      </c>
      <c r="F209" s="47"/>
      <c r="G209" s="47"/>
      <c r="H209" s="47"/>
      <c r="I209" s="20">
        <f t="shared" si="86"/>
        <v>259254</v>
      </c>
      <c r="J209" s="57">
        <v>166879</v>
      </c>
      <c r="K209" s="60">
        <f t="shared" si="87"/>
        <v>92375</v>
      </c>
    </row>
    <row r="210" spans="1:11" s="48" customFormat="1" x14ac:dyDescent="0.25">
      <c r="A210" s="257"/>
      <c r="B210" s="254"/>
      <c r="C210" s="49" t="s">
        <v>49</v>
      </c>
      <c r="D210" s="50">
        <f>SUM(D206:D209)</f>
        <v>0</v>
      </c>
      <c r="E210" s="50">
        <f t="shared" ref="E210:K210" si="88">SUM(E206:E209)</f>
        <v>536254</v>
      </c>
      <c r="F210" s="50">
        <f t="shared" si="88"/>
        <v>0</v>
      </c>
      <c r="G210" s="50">
        <f t="shared" si="88"/>
        <v>0</v>
      </c>
      <c r="H210" s="50">
        <f t="shared" si="88"/>
        <v>0</v>
      </c>
      <c r="I210" s="50">
        <f t="shared" si="88"/>
        <v>536254</v>
      </c>
      <c r="J210" s="58">
        <f t="shared" si="88"/>
        <v>246914</v>
      </c>
      <c r="K210" s="50">
        <f t="shared" si="88"/>
        <v>289340</v>
      </c>
    </row>
    <row r="211" spans="1:11" x14ac:dyDescent="0.25">
      <c r="A211" s="258" t="s">
        <v>68</v>
      </c>
      <c r="B211" s="267" t="s">
        <v>46</v>
      </c>
      <c r="C211" s="16" t="s">
        <v>24</v>
      </c>
      <c r="D211" s="17">
        <v>2501556</v>
      </c>
      <c r="E211" s="17"/>
      <c r="F211" s="17"/>
      <c r="G211" s="17"/>
      <c r="H211" s="17"/>
      <c r="I211" s="20">
        <f>D211+E211+F211+G211+H211</f>
        <v>2501556</v>
      </c>
      <c r="J211" s="51">
        <v>592871</v>
      </c>
      <c r="K211" s="3">
        <f t="shared" ref="K211:K212" si="89">I211-J211</f>
        <v>1908685</v>
      </c>
    </row>
    <row r="212" spans="1:11" x14ac:dyDescent="0.25">
      <c r="A212" s="255"/>
      <c r="B212" s="261"/>
      <c r="C212" s="18" t="s">
        <v>31</v>
      </c>
      <c r="D212" s="19">
        <v>466569</v>
      </c>
      <c r="E212" s="19"/>
      <c r="F212" s="19"/>
      <c r="G212" s="19"/>
      <c r="H212" s="19"/>
      <c r="I212" s="20">
        <f t="shared" ref="I212" si="90">D212+E212+F212+G212+H212</f>
        <v>466569</v>
      </c>
      <c r="J212" s="51">
        <v>115607</v>
      </c>
      <c r="K212" s="3">
        <f t="shared" si="89"/>
        <v>350962</v>
      </c>
    </row>
    <row r="213" spans="1:11" s="29" customFormat="1" ht="27" customHeight="1" x14ac:dyDescent="0.25">
      <c r="A213" s="264" t="s">
        <v>82</v>
      </c>
      <c r="B213" s="265"/>
      <c r="C213" s="266"/>
      <c r="D213" s="32">
        <f>SUM(D204+D205+D211+D212+D210)</f>
        <v>15776147</v>
      </c>
      <c r="E213" s="32">
        <f t="shared" ref="E213:H213" si="91">SUM(E204+E205+E211+E212+E210)</f>
        <v>536254</v>
      </c>
      <c r="F213" s="32">
        <f t="shared" si="91"/>
        <v>0</v>
      </c>
      <c r="G213" s="32">
        <f t="shared" si="91"/>
        <v>0</v>
      </c>
      <c r="H213" s="32">
        <f t="shared" si="91"/>
        <v>0</v>
      </c>
      <c r="I213" s="32">
        <f>SUM(I204+I205+I211+I212+I210)</f>
        <v>16312401</v>
      </c>
      <c r="J213" s="59">
        <f>SUM(J204+J205+J211+J212+J210)</f>
        <v>3730855</v>
      </c>
      <c r="K213" s="59">
        <f>SUM(K204+K205+K211+K212+K210)</f>
        <v>12581546</v>
      </c>
    </row>
    <row r="214" spans="1:11" s="23" customFormat="1" ht="27" customHeight="1" x14ac:dyDescent="0.25">
      <c r="A214" s="264" t="s">
        <v>74</v>
      </c>
      <c r="B214" s="265"/>
      <c r="C214" s="266"/>
      <c r="D214" s="22">
        <f t="shared" ref="D214:J214" si="92">SUM(D88+D113+D135+D156+D179+D197+D213)</f>
        <v>230443641</v>
      </c>
      <c r="E214" s="22">
        <f t="shared" si="92"/>
        <v>0</v>
      </c>
      <c r="F214" s="22">
        <f t="shared" si="92"/>
        <v>0</v>
      </c>
      <c r="G214" s="22">
        <f t="shared" si="92"/>
        <v>0</v>
      </c>
      <c r="H214" s="22">
        <f t="shared" si="92"/>
        <v>0</v>
      </c>
      <c r="I214" s="22">
        <f t="shared" si="92"/>
        <v>230443641</v>
      </c>
      <c r="J214" s="22">
        <f t="shared" si="92"/>
        <v>35812995</v>
      </c>
      <c r="K214" s="22">
        <f>SUM(K88+K113+K135+K156+K179+K197+K213)</f>
        <v>194630646</v>
      </c>
    </row>
    <row r="220" spans="1:11" ht="15.75" thickBot="1" x14ac:dyDescent="0.3"/>
    <row r="221" spans="1:11" ht="15.75" thickTop="1" x14ac:dyDescent="0.25">
      <c r="A221" s="250" t="s">
        <v>83</v>
      </c>
      <c r="B221" s="250"/>
      <c r="C221" s="250"/>
      <c r="D221" s="250"/>
      <c r="E221" s="250"/>
      <c r="F221" s="250"/>
      <c r="G221" s="250"/>
      <c r="H221" s="250"/>
      <c r="I221" s="250"/>
      <c r="J221" s="250"/>
    </row>
    <row r="222" spans="1:11" x14ac:dyDescent="0.25">
      <c r="A222" s="251" t="s">
        <v>0</v>
      </c>
      <c r="B222" s="251"/>
      <c r="C222" s="62" t="s">
        <v>3</v>
      </c>
      <c r="D222" s="63" t="s">
        <v>4</v>
      </c>
      <c r="E222" s="63" t="s">
        <v>70</v>
      </c>
      <c r="F222" s="63"/>
      <c r="G222" s="63"/>
      <c r="H222" s="63"/>
      <c r="I222" s="63" t="s">
        <v>89</v>
      </c>
      <c r="J222" s="64" t="s">
        <v>5</v>
      </c>
    </row>
    <row r="223" spans="1:11" x14ac:dyDescent="0.25">
      <c r="A223" s="251"/>
      <c r="B223" s="251"/>
      <c r="C223" s="33" t="s">
        <v>16</v>
      </c>
      <c r="D223" s="61">
        <f>D5+D14+D16+D18+D20+D22</f>
        <v>117230959</v>
      </c>
      <c r="E223" s="61">
        <f t="shared" ref="E223:J223" si="93">E5+E14+E16+E18+E20+E22</f>
        <v>0</v>
      </c>
      <c r="F223" s="61">
        <f t="shared" si="93"/>
        <v>0</v>
      </c>
      <c r="G223" s="61">
        <f t="shared" si="93"/>
        <v>0</v>
      </c>
      <c r="H223" s="61">
        <f t="shared" si="93"/>
        <v>0</v>
      </c>
      <c r="I223" s="61">
        <f t="shared" si="93"/>
        <v>117230959</v>
      </c>
      <c r="J223" s="61">
        <f t="shared" si="93"/>
        <v>10727934</v>
      </c>
    </row>
    <row r="224" spans="1:11" x14ac:dyDescent="0.25">
      <c r="A224" s="251"/>
      <c r="B224" s="251"/>
      <c r="C224" s="33" t="s">
        <v>17</v>
      </c>
      <c r="D224" s="61">
        <f>D6+D15+D17+D19+D21+D23</f>
        <v>16012810</v>
      </c>
      <c r="E224" s="61">
        <f t="shared" ref="E224:J224" si="94">E6+E15+E17+E19+E21+E23</f>
        <v>0</v>
      </c>
      <c r="F224" s="61">
        <f t="shared" si="94"/>
        <v>0</v>
      </c>
      <c r="G224" s="61">
        <f t="shared" si="94"/>
        <v>0</v>
      </c>
      <c r="H224" s="61">
        <f t="shared" si="94"/>
        <v>0</v>
      </c>
      <c r="I224" s="61">
        <f t="shared" si="94"/>
        <v>16012810</v>
      </c>
      <c r="J224" s="61">
        <f t="shared" si="94"/>
        <v>16012810</v>
      </c>
    </row>
    <row r="225" spans="1:10" x14ac:dyDescent="0.25">
      <c r="A225" s="251"/>
      <c r="B225" s="251"/>
      <c r="C225" s="33" t="s">
        <v>18</v>
      </c>
      <c r="D225" s="61">
        <f>D7</f>
        <v>96985672</v>
      </c>
      <c r="E225" s="61">
        <f t="shared" ref="E225:J225" si="95">E7</f>
        <v>0</v>
      </c>
      <c r="F225" s="61">
        <f t="shared" si="95"/>
        <v>0</v>
      </c>
      <c r="G225" s="61">
        <f t="shared" si="95"/>
        <v>0</v>
      </c>
      <c r="H225" s="61">
        <f t="shared" si="95"/>
        <v>0</v>
      </c>
      <c r="I225" s="61">
        <f t="shared" si="95"/>
        <v>96985672</v>
      </c>
      <c r="J225" s="61">
        <f t="shared" si="95"/>
        <v>22524698</v>
      </c>
    </row>
    <row r="226" spans="1:10" x14ac:dyDescent="0.25">
      <c r="A226" s="251"/>
      <c r="B226" s="251"/>
      <c r="C226" s="35" t="s">
        <v>22</v>
      </c>
      <c r="D226" s="61">
        <f>D8</f>
        <v>200000</v>
      </c>
      <c r="E226" s="61">
        <f t="shared" ref="E226:J226" si="96">E8</f>
        <v>0</v>
      </c>
      <c r="F226" s="61">
        <f t="shared" si="96"/>
        <v>0</v>
      </c>
      <c r="G226" s="61">
        <f t="shared" si="96"/>
        <v>0</v>
      </c>
      <c r="H226" s="61">
        <f t="shared" si="96"/>
        <v>0</v>
      </c>
      <c r="I226" s="61">
        <f t="shared" si="96"/>
        <v>200000</v>
      </c>
      <c r="J226" s="61">
        <f t="shared" si="96"/>
        <v>0</v>
      </c>
    </row>
    <row r="227" spans="1:10" x14ac:dyDescent="0.25">
      <c r="A227" s="251"/>
      <c r="B227" s="251"/>
      <c r="C227" s="35" t="s">
        <v>19</v>
      </c>
      <c r="D227" s="61">
        <f>D9</f>
        <v>13200</v>
      </c>
      <c r="E227" s="61">
        <f t="shared" ref="E227:J227" si="97">E9</f>
        <v>-1646</v>
      </c>
      <c r="F227" s="61">
        <f t="shared" si="97"/>
        <v>0</v>
      </c>
      <c r="G227" s="61">
        <f t="shared" si="97"/>
        <v>0</v>
      </c>
      <c r="H227" s="61">
        <f t="shared" si="97"/>
        <v>0</v>
      </c>
      <c r="I227" s="61">
        <f t="shared" si="97"/>
        <v>11554</v>
      </c>
      <c r="J227" s="61">
        <f t="shared" si="97"/>
        <v>2130</v>
      </c>
    </row>
    <row r="228" spans="1:10" x14ac:dyDescent="0.25">
      <c r="A228" s="251"/>
      <c r="B228" s="251"/>
      <c r="C228" s="35" t="s">
        <v>84</v>
      </c>
      <c r="D228" s="61">
        <f>D13+D11</f>
        <v>0</v>
      </c>
      <c r="E228" s="61">
        <f t="shared" ref="E228:J228" si="98">E13+E11</f>
        <v>2539</v>
      </c>
      <c r="F228" s="61">
        <f t="shared" si="98"/>
        <v>0</v>
      </c>
      <c r="G228" s="61">
        <f t="shared" si="98"/>
        <v>0</v>
      </c>
      <c r="H228" s="61">
        <f t="shared" si="98"/>
        <v>0</v>
      </c>
      <c r="I228" s="61">
        <f t="shared" si="98"/>
        <v>2539</v>
      </c>
      <c r="J228" s="61">
        <f t="shared" si="98"/>
        <v>2539</v>
      </c>
    </row>
    <row r="229" spans="1:10" x14ac:dyDescent="0.25">
      <c r="A229" s="251"/>
      <c r="B229" s="251"/>
      <c r="C229" s="33" t="s">
        <v>20</v>
      </c>
      <c r="D229" s="61">
        <f>D10+D12</f>
        <v>1000</v>
      </c>
      <c r="E229" s="61">
        <f t="shared" ref="E229:J229" si="99">E10+E12</f>
        <v>-893</v>
      </c>
      <c r="F229" s="61">
        <f t="shared" si="99"/>
        <v>0</v>
      </c>
      <c r="G229" s="61">
        <f t="shared" si="99"/>
        <v>0</v>
      </c>
      <c r="H229" s="61">
        <f t="shared" si="99"/>
        <v>0</v>
      </c>
      <c r="I229" s="61">
        <f t="shared" si="99"/>
        <v>107</v>
      </c>
      <c r="J229" s="61">
        <f t="shared" si="99"/>
        <v>87</v>
      </c>
    </row>
    <row r="230" spans="1:10" x14ac:dyDescent="0.25">
      <c r="A230" s="251"/>
      <c r="B230" s="251"/>
      <c r="C230" s="65" t="s">
        <v>86</v>
      </c>
      <c r="D230" s="66">
        <f>D13+D12+D11+D10+D9</f>
        <v>14200</v>
      </c>
      <c r="E230" s="66">
        <f t="shared" ref="E230:J230" si="100">E13+E12+E11+E10+E9</f>
        <v>0</v>
      </c>
      <c r="F230" s="66">
        <f t="shared" si="100"/>
        <v>0</v>
      </c>
      <c r="G230" s="66">
        <f t="shared" si="100"/>
        <v>0</v>
      </c>
      <c r="H230" s="66">
        <f t="shared" si="100"/>
        <v>0</v>
      </c>
      <c r="I230" s="66">
        <f t="shared" si="100"/>
        <v>14200</v>
      </c>
      <c r="J230" s="66">
        <f t="shared" si="100"/>
        <v>4756</v>
      </c>
    </row>
    <row r="231" spans="1:10" x14ac:dyDescent="0.25">
      <c r="A231" s="251"/>
      <c r="B231" s="251"/>
      <c r="C231" s="65" t="s">
        <v>87</v>
      </c>
      <c r="D231" s="66">
        <f>D23+D21+D19+D17+D15+D7+D6</f>
        <v>112998482</v>
      </c>
      <c r="E231" s="66">
        <f t="shared" ref="E231:J231" si="101">E23+E21+E19+E17+E15+E7+E6</f>
        <v>0</v>
      </c>
      <c r="F231" s="66">
        <f t="shared" si="101"/>
        <v>0</v>
      </c>
      <c r="G231" s="66">
        <f t="shared" si="101"/>
        <v>0</v>
      </c>
      <c r="H231" s="66">
        <f t="shared" si="101"/>
        <v>0</v>
      </c>
      <c r="I231" s="66">
        <f t="shared" si="101"/>
        <v>112998482</v>
      </c>
      <c r="J231" s="66">
        <f t="shared" si="101"/>
        <v>38537508</v>
      </c>
    </row>
    <row r="232" spans="1:10" x14ac:dyDescent="0.25">
      <c r="A232" s="251"/>
      <c r="B232" s="251"/>
      <c r="C232" s="33" t="s">
        <v>24</v>
      </c>
      <c r="D232" s="34">
        <f>D89+D111+D114+D133+D136+D154+D157+D177+D198+D211+D180+D86+D84+D52+D25</f>
        <v>128356144</v>
      </c>
      <c r="E232" s="34">
        <f t="shared" ref="E232:I232" si="102">E89+E111+E114+E133+E136+E154+E157+E177+E198+E211+E180+E86+E84+E52+E25</f>
        <v>-323923</v>
      </c>
      <c r="F232" s="34">
        <f t="shared" si="102"/>
        <v>0</v>
      </c>
      <c r="G232" s="34">
        <f t="shared" si="102"/>
        <v>0</v>
      </c>
      <c r="H232" s="34">
        <f t="shared" si="102"/>
        <v>0</v>
      </c>
      <c r="I232" s="34">
        <f t="shared" si="102"/>
        <v>128032221</v>
      </c>
      <c r="J232" s="61">
        <f>J211+J198+J180+J177+J157+J154+J136+J133+J114+J111+J89+J86+J84+J52+J25</f>
        <v>26517241</v>
      </c>
    </row>
    <row r="233" spans="1:10" x14ac:dyDescent="0.25">
      <c r="A233" s="251"/>
      <c r="B233" s="251"/>
      <c r="C233" s="33" t="s">
        <v>47</v>
      </c>
      <c r="D233" s="34">
        <f>D53</f>
        <v>2040480</v>
      </c>
      <c r="E233" s="34">
        <f t="shared" ref="E233:I233" si="103">E53</f>
        <v>0</v>
      </c>
      <c r="F233" s="34">
        <f t="shared" si="103"/>
        <v>0</v>
      </c>
      <c r="G233" s="34">
        <f t="shared" si="103"/>
        <v>0</v>
      </c>
      <c r="H233" s="34">
        <f t="shared" si="103"/>
        <v>0</v>
      </c>
      <c r="I233" s="34">
        <f t="shared" si="103"/>
        <v>2040480</v>
      </c>
      <c r="J233" s="41">
        <f>J53</f>
        <v>453207</v>
      </c>
    </row>
    <row r="234" spans="1:10" x14ac:dyDescent="0.25">
      <c r="A234" s="251"/>
      <c r="B234" s="251"/>
      <c r="C234" s="33" t="s">
        <v>48</v>
      </c>
      <c r="D234" s="34">
        <f>D54</f>
        <v>0</v>
      </c>
      <c r="E234" s="34">
        <f t="shared" ref="E234:I234" si="104">E54</f>
        <v>0</v>
      </c>
      <c r="F234" s="34">
        <f t="shared" si="104"/>
        <v>0</v>
      </c>
      <c r="G234" s="34">
        <f t="shared" si="104"/>
        <v>0</v>
      </c>
      <c r="H234" s="34">
        <f t="shared" si="104"/>
        <v>0</v>
      </c>
      <c r="I234" s="34">
        <f t="shared" si="104"/>
        <v>0</v>
      </c>
      <c r="J234" s="34">
        <f>J54</f>
        <v>0</v>
      </c>
    </row>
    <row r="235" spans="1:10" x14ac:dyDescent="0.25">
      <c r="A235" s="251"/>
      <c r="B235" s="251"/>
      <c r="C235" s="35" t="s">
        <v>25</v>
      </c>
      <c r="D235" s="34">
        <f>D199+D158+D137+D115+D90+D55+D26</f>
        <v>3992000</v>
      </c>
      <c r="E235" s="34">
        <f t="shared" ref="E235:I235" si="105">E199+E158+E137+E115+E90+E55+E26</f>
        <v>0</v>
      </c>
      <c r="F235" s="34">
        <f t="shared" si="105"/>
        <v>0</v>
      </c>
      <c r="G235" s="34">
        <f t="shared" si="105"/>
        <v>0</v>
      </c>
      <c r="H235" s="34">
        <f t="shared" si="105"/>
        <v>0</v>
      </c>
      <c r="I235" s="34">
        <f t="shared" si="105"/>
        <v>3992000</v>
      </c>
      <c r="J235" s="34">
        <f>J199+J158+J137+J115+J90+J55+J26</f>
        <v>0</v>
      </c>
    </row>
    <row r="236" spans="1:10" x14ac:dyDescent="0.25">
      <c r="A236" s="251"/>
      <c r="B236" s="251"/>
      <c r="C236" s="35" t="s">
        <v>26</v>
      </c>
      <c r="D236" s="34">
        <f>D200+D159+D138+D116+D91+D56+D27</f>
        <v>200000</v>
      </c>
      <c r="E236" s="34">
        <f t="shared" ref="E236:I236" si="106">E200+E159+E138+E116+E91+E56+E27</f>
        <v>0</v>
      </c>
      <c r="F236" s="34">
        <f t="shared" si="106"/>
        <v>0</v>
      </c>
      <c r="G236" s="34">
        <f t="shared" si="106"/>
        <v>0</v>
      </c>
      <c r="H236" s="34">
        <f t="shared" si="106"/>
        <v>0</v>
      </c>
      <c r="I236" s="34">
        <f t="shared" si="106"/>
        <v>200000</v>
      </c>
      <c r="J236" s="34">
        <f>J200+J159+J138+J116+J91+J56+J27</f>
        <v>0</v>
      </c>
    </row>
    <row r="237" spans="1:10" x14ac:dyDescent="0.25">
      <c r="A237" s="251"/>
      <c r="B237" s="251"/>
      <c r="C237" s="33" t="s">
        <v>27</v>
      </c>
      <c r="D237" s="34">
        <f>D201+D139+D92+D57+D28</f>
        <v>1661400</v>
      </c>
      <c r="E237" s="34">
        <f t="shared" ref="E237:I237" si="107">E201+E139+E92+E57+E28</f>
        <v>0</v>
      </c>
      <c r="F237" s="34">
        <f t="shared" si="107"/>
        <v>0</v>
      </c>
      <c r="G237" s="34">
        <f t="shared" si="107"/>
        <v>0</v>
      </c>
      <c r="H237" s="34">
        <f t="shared" si="107"/>
        <v>0</v>
      </c>
      <c r="I237" s="34">
        <f t="shared" si="107"/>
        <v>1661400</v>
      </c>
      <c r="J237" s="34">
        <f>J201+J139+J92+J57+J28</f>
        <v>185128</v>
      </c>
    </row>
    <row r="238" spans="1:10" x14ac:dyDescent="0.25">
      <c r="A238" s="251"/>
      <c r="B238" s="251"/>
      <c r="C238" s="35" t="s">
        <v>28</v>
      </c>
      <c r="D238" s="34">
        <f>D202+D160+D140+D117+D58+D29+D93</f>
        <v>481000</v>
      </c>
      <c r="E238" s="34">
        <f t="shared" ref="E238:I238" si="108">E202+E160+E140+E117+E58+E29+E93</f>
        <v>0</v>
      </c>
      <c r="F238" s="34">
        <f t="shared" si="108"/>
        <v>0</v>
      </c>
      <c r="G238" s="34">
        <f t="shared" si="108"/>
        <v>0</v>
      </c>
      <c r="H238" s="34">
        <f t="shared" si="108"/>
        <v>0</v>
      </c>
      <c r="I238" s="34">
        <f t="shared" si="108"/>
        <v>481000</v>
      </c>
      <c r="J238" s="34">
        <f>J202+J160+J140+J117+J58+J29+J93</f>
        <v>0</v>
      </c>
    </row>
    <row r="239" spans="1:10" x14ac:dyDescent="0.25">
      <c r="A239" s="251"/>
      <c r="B239" s="251"/>
      <c r="C239" s="33" t="s">
        <v>29</v>
      </c>
      <c r="D239" s="34">
        <f>D203+D175+D161+D141+D118+D109+D94+D82+D80+D59+D30+D131</f>
        <v>3451400</v>
      </c>
      <c r="E239" s="34">
        <f t="shared" ref="E239:I239" si="109">E203+E175+E161+E141+E118+E109+E94+E82+E80+E59+E30+E131</f>
        <v>323923</v>
      </c>
      <c r="F239" s="34">
        <f t="shared" si="109"/>
        <v>0</v>
      </c>
      <c r="G239" s="34">
        <f t="shared" si="109"/>
        <v>0</v>
      </c>
      <c r="H239" s="34">
        <f t="shared" si="109"/>
        <v>0</v>
      </c>
      <c r="I239" s="34">
        <f t="shared" si="109"/>
        <v>3775323</v>
      </c>
      <c r="J239" s="34">
        <f>J203+J175+J161+J141+J118+J109+J94+J82+J80+J59+J30+J131</f>
        <v>795533</v>
      </c>
    </row>
    <row r="240" spans="1:10" x14ac:dyDescent="0.25">
      <c r="A240" s="251"/>
      <c r="B240" s="251"/>
      <c r="C240" s="35" t="s">
        <v>30</v>
      </c>
      <c r="D240" s="34">
        <f>D162+D142+D119+D60+D31</f>
        <v>200000</v>
      </c>
      <c r="E240" s="34">
        <f t="shared" ref="E240:I240" si="110">E162+E142+E119+E60+E31</f>
        <v>0</v>
      </c>
      <c r="F240" s="34">
        <f t="shared" si="110"/>
        <v>0</v>
      </c>
      <c r="G240" s="34">
        <f t="shared" si="110"/>
        <v>0</v>
      </c>
      <c r="H240" s="34">
        <f t="shared" si="110"/>
        <v>0</v>
      </c>
      <c r="I240" s="34">
        <f t="shared" si="110"/>
        <v>200000</v>
      </c>
      <c r="J240" s="41">
        <f>SUM(J149)</f>
        <v>0</v>
      </c>
    </row>
    <row r="241" spans="1:10" x14ac:dyDescent="0.25">
      <c r="A241" s="251"/>
      <c r="B241" s="251"/>
      <c r="C241" s="65" t="s">
        <v>53</v>
      </c>
      <c r="D241" s="66">
        <f>D204+D181+D163+D143+D211+D177+D154+D133+D131+D175+D120+D111+D109+D96+D86+D84+D82+D80+D61+D32</f>
        <v>140382424</v>
      </c>
      <c r="E241" s="66">
        <f t="shared" ref="E241:J241" si="111">E204+E181+E163+E143+E211+E177+E154+E133+E131+E175+E120+E111+E109+E96+E86+E84+E82+E80+E61+E32</f>
        <v>0</v>
      </c>
      <c r="F241" s="66">
        <f t="shared" si="111"/>
        <v>0</v>
      </c>
      <c r="G241" s="66">
        <f t="shared" si="111"/>
        <v>0</v>
      </c>
      <c r="H241" s="66">
        <f t="shared" si="111"/>
        <v>0</v>
      </c>
      <c r="I241" s="66">
        <f t="shared" si="111"/>
        <v>140382424</v>
      </c>
      <c r="J241" s="66">
        <f t="shared" si="111"/>
        <v>27951109</v>
      </c>
    </row>
    <row r="242" spans="1:10" x14ac:dyDescent="0.25">
      <c r="A242" s="251"/>
      <c r="B242" s="251"/>
      <c r="C242" s="67" t="s">
        <v>31</v>
      </c>
      <c r="D242" s="66">
        <f>D205+D182+D178+D176+D212+D164+D155+D144+D134+D132+D121+D112+D110+D97+D87+D85+D83+D81+D62+D33</f>
        <v>27536677</v>
      </c>
      <c r="E242" s="66">
        <f t="shared" ref="E242:J242" si="112">E205+E182+E178+E176+E212+E164+E155+E144+E134+E132+E121+E112+E110+E97+E87+E85+E83+E81+E62+E33</f>
        <v>0</v>
      </c>
      <c r="F242" s="66">
        <f t="shared" si="112"/>
        <v>0</v>
      </c>
      <c r="G242" s="66">
        <f t="shared" si="112"/>
        <v>0</v>
      </c>
      <c r="H242" s="66">
        <f t="shared" si="112"/>
        <v>0</v>
      </c>
      <c r="I242" s="66">
        <f t="shared" si="112"/>
        <v>27536677</v>
      </c>
      <c r="J242" s="66">
        <f t="shared" si="112"/>
        <v>5507594</v>
      </c>
    </row>
    <row r="243" spans="1:10" x14ac:dyDescent="0.25">
      <c r="A243" s="251"/>
      <c r="B243" s="251"/>
      <c r="C243" s="33" t="s">
        <v>32</v>
      </c>
      <c r="D243" s="34">
        <f>D165+D145+D122+D98+D63+D34</f>
        <v>540000</v>
      </c>
      <c r="E243" s="34">
        <f t="shared" ref="E243:J243" si="113">E165+E145+E122+E98+E63+E34</f>
        <v>0</v>
      </c>
      <c r="F243" s="34">
        <f t="shared" si="113"/>
        <v>0</v>
      </c>
      <c r="G243" s="34">
        <f t="shared" si="113"/>
        <v>0</v>
      </c>
      <c r="H243" s="34">
        <f t="shared" si="113"/>
        <v>0</v>
      </c>
      <c r="I243" s="34">
        <f t="shared" si="113"/>
        <v>540000</v>
      </c>
      <c r="J243" s="34">
        <f t="shared" si="113"/>
        <v>0</v>
      </c>
    </row>
    <row r="244" spans="1:10" x14ac:dyDescent="0.25">
      <c r="A244" s="251"/>
      <c r="B244" s="251"/>
      <c r="C244" s="35" t="s">
        <v>33</v>
      </c>
      <c r="D244" s="34">
        <f>D183+D166+D146+D123+D99+D64+D35</f>
        <v>1700000</v>
      </c>
      <c r="E244" s="34">
        <f t="shared" ref="E244:J244" si="114">E183+E166+E146+E123+E99+E64+E35</f>
        <v>0</v>
      </c>
      <c r="F244" s="34">
        <f t="shared" si="114"/>
        <v>0</v>
      </c>
      <c r="G244" s="34">
        <f t="shared" si="114"/>
        <v>0</v>
      </c>
      <c r="H244" s="34">
        <f t="shared" si="114"/>
        <v>0</v>
      </c>
      <c r="I244" s="34">
        <f t="shared" si="114"/>
        <v>1700000</v>
      </c>
      <c r="J244" s="34">
        <f t="shared" si="114"/>
        <v>13072</v>
      </c>
    </row>
    <row r="245" spans="1:10" x14ac:dyDescent="0.25">
      <c r="A245" s="251"/>
      <c r="B245" s="251"/>
      <c r="C245" s="33" t="s">
        <v>34</v>
      </c>
      <c r="D245" s="34">
        <f>D167+D147+D124+D100+D65+D36</f>
        <v>1036000</v>
      </c>
      <c r="E245" s="34">
        <f t="shared" ref="E245:J245" si="115">E167+E147+E124+E100+E65+E36</f>
        <v>-48000</v>
      </c>
      <c r="F245" s="34">
        <f t="shared" si="115"/>
        <v>0</v>
      </c>
      <c r="G245" s="34">
        <f t="shared" si="115"/>
        <v>0</v>
      </c>
      <c r="H245" s="34">
        <f t="shared" si="115"/>
        <v>0</v>
      </c>
      <c r="I245" s="34">
        <f t="shared" si="115"/>
        <v>988000</v>
      </c>
      <c r="J245" s="34">
        <f t="shared" si="115"/>
        <v>41637</v>
      </c>
    </row>
    <row r="246" spans="1:10" x14ac:dyDescent="0.25">
      <c r="A246" s="251"/>
      <c r="B246" s="251"/>
      <c r="C246" s="33" t="s">
        <v>35</v>
      </c>
      <c r="D246" s="34">
        <f>D206+D168+D101+D66+D37</f>
        <v>610000</v>
      </c>
      <c r="E246" s="34">
        <f t="shared" ref="E246:J246" si="116">E206+E168+E101+E66+E37</f>
        <v>0</v>
      </c>
      <c r="F246" s="34">
        <f t="shared" si="116"/>
        <v>0</v>
      </c>
      <c r="G246" s="34">
        <f t="shared" si="116"/>
        <v>0</v>
      </c>
      <c r="H246" s="34">
        <f t="shared" si="116"/>
        <v>0</v>
      </c>
      <c r="I246" s="34">
        <f t="shared" si="116"/>
        <v>610000</v>
      </c>
      <c r="J246" s="34">
        <f t="shared" si="116"/>
        <v>55025</v>
      </c>
    </row>
    <row r="247" spans="1:10" x14ac:dyDescent="0.25">
      <c r="A247" s="251"/>
      <c r="B247" s="251"/>
      <c r="C247" s="33" t="s">
        <v>36</v>
      </c>
      <c r="D247" s="34">
        <f>D102+D67+D38</f>
        <v>1739080</v>
      </c>
      <c r="E247" s="34">
        <f t="shared" ref="E247:J247" si="117">E102+E67+E38</f>
        <v>0</v>
      </c>
      <c r="F247" s="34">
        <f t="shared" si="117"/>
        <v>0</v>
      </c>
      <c r="G247" s="34">
        <f t="shared" si="117"/>
        <v>0</v>
      </c>
      <c r="H247" s="34">
        <f t="shared" si="117"/>
        <v>0</v>
      </c>
      <c r="I247" s="34">
        <f t="shared" si="117"/>
        <v>1739080</v>
      </c>
      <c r="J247" s="34">
        <f t="shared" si="117"/>
        <v>633005</v>
      </c>
    </row>
    <row r="248" spans="1:10" x14ac:dyDescent="0.25">
      <c r="A248" s="251"/>
      <c r="B248" s="251"/>
      <c r="C248" s="35" t="s">
        <v>37</v>
      </c>
      <c r="D248" s="34">
        <f>D185+D170+D149+D126+D104+D70+D42</f>
        <v>16415104</v>
      </c>
      <c r="E248" s="34">
        <f t="shared" ref="E248:J248" si="118">E185+E170+E149+E126+E104+E70+E42</f>
        <v>0</v>
      </c>
      <c r="F248" s="34">
        <f t="shared" si="118"/>
        <v>0</v>
      </c>
      <c r="G248" s="34">
        <f t="shared" si="118"/>
        <v>0</v>
      </c>
      <c r="H248" s="34">
        <f t="shared" si="118"/>
        <v>0</v>
      </c>
      <c r="I248" s="34">
        <f t="shared" si="118"/>
        <v>16415104</v>
      </c>
      <c r="J248" s="34">
        <f t="shared" si="118"/>
        <v>125984</v>
      </c>
    </row>
    <row r="249" spans="1:10" x14ac:dyDescent="0.25">
      <c r="A249" s="251"/>
      <c r="B249" s="251"/>
      <c r="C249" s="33" t="s">
        <v>38</v>
      </c>
      <c r="D249" s="34">
        <f>D169+D148+D125+D103+D69+D40</f>
        <v>1394000</v>
      </c>
      <c r="E249" s="34">
        <f t="shared" ref="E249:J249" si="119">E169+E148+E125+E103+E69+E40</f>
        <v>0</v>
      </c>
      <c r="F249" s="34">
        <f t="shared" si="119"/>
        <v>0</v>
      </c>
      <c r="G249" s="34">
        <f t="shared" si="119"/>
        <v>0</v>
      </c>
      <c r="H249" s="34">
        <f t="shared" si="119"/>
        <v>0</v>
      </c>
      <c r="I249" s="34">
        <f t="shared" si="119"/>
        <v>1394000</v>
      </c>
      <c r="J249" s="34">
        <f t="shared" si="119"/>
        <v>104912</v>
      </c>
    </row>
    <row r="250" spans="1:10" x14ac:dyDescent="0.25">
      <c r="A250" s="251"/>
      <c r="B250" s="251"/>
      <c r="C250" s="33" t="s">
        <v>39</v>
      </c>
      <c r="D250" s="34">
        <f>D41</f>
        <v>13200</v>
      </c>
      <c r="E250" s="34">
        <f t="shared" ref="E250:J250" si="120">E41</f>
        <v>-1646</v>
      </c>
      <c r="F250" s="34">
        <f t="shared" si="120"/>
        <v>0</v>
      </c>
      <c r="G250" s="34">
        <f t="shared" si="120"/>
        <v>0</v>
      </c>
      <c r="H250" s="34">
        <f t="shared" si="120"/>
        <v>0</v>
      </c>
      <c r="I250" s="34">
        <f t="shared" si="120"/>
        <v>11554</v>
      </c>
      <c r="J250" s="34">
        <f t="shared" si="120"/>
        <v>3206</v>
      </c>
    </row>
    <row r="251" spans="1:10" x14ac:dyDescent="0.25">
      <c r="A251" s="251"/>
      <c r="B251" s="251"/>
      <c r="C251" s="36" t="s">
        <v>40</v>
      </c>
      <c r="D251" s="34">
        <f>D185+D170+D149+D126+D104+D70+D42</f>
        <v>16415104</v>
      </c>
      <c r="E251" s="34">
        <f t="shared" ref="E251:J251" si="121">E185+E170+E149+E126+E104+E70+E42</f>
        <v>0</v>
      </c>
      <c r="F251" s="34">
        <f t="shared" si="121"/>
        <v>0</v>
      </c>
      <c r="G251" s="34">
        <f t="shared" si="121"/>
        <v>0</v>
      </c>
      <c r="H251" s="34">
        <f t="shared" si="121"/>
        <v>0</v>
      </c>
      <c r="I251" s="34">
        <f t="shared" si="121"/>
        <v>16415104</v>
      </c>
      <c r="J251" s="34">
        <f t="shared" si="121"/>
        <v>125984</v>
      </c>
    </row>
    <row r="252" spans="1:10" x14ac:dyDescent="0.25">
      <c r="A252" s="251"/>
      <c r="B252" s="251"/>
      <c r="C252" s="33" t="s">
        <v>41</v>
      </c>
      <c r="D252" s="34">
        <f>D186+D171+D150+D127+D105+D71+D43</f>
        <v>26876743</v>
      </c>
      <c r="E252" s="34">
        <f t="shared" ref="E252:J252" si="122">E186+E171+E150+E127+E105+E71+E43</f>
        <v>49646</v>
      </c>
      <c r="F252" s="34">
        <f t="shared" si="122"/>
        <v>0</v>
      </c>
      <c r="G252" s="34">
        <f t="shared" si="122"/>
        <v>0</v>
      </c>
      <c r="H252" s="34">
        <f t="shared" si="122"/>
        <v>0</v>
      </c>
      <c r="I252" s="34">
        <f t="shared" si="122"/>
        <v>26926389</v>
      </c>
      <c r="J252" s="34">
        <f t="shared" si="122"/>
        <v>559940</v>
      </c>
    </row>
    <row r="253" spans="1:10" x14ac:dyDescent="0.25">
      <c r="A253" s="251"/>
      <c r="B253" s="251"/>
      <c r="C253" s="35" t="s">
        <v>42</v>
      </c>
      <c r="D253" s="34">
        <f>D207+D187+D172+D151+D128+D106+D72+D44</f>
        <v>2852000</v>
      </c>
      <c r="E253" s="34">
        <f t="shared" ref="E253:J253" si="123">E207+E187+E172+E151+E128+E106+E72+E44</f>
        <v>0</v>
      </c>
      <c r="F253" s="34">
        <f t="shared" si="123"/>
        <v>0</v>
      </c>
      <c r="G253" s="34">
        <f t="shared" si="123"/>
        <v>0</v>
      </c>
      <c r="H253" s="34">
        <f t="shared" si="123"/>
        <v>0</v>
      </c>
      <c r="I253" s="34">
        <f t="shared" si="123"/>
        <v>2852000</v>
      </c>
      <c r="J253" s="34">
        <f t="shared" si="123"/>
        <v>451035</v>
      </c>
    </row>
    <row r="254" spans="1:10" x14ac:dyDescent="0.25">
      <c r="A254" s="251"/>
      <c r="B254" s="251"/>
      <c r="C254" s="35" t="s">
        <v>43</v>
      </c>
      <c r="D254" s="34">
        <f>D45+D73+D188</f>
        <v>290000</v>
      </c>
      <c r="E254" s="34">
        <f t="shared" ref="E254:J254" si="124">E45+E73+E188</f>
        <v>0</v>
      </c>
      <c r="F254" s="34">
        <f t="shared" si="124"/>
        <v>0</v>
      </c>
      <c r="G254" s="34">
        <f t="shared" si="124"/>
        <v>0</v>
      </c>
      <c r="H254" s="34">
        <f t="shared" si="124"/>
        <v>0</v>
      </c>
      <c r="I254" s="34">
        <f t="shared" si="124"/>
        <v>290000</v>
      </c>
      <c r="J254" s="34">
        <f t="shared" si="124"/>
        <v>0</v>
      </c>
    </row>
    <row r="255" spans="1:10" x14ac:dyDescent="0.25">
      <c r="A255" s="251"/>
      <c r="B255" s="251"/>
      <c r="C255" s="33" t="s">
        <v>44</v>
      </c>
      <c r="D255" s="34">
        <f>D208+D189+D173+D152+D129+D107+D74+D46</f>
        <v>7754652</v>
      </c>
      <c r="E255" s="34">
        <f t="shared" ref="E255:J255" si="125">E208+E189+E173+E152+E129+E107+E74+E46</f>
        <v>0</v>
      </c>
      <c r="F255" s="34">
        <f t="shared" si="125"/>
        <v>0</v>
      </c>
      <c r="G255" s="34">
        <f t="shared" si="125"/>
        <v>0</v>
      </c>
      <c r="H255" s="34">
        <f t="shared" si="125"/>
        <v>0</v>
      </c>
      <c r="I255" s="34">
        <f t="shared" si="125"/>
        <v>7754652</v>
      </c>
      <c r="J255" s="34">
        <f t="shared" si="125"/>
        <v>183333</v>
      </c>
    </row>
    <row r="256" spans="1:10" x14ac:dyDescent="0.25">
      <c r="A256" s="251"/>
      <c r="B256" s="251"/>
      <c r="C256" s="37" t="s">
        <v>45</v>
      </c>
      <c r="D256" s="34">
        <f>D209+D190+D75+D47</f>
        <v>743011</v>
      </c>
      <c r="E256" s="34">
        <f t="shared" ref="E256:J256" si="126">E209+E190+E75+E47</f>
        <v>0</v>
      </c>
      <c r="F256" s="34">
        <f t="shared" si="126"/>
        <v>0</v>
      </c>
      <c r="G256" s="34">
        <f t="shared" si="126"/>
        <v>0</v>
      </c>
      <c r="H256" s="34">
        <f t="shared" si="126"/>
        <v>0</v>
      </c>
      <c r="I256" s="34">
        <f t="shared" si="126"/>
        <v>743011</v>
      </c>
      <c r="J256" s="34">
        <f t="shared" si="126"/>
        <v>183143</v>
      </c>
    </row>
    <row r="257" spans="1:10" x14ac:dyDescent="0.25">
      <c r="A257" s="251"/>
      <c r="B257" s="251"/>
      <c r="C257" s="65" t="s">
        <v>49</v>
      </c>
      <c r="D257" s="66">
        <f>D210+D191+D174+D153+D130+D108+D76+D48</f>
        <v>62319790</v>
      </c>
      <c r="E257" s="66">
        <f t="shared" ref="E257:J257" si="127">E210+E191+E174+E153+E130+E108+E76+E48</f>
        <v>0</v>
      </c>
      <c r="F257" s="66">
        <f t="shared" si="127"/>
        <v>0</v>
      </c>
      <c r="G257" s="66">
        <f t="shared" si="127"/>
        <v>0</v>
      </c>
      <c r="H257" s="66">
        <f t="shared" si="127"/>
        <v>0</v>
      </c>
      <c r="I257" s="66">
        <f t="shared" si="127"/>
        <v>62319790</v>
      </c>
      <c r="J257" s="66">
        <f t="shared" si="127"/>
        <v>2354292</v>
      </c>
    </row>
    <row r="258" spans="1:10" x14ac:dyDescent="0.25">
      <c r="A258" s="251"/>
      <c r="B258" s="251"/>
      <c r="C258" s="38" t="s">
        <v>50</v>
      </c>
      <c r="D258" s="34">
        <f>D193+D77+D49</f>
        <v>161220</v>
      </c>
      <c r="E258" s="34">
        <f t="shared" ref="E258:J258" si="128">E193+E77+E49</f>
        <v>0</v>
      </c>
      <c r="F258" s="34">
        <f t="shared" si="128"/>
        <v>0</v>
      </c>
      <c r="G258" s="34">
        <f t="shared" si="128"/>
        <v>0</v>
      </c>
      <c r="H258" s="34">
        <f t="shared" si="128"/>
        <v>0</v>
      </c>
      <c r="I258" s="34">
        <f t="shared" si="128"/>
        <v>161220</v>
      </c>
      <c r="J258" s="34">
        <f t="shared" si="128"/>
        <v>0</v>
      </c>
    </row>
    <row r="259" spans="1:10" x14ac:dyDescent="0.25">
      <c r="A259" s="251"/>
      <c r="B259" s="251"/>
      <c r="C259" s="37" t="s">
        <v>51</v>
      </c>
      <c r="D259" s="34">
        <f>D194+D78+D50</f>
        <v>43530</v>
      </c>
      <c r="E259" s="34">
        <f t="shared" ref="E259:J259" si="129">E194+E78+E50</f>
        <v>0</v>
      </c>
      <c r="F259" s="34">
        <f t="shared" si="129"/>
        <v>0</v>
      </c>
      <c r="G259" s="34">
        <f t="shared" si="129"/>
        <v>0</v>
      </c>
      <c r="H259" s="34">
        <f t="shared" si="129"/>
        <v>0</v>
      </c>
      <c r="I259" s="34">
        <f t="shared" si="129"/>
        <v>43530</v>
      </c>
      <c r="J259" s="34">
        <f t="shared" si="129"/>
        <v>0</v>
      </c>
    </row>
    <row r="260" spans="1:10" x14ac:dyDescent="0.25">
      <c r="A260" s="251"/>
      <c r="B260" s="251"/>
      <c r="C260" s="65" t="s">
        <v>52</v>
      </c>
      <c r="D260" s="68">
        <f>D195+D79+D51</f>
        <v>204750</v>
      </c>
      <c r="E260" s="68">
        <f t="shared" ref="E260:J260" si="130">E195+E79+E51</f>
        <v>0</v>
      </c>
      <c r="F260" s="68">
        <f t="shared" si="130"/>
        <v>0</v>
      </c>
      <c r="G260" s="68">
        <f t="shared" si="130"/>
        <v>0</v>
      </c>
      <c r="H260" s="68">
        <f t="shared" si="130"/>
        <v>0</v>
      </c>
      <c r="I260" s="68">
        <f t="shared" si="130"/>
        <v>204750</v>
      </c>
      <c r="J260" s="68">
        <f t="shared" si="130"/>
        <v>0</v>
      </c>
    </row>
    <row r="261" spans="1:10" x14ac:dyDescent="0.25">
      <c r="A261" s="251"/>
      <c r="B261" s="251"/>
      <c r="C261" s="69" t="s">
        <v>88</v>
      </c>
      <c r="D261" s="70">
        <f>D260+D257+D242+D241</f>
        <v>230443641</v>
      </c>
      <c r="E261" s="70">
        <f t="shared" ref="E261:J261" si="131">E260+E257+E242+E241</f>
        <v>0</v>
      </c>
      <c r="F261" s="70">
        <f t="shared" si="131"/>
        <v>0</v>
      </c>
      <c r="G261" s="70">
        <f t="shared" si="131"/>
        <v>0</v>
      </c>
      <c r="H261" s="70">
        <f t="shared" si="131"/>
        <v>0</v>
      </c>
      <c r="I261" s="70">
        <f t="shared" si="131"/>
        <v>230443641</v>
      </c>
      <c r="J261" s="70">
        <f t="shared" si="131"/>
        <v>35812995</v>
      </c>
    </row>
  </sheetData>
  <mergeCells count="73">
    <mergeCell ref="A114:A130"/>
    <mergeCell ref="A3:A4"/>
    <mergeCell ref="A197:C197"/>
    <mergeCell ref="A213:C213"/>
    <mergeCell ref="A88:C88"/>
    <mergeCell ref="A113:C113"/>
    <mergeCell ref="A135:C135"/>
    <mergeCell ref="A156:C156"/>
    <mergeCell ref="A179:C179"/>
    <mergeCell ref="B136:B153"/>
    <mergeCell ref="A109:A110"/>
    <mergeCell ref="A111:A112"/>
    <mergeCell ref="B109:B110"/>
    <mergeCell ref="B111:B112"/>
    <mergeCell ref="A131:A132"/>
    <mergeCell ref="B131:B132"/>
    <mergeCell ref="A133:A134"/>
    <mergeCell ref="A14:A15"/>
    <mergeCell ref="A89:A108"/>
    <mergeCell ref="B89:B108"/>
    <mergeCell ref="I3:I4"/>
    <mergeCell ref="B25:B51"/>
    <mergeCell ref="B52:B79"/>
    <mergeCell ref="A25:A79"/>
    <mergeCell ref="B16:B17"/>
    <mergeCell ref="B18:B19"/>
    <mergeCell ref="A16:A17"/>
    <mergeCell ref="A18:A19"/>
    <mergeCell ref="B22:B23"/>
    <mergeCell ref="A22:A23"/>
    <mergeCell ref="A20:A21"/>
    <mergeCell ref="B20:B21"/>
    <mergeCell ref="D3:D4"/>
    <mergeCell ref="B133:B134"/>
    <mergeCell ref="K3:K4"/>
    <mergeCell ref="J3:J4"/>
    <mergeCell ref="E3:H3"/>
    <mergeCell ref="B5:B7"/>
    <mergeCell ref="B14:B15"/>
    <mergeCell ref="C3:C4"/>
    <mergeCell ref="B3:B4"/>
    <mergeCell ref="A1:K1"/>
    <mergeCell ref="A24:C24"/>
    <mergeCell ref="A214:C214"/>
    <mergeCell ref="A177:A178"/>
    <mergeCell ref="B177:B178"/>
    <mergeCell ref="A154:A155"/>
    <mergeCell ref="B154:B155"/>
    <mergeCell ref="A175:A176"/>
    <mergeCell ref="B175:B176"/>
    <mergeCell ref="A211:A212"/>
    <mergeCell ref="B211:B212"/>
    <mergeCell ref="A157:A174"/>
    <mergeCell ref="B157:B174"/>
    <mergeCell ref="A80:A81"/>
    <mergeCell ref="B114:B130"/>
    <mergeCell ref="A136:A153"/>
    <mergeCell ref="A221:J221"/>
    <mergeCell ref="A222:B261"/>
    <mergeCell ref="B8:B11"/>
    <mergeCell ref="B12:B13"/>
    <mergeCell ref="A5:A13"/>
    <mergeCell ref="A180:A196"/>
    <mergeCell ref="B180:B196"/>
    <mergeCell ref="B198:B210"/>
    <mergeCell ref="A198:A210"/>
    <mergeCell ref="A82:A83"/>
    <mergeCell ref="A84:A85"/>
    <mergeCell ref="A86:A87"/>
    <mergeCell ref="B80:B81"/>
    <mergeCell ref="B82:B83"/>
    <mergeCell ref="B84:B85"/>
    <mergeCell ref="B86:B87"/>
  </mergeCells>
  <pageMargins left="0.7" right="0.7" top="0.75" bottom="0.75" header="0.3" footer="0.3"/>
  <pageSetup paperSize="8" scale="97" orientation="landscape" r:id="rId1"/>
  <rowBreaks count="5" manualBreakCount="5">
    <brk id="51" max="16383" man="1"/>
    <brk id="88" max="16383" man="1"/>
    <brk id="135" max="16383" man="1"/>
    <brk id="179" max="16383" man="1"/>
    <brk id="216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270"/>
  <sheetViews>
    <sheetView workbookViewId="0">
      <pane xSplit="3" ySplit="4" topLeftCell="D239" activePane="bottomRight" state="frozen"/>
      <selection activeCell="D8" sqref="D8"/>
      <selection pane="topRight" activeCell="D8" sqref="D8"/>
      <selection pane="bottomLeft" activeCell="D8" sqref="D8"/>
      <selection pane="bottomRight" activeCell="D8" sqref="D8"/>
    </sheetView>
  </sheetViews>
  <sheetFormatPr defaultRowHeight="15" x14ac:dyDescent="0.25"/>
  <cols>
    <col min="1" max="1" width="42.7109375" customWidth="1"/>
    <col min="3" max="3" width="7.7109375" customWidth="1"/>
    <col min="4" max="5" width="13.7109375" customWidth="1"/>
    <col min="6" max="6" width="10.28515625" customWidth="1"/>
    <col min="7" max="7" width="11.7109375" customWidth="1"/>
    <col min="8" max="9" width="10.28515625" bestFit="1" customWidth="1"/>
    <col min="10" max="10" width="13.85546875" bestFit="1" customWidth="1"/>
    <col min="11" max="11" width="16.42578125" style="122" customWidth="1"/>
    <col min="12" max="12" width="13.85546875" customWidth="1"/>
  </cols>
  <sheetData>
    <row r="1" spans="1:12" ht="21" x14ac:dyDescent="0.25">
      <c r="A1" s="368" t="s">
        <v>0</v>
      </c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368"/>
    </row>
    <row r="2" spans="1:12" x14ac:dyDescent="0.25">
      <c r="B2" s="5"/>
      <c r="E2" s="4"/>
      <c r="F2" s="4"/>
      <c r="G2" s="4"/>
      <c r="H2" s="4"/>
      <c r="I2" s="4"/>
      <c r="J2" s="4"/>
      <c r="K2" s="111"/>
    </row>
    <row r="3" spans="1:12" ht="15" customHeight="1" x14ac:dyDescent="0.25">
      <c r="A3" s="369" t="s">
        <v>104</v>
      </c>
      <c r="B3" s="371" t="s">
        <v>105</v>
      </c>
      <c r="C3" s="369" t="s">
        <v>3</v>
      </c>
      <c r="D3" s="369" t="s">
        <v>4</v>
      </c>
      <c r="E3" s="373" t="s">
        <v>119</v>
      </c>
      <c r="F3" s="375" t="s">
        <v>160</v>
      </c>
      <c r="G3" s="376"/>
      <c r="H3" s="376"/>
      <c r="I3" s="377"/>
      <c r="J3" s="373" t="s">
        <v>159</v>
      </c>
      <c r="K3" s="378" t="s">
        <v>161</v>
      </c>
      <c r="L3" s="379" t="s">
        <v>162</v>
      </c>
    </row>
    <row r="4" spans="1:12" ht="33.75" x14ac:dyDescent="0.25">
      <c r="A4" s="370"/>
      <c r="B4" s="372"/>
      <c r="C4" s="370"/>
      <c r="D4" s="370"/>
      <c r="E4" s="374"/>
      <c r="F4" s="169" t="s">
        <v>70</v>
      </c>
      <c r="G4" s="170" t="s">
        <v>71</v>
      </c>
      <c r="H4" s="170" t="s">
        <v>71</v>
      </c>
      <c r="I4" s="170" t="s">
        <v>163</v>
      </c>
      <c r="J4" s="374"/>
      <c r="K4" s="378"/>
      <c r="L4" s="379"/>
    </row>
    <row r="5" spans="1:12" x14ac:dyDescent="0.25">
      <c r="A5" s="255" t="s">
        <v>6</v>
      </c>
      <c r="B5" s="268" t="s">
        <v>21</v>
      </c>
      <c r="C5" s="2" t="s">
        <v>16</v>
      </c>
      <c r="D5" s="3">
        <v>54810810</v>
      </c>
      <c r="E5" s="3">
        <v>52737886</v>
      </c>
      <c r="F5" s="3"/>
      <c r="G5" s="3"/>
      <c r="H5" s="3"/>
      <c r="I5" s="3">
        <f>13947+23425</f>
        <v>37372</v>
      </c>
      <c r="J5" s="20">
        <f>E5+F5+G5+H5+I5</f>
        <v>52775258</v>
      </c>
      <c r="K5" s="112">
        <v>39650289</v>
      </c>
      <c r="L5" s="3">
        <f>J5-K5</f>
        <v>13124969</v>
      </c>
    </row>
    <row r="6" spans="1:12" x14ac:dyDescent="0.25">
      <c r="A6" s="256"/>
      <c r="B6" s="268"/>
      <c r="C6" s="2" t="s">
        <v>17</v>
      </c>
      <c r="D6" s="3">
        <v>7273070</v>
      </c>
      <c r="E6" s="3">
        <v>7273070</v>
      </c>
      <c r="F6" s="3"/>
      <c r="G6" s="3"/>
      <c r="H6" s="3"/>
      <c r="I6" s="3"/>
      <c r="J6" s="20">
        <f t="shared" ref="J6:J23" si="0">E6+F6+G6+H6+I6</f>
        <v>7273070</v>
      </c>
      <c r="K6" s="112">
        <v>7273070</v>
      </c>
      <c r="L6" s="3">
        <f t="shared" ref="L6:L23" si="1">J6-K6</f>
        <v>0</v>
      </c>
    </row>
    <row r="7" spans="1:12" x14ac:dyDescent="0.25">
      <c r="A7" s="256"/>
      <c r="B7" s="268"/>
      <c r="C7" s="2" t="s">
        <v>18</v>
      </c>
      <c r="D7" s="3">
        <v>96985672</v>
      </c>
      <c r="E7" s="3">
        <v>100329672</v>
      </c>
      <c r="F7" s="3"/>
      <c r="G7" s="3"/>
      <c r="H7" s="3"/>
      <c r="I7" s="3"/>
      <c r="J7" s="20">
        <f t="shared" si="0"/>
        <v>100329672</v>
      </c>
      <c r="K7" s="112">
        <v>77496655</v>
      </c>
      <c r="L7" s="3">
        <f t="shared" si="1"/>
        <v>22833017</v>
      </c>
    </row>
    <row r="8" spans="1:12" x14ac:dyDescent="0.25">
      <c r="A8" s="256"/>
      <c r="B8" s="252">
        <v>104042</v>
      </c>
      <c r="C8" s="2" t="s">
        <v>22</v>
      </c>
      <c r="D8" s="3">
        <v>200000</v>
      </c>
      <c r="E8" s="3">
        <v>200000</v>
      </c>
      <c r="F8" s="3"/>
      <c r="G8" s="3"/>
      <c r="H8" s="3"/>
      <c r="I8" s="3"/>
      <c r="J8" s="20">
        <f t="shared" si="0"/>
        <v>200000</v>
      </c>
      <c r="K8" s="112">
        <v>0</v>
      </c>
      <c r="L8" s="3">
        <f t="shared" si="1"/>
        <v>200000</v>
      </c>
    </row>
    <row r="9" spans="1:12" x14ac:dyDescent="0.25">
      <c r="A9" s="256"/>
      <c r="B9" s="253"/>
      <c r="C9" s="2" t="s">
        <v>19</v>
      </c>
      <c r="D9" s="3">
        <v>13200</v>
      </c>
      <c r="E9" s="3">
        <v>31926</v>
      </c>
      <c r="F9" s="3"/>
      <c r="G9" s="3"/>
      <c r="H9" s="3"/>
      <c r="I9" s="3"/>
      <c r="J9" s="20">
        <f t="shared" si="0"/>
        <v>31926</v>
      </c>
      <c r="K9" s="112">
        <v>24072</v>
      </c>
      <c r="L9" s="60">
        <f t="shared" si="1"/>
        <v>7854</v>
      </c>
    </row>
    <row r="10" spans="1:12" x14ac:dyDescent="0.25">
      <c r="A10" s="256"/>
      <c r="B10" s="253"/>
      <c r="C10" s="2" t="s">
        <v>20</v>
      </c>
      <c r="D10" s="3">
        <v>500</v>
      </c>
      <c r="E10" s="3">
        <v>1152</v>
      </c>
      <c r="F10" s="3"/>
      <c r="G10" s="3"/>
      <c r="H10" s="3"/>
      <c r="I10" s="3"/>
      <c r="J10" s="20">
        <f t="shared" si="0"/>
        <v>1152</v>
      </c>
      <c r="K10" s="112">
        <v>162</v>
      </c>
      <c r="L10" s="3">
        <f t="shared" si="1"/>
        <v>990</v>
      </c>
    </row>
    <row r="11" spans="1:12" x14ac:dyDescent="0.25">
      <c r="A11" s="256"/>
      <c r="B11" s="254"/>
      <c r="C11" s="2" t="s">
        <v>84</v>
      </c>
      <c r="D11" s="3">
        <v>0</v>
      </c>
      <c r="E11" s="3">
        <v>12948</v>
      </c>
      <c r="F11" s="3"/>
      <c r="G11" s="3"/>
      <c r="H11" s="3"/>
      <c r="I11" s="3"/>
      <c r="J11" s="20">
        <f t="shared" si="0"/>
        <v>12948</v>
      </c>
      <c r="K11" s="112">
        <v>4486</v>
      </c>
      <c r="L11" s="3">
        <f t="shared" si="1"/>
        <v>8462</v>
      </c>
    </row>
    <row r="12" spans="1:12" x14ac:dyDescent="0.25">
      <c r="A12" s="256"/>
      <c r="B12" s="252">
        <v>104043</v>
      </c>
      <c r="C12" s="2" t="s">
        <v>20</v>
      </c>
      <c r="D12" s="3">
        <v>500</v>
      </c>
      <c r="E12" s="3">
        <v>173</v>
      </c>
      <c r="F12" s="3"/>
      <c r="G12" s="3"/>
      <c r="H12" s="3"/>
      <c r="I12" s="3"/>
      <c r="J12" s="20">
        <f t="shared" si="0"/>
        <v>173</v>
      </c>
      <c r="K12" s="112">
        <v>163</v>
      </c>
      <c r="L12" s="3">
        <f t="shared" si="1"/>
        <v>10</v>
      </c>
    </row>
    <row r="13" spans="1:12" x14ac:dyDescent="0.25">
      <c r="A13" s="257"/>
      <c r="B13" s="254"/>
      <c r="C13" s="2" t="s">
        <v>84</v>
      </c>
      <c r="D13" s="3">
        <v>0</v>
      </c>
      <c r="E13" s="3">
        <v>1</v>
      </c>
      <c r="F13" s="3"/>
      <c r="G13" s="3"/>
      <c r="H13" s="3"/>
      <c r="I13" s="3"/>
      <c r="J13" s="20">
        <f t="shared" si="0"/>
        <v>1</v>
      </c>
      <c r="K13" s="112">
        <v>1</v>
      </c>
      <c r="L13" s="3">
        <f t="shared" si="1"/>
        <v>0</v>
      </c>
    </row>
    <row r="14" spans="1:12" x14ac:dyDescent="0.25">
      <c r="A14" s="258" t="s">
        <v>7</v>
      </c>
      <c r="B14" s="268" t="s">
        <v>21</v>
      </c>
      <c r="C14" s="2" t="s">
        <v>16</v>
      </c>
      <c r="D14" s="3">
        <v>245982</v>
      </c>
      <c r="E14" s="3">
        <v>245982</v>
      </c>
      <c r="F14" s="3"/>
      <c r="G14" s="3"/>
      <c r="H14" s="3"/>
      <c r="I14" s="3">
        <v>21826</v>
      </c>
      <c r="J14" s="20">
        <f t="shared" si="0"/>
        <v>267808</v>
      </c>
      <c r="K14" s="112">
        <v>206315</v>
      </c>
      <c r="L14" s="3">
        <f t="shared" si="1"/>
        <v>61493</v>
      </c>
    </row>
    <row r="15" spans="1:12" x14ac:dyDescent="0.25">
      <c r="A15" s="258"/>
      <c r="B15" s="268"/>
      <c r="C15" s="2" t="s">
        <v>17</v>
      </c>
      <c r="D15" s="3">
        <v>1005557</v>
      </c>
      <c r="E15" s="3">
        <v>1005557</v>
      </c>
      <c r="F15" s="3"/>
      <c r="G15" s="3"/>
      <c r="H15" s="3"/>
      <c r="I15" s="3"/>
      <c r="J15" s="20">
        <f t="shared" si="0"/>
        <v>1005557</v>
      </c>
      <c r="K15" s="112">
        <v>1005557</v>
      </c>
      <c r="L15" s="3">
        <f t="shared" si="1"/>
        <v>0</v>
      </c>
    </row>
    <row r="16" spans="1:12" x14ac:dyDescent="0.25">
      <c r="A16" s="258" t="s">
        <v>8</v>
      </c>
      <c r="B16" s="268" t="s">
        <v>21</v>
      </c>
      <c r="C16" s="2" t="s">
        <v>16</v>
      </c>
      <c r="D16" s="3">
        <v>3086953</v>
      </c>
      <c r="E16" s="3">
        <v>3103704</v>
      </c>
      <c r="F16" s="3"/>
      <c r="G16" s="3"/>
      <c r="H16" s="3"/>
      <c r="I16" s="3">
        <v>16468</v>
      </c>
      <c r="J16" s="20">
        <f t="shared" si="0"/>
        <v>3120172</v>
      </c>
      <c r="K16" s="112">
        <v>2348434</v>
      </c>
      <c r="L16" s="3">
        <f t="shared" si="1"/>
        <v>771738</v>
      </c>
    </row>
    <row r="17" spans="1:12" x14ac:dyDescent="0.25">
      <c r="A17" s="258"/>
      <c r="B17" s="268"/>
      <c r="C17" s="2" t="s">
        <v>17</v>
      </c>
      <c r="D17" s="3">
        <v>440959</v>
      </c>
      <c r="E17" s="3">
        <v>440959</v>
      </c>
      <c r="F17" s="3"/>
      <c r="G17" s="3"/>
      <c r="H17" s="3"/>
      <c r="I17" s="3"/>
      <c r="J17" s="20">
        <f t="shared" si="0"/>
        <v>440959</v>
      </c>
      <c r="K17" s="112">
        <v>440959</v>
      </c>
      <c r="L17" s="3">
        <f t="shared" si="1"/>
        <v>0</v>
      </c>
    </row>
    <row r="18" spans="1:12" x14ac:dyDescent="0.25">
      <c r="A18" s="258" t="s">
        <v>9</v>
      </c>
      <c r="B18" s="268" t="s">
        <v>21</v>
      </c>
      <c r="C18" s="2" t="s">
        <v>16</v>
      </c>
      <c r="D18" s="3">
        <v>1403439</v>
      </c>
      <c r="E18" s="3">
        <v>1414887</v>
      </c>
      <c r="F18" s="3"/>
      <c r="G18" s="3"/>
      <c r="H18" s="3"/>
      <c r="I18" s="3">
        <v>11257</v>
      </c>
      <c r="J18" s="20">
        <f t="shared" si="0"/>
        <v>1426144</v>
      </c>
      <c r="K18" s="112">
        <v>1075285</v>
      </c>
      <c r="L18" s="3">
        <f t="shared" si="1"/>
        <v>350859</v>
      </c>
    </row>
    <row r="19" spans="1:12" x14ac:dyDescent="0.25">
      <c r="A19" s="258"/>
      <c r="B19" s="268"/>
      <c r="C19" s="2" t="s">
        <v>17</v>
      </c>
      <c r="D19" s="3">
        <v>599759</v>
      </c>
      <c r="E19" s="3">
        <v>599759</v>
      </c>
      <c r="F19" s="3"/>
      <c r="G19" s="3"/>
      <c r="H19" s="3"/>
      <c r="I19" s="3"/>
      <c r="J19" s="20">
        <f t="shared" si="0"/>
        <v>599759</v>
      </c>
      <c r="K19" s="112">
        <v>599759</v>
      </c>
      <c r="L19" s="3">
        <f t="shared" si="1"/>
        <v>0</v>
      </c>
    </row>
    <row r="20" spans="1:12" x14ac:dyDescent="0.25">
      <c r="A20" s="255" t="s">
        <v>54</v>
      </c>
      <c r="B20" s="252" t="s">
        <v>21</v>
      </c>
      <c r="C20" s="2" t="s">
        <v>16</v>
      </c>
      <c r="D20" s="3">
        <v>4056383</v>
      </c>
      <c r="E20" s="3">
        <v>4056383</v>
      </c>
      <c r="F20" s="3"/>
      <c r="G20" s="3"/>
      <c r="H20" s="3"/>
      <c r="I20" s="3"/>
      <c r="J20" s="20">
        <f t="shared" si="0"/>
        <v>4056383</v>
      </c>
      <c r="K20" s="112">
        <v>3042287</v>
      </c>
      <c r="L20" s="3">
        <f t="shared" si="1"/>
        <v>1014096</v>
      </c>
    </row>
    <row r="21" spans="1:12" x14ac:dyDescent="0.25">
      <c r="A21" s="257"/>
      <c r="B21" s="254"/>
      <c r="C21" s="2" t="s">
        <v>17</v>
      </c>
      <c r="D21" s="3">
        <v>226299</v>
      </c>
      <c r="E21" s="3">
        <v>226299</v>
      </c>
      <c r="F21" s="3"/>
      <c r="G21" s="3"/>
      <c r="H21" s="3"/>
      <c r="I21" s="3"/>
      <c r="J21" s="20">
        <f t="shared" si="0"/>
        <v>226299</v>
      </c>
      <c r="K21" s="112">
        <v>226299</v>
      </c>
      <c r="L21" s="3">
        <f t="shared" si="1"/>
        <v>0</v>
      </c>
    </row>
    <row r="22" spans="1:12" x14ac:dyDescent="0.25">
      <c r="A22" s="258" t="s">
        <v>10</v>
      </c>
      <c r="B22" s="268" t="s">
        <v>21</v>
      </c>
      <c r="C22" s="2" t="s">
        <v>16</v>
      </c>
      <c r="D22" s="3">
        <v>53627392</v>
      </c>
      <c r="E22" s="3">
        <v>53627392</v>
      </c>
      <c r="F22" s="3"/>
      <c r="G22" s="3"/>
      <c r="H22" s="3"/>
      <c r="I22" s="3"/>
      <c r="J22" s="20">
        <f t="shared" si="0"/>
        <v>53627392</v>
      </c>
      <c r="K22" s="112">
        <v>21324032</v>
      </c>
      <c r="L22" s="3">
        <f t="shared" si="1"/>
        <v>32303360</v>
      </c>
    </row>
    <row r="23" spans="1:12" x14ac:dyDescent="0.25">
      <c r="A23" s="258"/>
      <c r="B23" s="268"/>
      <c r="C23" s="2" t="s">
        <v>17</v>
      </c>
      <c r="D23" s="3">
        <v>6467166</v>
      </c>
      <c r="E23" s="3">
        <v>6467166</v>
      </c>
      <c r="F23" s="3"/>
      <c r="G23" s="3"/>
      <c r="H23" s="3"/>
      <c r="I23" s="3"/>
      <c r="J23" s="20">
        <f t="shared" si="0"/>
        <v>6467166</v>
      </c>
      <c r="K23" s="112">
        <v>6467166</v>
      </c>
      <c r="L23" s="3">
        <f t="shared" si="1"/>
        <v>0</v>
      </c>
    </row>
    <row r="24" spans="1:12" ht="30" customHeight="1" x14ac:dyDescent="0.25">
      <c r="A24" s="380" t="s">
        <v>73</v>
      </c>
      <c r="B24" s="381"/>
      <c r="C24" s="382"/>
      <c r="D24" s="167">
        <f t="shared" ref="D24:L24" si="2">SUM(D5:D23)</f>
        <v>230443641</v>
      </c>
      <c r="E24" s="167">
        <f t="shared" si="2"/>
        <v>231774916</v>
      </c>
      <c r="F24" s="167">
        <f t="shared" si="2"/>
        <v>0</v>
      </c>
      <c r="G24" s="167">
        <f t="shared" si="2"/>
        <v>0</v>
      </c>
      <c r="H24" s="167">
        <f t="shared" si="2"/>
        <v>0</v>
      </c>
      <c r="I24" s="167">
        <f t="shared" si="2"/>
        <v>86923</v>
      </c>
      <c r="J24" s="167">
        <f t="shared" si="2"/>
        <v>231861839</v>
      </c>
      <c r="K24" s="168">
        <f t="shared" si="2"/>
        <v>161184991</v>
      </c>
      <c r="L24" s="167">
        <f t="shared" si="2"/>
        <v>70676848</v>
      </c>
    </row>
    <row r="25" spans="1:12" x14ac:dyDescent="0.25">
      <c r="A25" s="258" t="s">
        <v>11</v>
      </c>
      <c r="B25" s="252" t="s">
        <v>23</v>
      </c>
      <c r="C25" s="2" t="s">
        <v>24</v>
      </c>
      <c r="D25" s="3">
        <v>35883092</v>
      </c>
      <c r="E25" s="3">
        <v>35438980</v>
      </c>
      <c r="F25" s="3"/>
      <c r="G25" s="3"/>
      <c r="H25" s="3"/>
      <c r="I25" s="3"/>
      <c r="J25" s="20">
        <f t="shared" ref="J25:J31" si="3">E25+F25+G25+H25+I25</f>
        <v>35438980</v>
      </c>
      <c r="K25" s="112">
        <v>27174704</v>
      </c>
      <c r="L25" s="3">
        <f t="shared" ref="L25:L31" si="4">J25-K25</f>
        <v>8264276</v>
      </c>
    </row>
    <row r="26" spans="1:12" x14ac:dyDescent="0.25">
      <c r="A26" s="258"/>
      <c r="B26" s="253"/>
      <c r="C26" s="2" t="s">
        <v>25</v>
      </c>
      <c r="D26" s="3">
        <v>1542000</v>
      </c>
      <c r="E26" s="3">
        <v>1542000</v>
      </c>
      <c r="F26" s="3"/>
      <c r="G26" s="3"/>
      <c r="H26" s="3"/>
      <c r="I26" s="3"/>
      <c r="J26" s="20">
        <f t="shared" si="3"/>
        <v>1542000</v>
      </c>
      <c r="K26" s="112">
        <v>1425000</v>
      </c>
      <c r="L26" s="3">
        <f t="shared" si="4"/>
        <v>117000</v>
      </c>
    </row>
    <row r="27" spans="1:12" x14ac:dyDescent="0.25">
      <c r="A27" s="258"/>
      <c r="B27" s="253"/>
      <c r="C27" s="2" t="s">
        <v>26</v>
      </c>
      <c r="D27" s="3">
        <v>80000</v>
      </c>
      <c r="E27" s="3">
        <v>80000</v>
      </c>
      <c r="F27" s="3"/>
      <c r="G27" s="3"/>
      <c r="H27" s="3"/>
      <c r="I27" s="3"/>
      <c r="J27" s="20">
        <f t="shared" si="3"/>
        <v>80000</v>
      </c>
      <c r="K27" s="112">
        <v>0</v>
      </c>
      <c r="L27" s="3">
        <f t="shared" si="4"/>
        <v>80000</v>
      </c>
    </row>
    <row r="28" spans="1:12" x14ac:dyDescent="0.25">
      <c r="A28" s="258"/>
      <c r="B28" s="253"/>
      <c r="C28" s="2" t="s">
        <v>27</v>
      </c>
      <c r="D28" s="3">
        <v>893400</v>
      </c>
      <c r="E28" s="3">
        <v>887586</v>
      </c>
      <c r="F28" s="3"/>
      <c r="G28" s="3"/>
      <c r="H28" s="3"/>
      <c r="I28" s="3"/>
      <c r="J28" s="20">
        <f t="shared" si="3"/>
        <v>887586</v>
      </c>
      <c r="K28" s="112">
        <v>566364</v>
      </c>
      <c r="L28" s="3">
        <f t="shared" si="4"/>
        <v>321222</v>
      </c>
    </row>
    <row r="29" spans="1:12" x14ac:dyDescent="0.25">
      <c r="A29" s="258"/>
      <c r="B29" s="253"/>
      <c r="C29" s="2" t="s">
        <v>28</v>
      </c>
      <c r="D29" s="3">
        <v>190000</v>
      </c>
      <c r="E29" s="3">
        <v>190000</v>
      </c>
      <c r="F29" s="3"/>
      <c r="G29" s="3"/>
      <c r="H29" s="3"/>
      <c r="I29" s="3"/>
      <c r="J29" s="20">
        <f t="shared" si="3"/>
        <v>190000</v>
      </c>
      <c r="K29" s="112">
        <v>93000</v>
      </c>
      <c r="L29" s="3">
        <f t="shared" si="4"/>
        <v>97000</v>
      </c>
    </row>
    <row r="30" spans="1:12" x14ac:dyDescent="0.25">
      <c r="A30" s="258"/>
      <c r="B30" s="253"/>
      <c r="C30" s="2" t="s">
        <v>29</v>
      </c>
      <c r="D30" s="3">
        <v>1086500</v>
      </c>
      <c r="E30" s="3">
        <v>1484179</v>
      </c>
      <c r="F30" s="3">
        <v>-69236</v>
      </c>
      <c r="G30" s="3"/>
      <c r="H30" s="3"/>
      <c r="I30" s="3"/>
      <c r="J30" s="20">
        <f t="shared" si="3"/>
        <v>1414943</v>
      </c>
      <c r="K30" s="112">
        <v>703331</v>
      </c>
      <c r="L30" s="3">
        <f t="shared" si="4"/>
        <v>711612</v>
      </c>
    </row>
    <row r="31" spans="1:12" x14ac:dyDescent="0.25">
      <c r="A31" s="258"/>
      <c r="B31" s="253"/>
      <c r="C31" s="2" t="s">
        <v>30</v>
      </c>
      <c r="D31" s="3">
        <v>100000</v>
      </c>
      <c r="E31" s="3">
        <v>100000</v>
      </c>
      <c r="F31" s="3"/>
      <c r="G31" s="3"/>
      <c r="H31" s="3"/>
      <c r="I31" s="3"/>
      <c r="J31" s="20">
        <f t="shared" si="3"/>
        <v>100000</v>
      </c>
      <c r="K31" s="112">
        <v>19652</v>
      </c>
      <c r="L31" s="3">
        <f t="shared" si="4"/>
        <v>80348</v>
      </c>
    </row>
    <row r="32" spans="1:12" x14ac:dyDescent="0.25">
      <c r="A32" s="258"/>
      <c r="B32" s="253"/>
      <c r="C32" s="6" t="s">
        <v>53</v>
      </c>
      <c r="D32" s="7">
        <f>SUM(D25:D31)</f>
        <v>39774992</v>
      </c>
      <c r="E32" s="7">
        <f t="shared" ref="E32:L32" si="5">SUM(E25:E31)</f>
        <v>39722745</v>
      </c>
      <c r="F32" s="7">
        <f t="shared" si="5"/>
        <v>-69236</v>
      </c>
      <c r="G32" s="7">
        <f t="shared" si="5"/>
        <v>0</v>
      </c>
      <c r="H32" s="7">
        <f t="shared" si="5"/>
        <v>0</v>
      </c>
      <c r="I32" s="7">
        <f t="shared" si="5"/>
        <v>0</v>
      </c>
      <c r="J32" s="7">
        <f t="shared" si="5"/>
        <v>39653509</v>
      </c>
      <c r="K32" s="114">
        <f t="shared" si="5"/>
        <v>29982051</v>
      </c>
      <c r="L32" s="7">
        <f t="shared" si="5"/>
        <v>9671458</v>
      </c>
    </row>
    <row r="33" spans="1:12" x14ac:dyDescent="0.25">
      <c r="A33" s="258"/>
      <c r="B33" s="253"/>
      <c r="C33" s="86" t="s">
        <v>31</v>
      </c>
      <c r="D33" s="87">
        <v>7793417</v>
      </c>
      <c r="E33" s="87">
        <v>7795732</v>
      </c>
      <c r="F33" s="87"/>
      <c r="G33" s="87"/>
      <c r="H33" s="87"/>
      <c r="I33" s="87"/>
      <c r="J33" s="88">
        <f t="shared" ref="J33:J47" si="6">E33+F33+G33+H33+I33</f>
        <v>7795732</v>
      </c>
      <c r="K33" s="115">
        <v>6110791</v>
      </c>
      <c r="L33" s="89">
        <f t="shared" ref="L33:L47" si="7">J33-K33</f>
        <v>1684941</v>
      </c>
    </row>
    <row r="34" spans="1:12" x14ac:dyDescent="0.25">
      <c r="A34" s="258"/>
      <c r="B34" s="253"/>
      <c r="C34" s="2" t="s">
        <v>32</v>
      </c>
      <c r="D34" s="3">
        <v>105000</v>
      </c>
      <c r="E34" s="3">
        <v>115000</v>
      </c>
      <c r="F34" s="3"/>
      <c r="G34" s="3"/>
      <c r="H34" s="3"/>
      <c r="I34" s="3"/>
      <c r="J34" s="20">
        <f t="shared" si="6"/>
        <v>115000</v>
      </c>
      <c r="K34" s="112">
        <v>24818</v>
      </c>
      <c r="L34" s="3">
        <f t="shared" si="7"/>
        <v>90182</v>
      </c>
    </row>
    <row r="35" spans="1:12" x14ac:dyDescent="0.25">
      <c r="A35" s="258"/>
      <c r="B35" s="253"/>
      <c r="C35" s="2" t="s">
        <v>33</v>
      </c>
      <c r="D35" s="3">
        <v>500000</v>
      </c>
      <c r="E35" s="3">
        <v>500000</v>
      </c>
      <c r="F35" s="3"/>
      <c r="G35" s="3"/>
      <c r="H35" s="3"/>
      <c r="I35" s="3"/>
      <c r="J35" s="20">
        <f t="shared" si="6"/>
        <v>500000</v>
      </c>
      <c r="K35" s="112">
        <v>1922</v>
      </c>
      <c r="L35" s="3">
        <f t="shared" si="7"/>
        <v>498078</v>
      </c>
    </row>
    <row r="36" spans="1:12" x14ac:dyDescent="0.25">
      <c r="A36" s="258"/>
      <c r="B36" s="253"/>
      <c r="C36" s="2" t="s">
        <v>34</v>
      </c>
      <c r="D36" s="3">
        <v>213000</v>
      </c>
      <c r="E36" s="3">
        <v>213000</v>
      </c>
      <c r="F36" s="3"/>
      <c r="G36" s="3"/>
      <c r="H36" s="3"/>
      <c r="I36" s="3"/>
      <c r="J36" s="20">
        <f t="shared" si="6"/>
        <v>213000</v>
      </c>
      <c r="K36" s="112">
        <v>95487</v>
      </c>
      <c r="L36" s="3">
        <f t="shared" si="7"/>
        <v>117513</v>
      </c>
    </row>
    <row r="37" spans="1:12" x14ac:dyDescent="0.25">
      <c r="A37" s="258"/>
      <c r="B37" s="253"/>
      <c r="C37" s="2" t="s">
        <v>35</v>
      </c>
      <c r="D37" s="3">
        <v>162000</v>
      </c>
      <c r="E37" s="3">
        <v>162000</v>
      </c>
      <c r="F37" s="3"/>
      <c r="G37" s="3"/>
      <c r="H37" s="3"/>
      <c r="I37" s="3"/>
      <c r="J37" s="20">
        <f t="shared" si="6"/>
        <v>162000</v>
      </c>
      <c r="K37" s="112">
        <v>56715</v>
      </c>
      <c r="L37" s="3">
        <f t="shared" si="7"/>
        <v>105285</v>
      </c>
    </row>
    <row r="38" spans="1:12" x14ac:dyDescent="0.25">
      <c r="A38" s="258"/>
      <c r="B38" s="253"/>
      <c r="C38" s="2" t="s">
        <v>36</v>
      </c>
      <c r="D38" s="3">
        <v>569540</v>
      </c>
      <c r="E38" s="3">
        <v>569540</v>
      </c>
      <c r="F38" s="3"/>
      <c r="G38" s="3"/>
      <c r="H38" s="3"/>
      <c r="I38" s="3"/>
      <c r="J38" s="20">
        <f t="shared" si="6"/>
        <v>569540</v>
      </c>
      <c r="K38" s="112">
        <v>388149</v>
      </c>
      <c r="L38" s="3">
        <f t="shared" si="7"/>
        <v>181391</v>
      </c>
    </row>
    <row r="39" spans="1:12" x14ac:dyDescent="0.25">
      <c r="A39" s="258"/>
      <c r="B39" s="253"/>
      <c r="C39" s="2" t="s">
        <v>37</v>
      </c>
      <c r="D39" s="3">
        <v>3000</v>
      </c>
      <c r="E39" s="3">
        <v>3000</v>
      </c>
      <c r="F39" s="3"/>
      <c r="G39" s="3"/>
      <c r="H39" s="3"/>
      <c r="I39" s="3"/>
      <c r="J39" s="20">
        <f t="shared" si="6"/>
        <v>3000</v>
      </c>
      <c r="K39" s="112">
        <v>0</v>
      </c>
      <c r="L39" s="3">
        <f t="shared" si="7"/>
        <v>3000</v>
      </c>
    </row>
    <row r="40" spans="1:12" x14ac:dyDescent="0.25">
      <c r="A40" s="258"/>
      <c r="B40" s="253"/>
      <c r="C40" s="2" t="s">
        <v>38</v>
      </c>
      <c r="D40" s="3">
        <v>460000</v>
      </c>
      <c r="E40" s="3">
        <v>456500</v>
      </c>
      <c r="F40" s="3"/>
      <c r="G40" s="3"/>
      <c r="H40" s="3"/>
      <c r="I40" s="3"/>
      <c r="J40" s="20">
        <f t="shared" si="6"/>
        <v>456500</v>
      </c>
      <c r="K40" s="112">
        <v>189040</v>
      </c>
      <c r="L40" s="3">
        <f t="shared" si="7"/>
        <v>267460</v>
      </c>
    </row>
    <row r="41" spans="1:12" x14ac:dyDescent="0.25">
      <c r="A41" s="258"/>
      <c r="B41" s="253"/>
      <c r="C41" s="2" t="s">
        <v>39</v>
      </c>
      <c r="D41" s="3">
        <v>13200</v>
      </c>
      <c r="E41" s="3">
        <v>31926</v>
      </c>
      <c r="F41" s="3"/>
      <c r="G41" s="3"/>
      <c r="H41" s="3"/>
      <c r="I41" s="3"/>
      <c r="J41" s="20">
        <f t="shared" si="6"/>
        <v>31926</v>
      </c>
      <c r="K41" s="112">
        <v>24072</v>
      </c>
      <c r="L41" s="60">
        <f t="shared" si="7"/>
        <v>7854</v>
      </c>
    </row>
    <row r="42" spans="1:12" x14ac:dyDescent="0.25">
      <c r="A42" s="258"/>
      <c r="B42" s="253"/>
      <c r="C42" s="2" t="s">
        <v>40</v>
      </c>
      <c r="D42" s="3">
        <v>137800</v>
      </c>
      <c r="E42" s="3">
        <v>62800</v>
      </c>
      <c r="F42" s="3"/>
      <c r="G42" s="3"/>
      <c r="H42" s="3"/>
      <c r="I42" s="3"/>
      <c r="J42" s="20">
        <f t="shared" si="6"/>
        <v>62800</v>
      </c>
      <c r="K42" s="112">
        <v>53500</v>
      </c>
      <c r="L42" s="3">
        <f t="shared" si="7"/>
        <v>9300</v>
      </c>
    </row>
    <row r="43" spans="1:12" x14ac:dyDescent="0.25">
      <c r="A43" s="258"/>
      <c r="B43" s="253"/>
      <c r="C43" s="2" t="s">
        <v>41</v>
      </c>
      <c r="D43" s="3">
        <v>582236</v>
      </c>
      <c r="E43" s="3">
        <v>578510</v>
      </c>
      <c r="F43" s="3"/>
      <c r="G43" s="3"/>
      <c r="H43" s="3"/>
      <c r="I43" s="3"/>
      <c r="J43" s="20">
        <f t="shared" si="6"/>
        <v>578510</v>
      </c>
      <c r="K43" s="112">
        <v>503727</v>
      </c>
      <c r="L43" s="3">
        <f t="shared" si="7"/>
        <v>74783</v>
      </c>
    </row>
    <row r="44" spans="1:12" x14ac:dyDescent="0.25">
      <c r="A44" s="258"/>
      <c r="B44" s="253"/>
      <c r="C44" s="2" t="s">
        <v>42</v>
      </c>
      <c r="D44" s="3">
        <v>552000</v>
      </c>
      <c r="E44" s="3">
        <v>534045</v>
      </c>
      <c r="F44" s="3"/>
      <c r="G44" s="3"/>
      <c r="H44" s="3"/>
      <c r="I44" s="3"/>
      <c r="J44" s="20">
        <f t="shared" si="6"/>
        <v>534045</v>
      </c>
      <c r="K44" s="112">
        <v>322040</v>
      </c>
      <c r="L44" s="3">
        <f t="shared" si="7"/>
        <v>212005</v>
      </c>
    </row>
    <row r="45" spans="1:12" x14ac:dyDescent="0.25">
      <c r="A45" s="258"/>
      <c r="B45" s="253"/>
      <c r="C45" s="2" t="s">
        <v>43</v>
      </c>
      <c r="D45" s="3">
        <v>30000</v>
      </c>
      <c r="E45" s="3">
        <v>30000</v>
      </c>
      <c r="F45" s="3"/>
      <c r="G45" s="3"/>
      <c r="H45" s="3"/>
      <c r="I45" s="3"/>
      <c r="J45" s="20">
        <f t="shared" si="6"/>
        <v>30000</v>
      </c>
      <c r="K45" s="112">
        <v>0</v>
      </c>
      <c r="L45" s="3">
        <f t="shared" si="7"/>
        <v>30000</v>
      </c>
    </row>
    <row r="46" spans="1:12" x14ac:dyDescent="0.25">
      <c r="A46" s="258"/>
      <c r="B46" s="253"/>
      <c r="C46" s="2" t="s">
        <v>44</v>
      </c>
      <c r="D46" s="3">
        <v>455834</v>
      </c>
      <c r="E46" s="3">
        <v>218435</v>
      </c>
      <c r="F46" s="3"/>
      <c r="G46" s="3"/>
      <c r="H46" s="3"/>
      <c r="I46" s="3"/>
      <c r="J46" s="20">
        <f t="shared" si="6"/>
        <v>218435</v>
      </c>
      <c r="K46" s="112">
        <v>132970</v>
      </c>
      <c r="L46" s="3">
        <f t="shared" si="7"/>
        <v>85465</v>
      </c>
    </row>
    <row r="47" spans="1:12" x14ac:dyDescent="0.25">
      <c r="A47" s="258"/>
      <c r="B47" s="253"/>
      <c r="C47" s="2" t="s">
        <v>45</v>
      </c>
      <c r="D47" s="3">
        <v>80000</v>
      </c>
      <c r="E47" s="3">
        <v>75764</v>
      </c>
      <c r="F47" s="3"/>
      <c r="G47" s="3"/>
      <c r="H47" s="3"/>
      <c r="I47" s="3"/>
      <c r="J47" s="20">
        <f t="shared" si="6"/>
        <v>75764</v>
      </c>
      <c r="K47" s="112">
        <v>63943</v>
      </c>
      <c r="L47" s="3">
        <f t="shared" si="7"/>
        <v>11821</v>
      </c>
    </row>
    <row r="48" spans="1:12" x14ac:dyDescent="0.25">
      <c r="A48" s="258"/>
      <c r="B48" s="253"/>
      <c r="C48" s="6" t="s">
        <v>49</v>
      </c>
      <c r="D48" s="7">
        <f>SUM(D34:D47)</f>
        <v>3863610</v>
      </c>
      <c r="E48" s="7">
        <v>3550520</v>
      </c>
      <c r="F48" s="7">
        <f t="shared" ref="F48:L48" si="8">SUM(F34:F47)</f>
        <v>0</v>
      </c>
      <c r="G48" s="7">
        <f t="shared" si="8"/>
        <v>0</v>
      </c>
      <c r="H48" s="7">
        <f t="shared" si="8"/>
        <v>0</v>
      </c>
      <c r="I48" s="7">
        <f t="shared" si="8"/>
        <v>0</v>
      </c>
      <c r="J48" s="7">
        <f t="shared" si="8"/>
        <v>3550520</v>
      </c>
      <c r="K48" s="114">
        <f t="shared" si="8"/>
        <v>1856383</v>
      </c>
      <c r="L48" s="7">
        <f t="shared" si="8"/>
        <v>1694137</v>
      </c>
    </row>
    <row r="49" spans="1:12" x14ac:dyDescent="0.25">
      <c r="A49" s="258"/>
      <c r="B49" s="253"/>
      <c r="C49" s="2" t="s">
        <v>50</v>
      </c>
      <c r="D49" s="3">
        <v>78740</v>
      </c>
      <c r="E49" s="3">
        <v>78740</v>
      </c>
      <c r="F49" s="3"/>
      <c r="G49" s="3"/>
      <c r="H49" s="3"/>
      <c r="I49" s="3"/>
      <c r="J49" s="20">
        <f t="shared" ref="J49:J50" si="9">E49+F49+G49+H49+I49</f>
        <v>78740</v>
      </c>
      <c r="K49" s="112">
        <v>0</v>
      </c>
      <c r="L49" s="3">
        <f t="shared" ref="L49:L50" si="10">J49-K49</f>
        <v>78740</v>
      </c>
    </row>
    <row r="50" spans="1:12" x14ac:dyDescent="0.25">
      <c r="A50" s="258"/>
      <c r="B50" s="253"/>
      <c r="C50" s="2" t="s">
        <v>51</v>
      </c>
      <c r="D50" s="3">
        <v>21260</v>
      </c>
      <c r="E50" s="3">
        <v>21260</v>
      </c>
      <c r="F50" s="3"/>
      <c r="G50" s="3"/>
      <c r="H50" s="3"/>
      <c r="I50" s="3"/>
      <c r="J50" s="20">
        <f t="shared" si="9"/>
        <v>21260</v>
      </c>
      <c r="K50" s="112">
        <v>0</v>
      </c>
      <c r="L50" s="3">
        <f t="shared" si="10"/>
        <v>21260</v>
      </c>
    </row>
    <row r="51" spans="1:12" x14ac:dyDescent="0.25">
      <c r="A51" s="258"/>
      <c r="B51" s="254"/>
      <c r="C51" s="6" t="s">
        <v>52</v>
      </c>
      <c r="D51" s="7">
        <f>SUM(D49:D50)</f>
        <v>100000</v>
      </c>
      <c r="E51" s="7">
        <v>100000</v>
      </c>
      <c r="F51" s="7">
        <f t="shared" ref="F51:L51" si="11">SUM(F49:F50)</f>
        <v>0</v>
      </c>
      <c r="G51" s="7">
        <f t="shared" si="11"/>
        <v>0</v>
      </c>
      <c r="H51" s="7">
        <f t="shared" si="11"/>
        <v>0</v>
      </c>
      <c r="I51" s="7">
        <f t="shared" si="11"/>
        <v>0</v>
      </c>
      <c r="J51" s="7">
        <f t="shared" si="11"/>
        <v>100000</v>
      </c>
      <c r="K51" s="114">
        <f t="shared" si="11"/>
        <v>0</v>
      </c>
      <c r="L51" s="7">
        <f t="shared" si="11"/>
        <v>100000</v>
      </c>
    </row>
    <row r="52" spans="1:12" x14ac:dyDescent="0.25">
      <c r="A52" s="258"/>
      <c r="B52" s="268" t="s">
        <v>46</v>
      </c>
      <c r="C52" s="2" t="s">
        <v>24</v>
      </c>
      <c r="D52" s="3">
        <v>25123345</v>
      </c>
      <c r="E52" s="3">
        <v>25143281</v>
      </c>
      <c r="F52" s="3"/>
      <c r="G52" s="3"/>
      <c r="H52" s="3"/>
      <c r="I52" s="3">
        <f>11870+19936</f>
        <v>31806</v>
      </c>
      <c r="J52" s="20">
        <f t="shared" ref="J52:J60" si="12">E52+F52+G52+H52+I52</f>
        <v>25175087</v>
      </c>
      <c r="K52" s="112">
        <v>18827037</v>
      </c>
      <c r="L52" s="3">
        <f t="shared" ref="L52:L60" si="13">J52-K52</f>
        <v>6348050</v>
      </c>
    </row>
    <row r="53" spans="1:12" x14ac:dyDescent="0.25">
      <c r="A53" s="258"/>
      <c r="B53" s="268"/>
      <c r="C53" s="2" t="s">
        <v>47</v>
      </c>
      <c r="D53" s="3">
        <v>2040480</v>
      </c>
      <c r="E53" s="3">
        <v>2040480</v>
      </c>
      <c r="F53" s="3"/>
      <c r="G53" s="3"/>
      <c r="H53" s="3"/>
      <c r="I53" s="3"/>
      <c r="J53" s="20">
        <f t="shared" si="12"/>
        <v>2040480</v>
      </c>
      <c r="K53" s="112">
        <v>1595194</v>
      </c>
      <c r="L53" s="3">
        <f t="shared" si="13"/>
        <v>445286</v>
      </c>
    </row>
    <row r="54" spans="1:12" x14ac:dyDescent="0.25">
      <c r="A54" s="258"/>
      <c r="B54" s="268"/>
      <c r="C54" s="2" t="s">
        <v>48</v>
      </c>
      <c r="D54" s="3">
        <v>0</v>
      </c>
      <c r="E54" s="3">
        <v>0</v>
      </c>
      <c r="F54" s="3"/>
      <c r="G54" s="3"/>
      <c r="H54" s="3"/>
      <c r="I54" s="3"/>
      <c r="J54" s="20">
        <f t="shared" si="12"/>
        <v>0</v>
      </c>
      <c r="K54" s="112">
        <v>0</v>
      </c>
      <c r="L54" s="3">
        <f t="shared" si="13"/>
        <v>0</v>
      </c>
    </row>
    <row r="55" spans="1:12" x14ac:dyDescent="0.25">
      <c r="A55" s="258"/>
      <c r="B55" s="268"/>
      <c r="C55" s="2" t="s">
        <v>25</v>
      </c>
      <c r="D55" s="3">
        <v>1025000</v>
      </c>
      <c r="E55" s="3">
        <v>1025000</v>
      </c>
      <c r="F55" s="3"/>
      <c r="G55" s="3"/>
      <c r="H55" s="3"/>
      <c r="I55" s="3"/>
      <c r="J55" s="20">
        <f t="shared" si="12"/>
        <v>1025000</v>
      </c>
      <c r="K55" s="112">
        <v>925000</v>
      </c>
      <c r="L55" s="3">
        <f t="shared" si="13"/>
        <v>100000</v>
      </c>
    </row>
    <row r="56" spans="1:12" x14ac:dyDescent="0.25">
      <c r="A56" s="258"/>
      <c r="B56" s="268"/>
      <c r="C56" s="2" t="s">
        <v>26</v>
      </c>
      <c r="D56" s="3">
        <v>60000</v>
      </c>
      <c r="E56" s="3">
        <v>60000</v>
      </c>
      <c r="F56" s="3"/>
      <c r="G56" s="3"/>
      <c r="H56" s="3"/>
      <c r="I56" s="3"/>
      <c r="J56" s="20">
        <f t="shared" si="12"/>
        <v>60000</v>
      </c>
      <c r="K56" s="112">
        <v>0</v>
      </c>
      <c r="L56" s="3">
        <f t="shared" si="13"/>
        <v>60000</v>
      </c>
    </row>
    <row r="57" spans="1:12" x14ac:dyDescent="0.25">
      <c r="A57" s="258"/>
      <c r="B57" s="268"/>
      <c r="C57" s="2" t="s">
        <v>27</v>
      </c>
      <c r="D57" s="3">
        <v>240000</v>
      </c>
      <c r="E57" s="3">
        <v>229902</v>
      </c>
      <c r="F57" s="3"/>
      <c r="G57" s="3"/>
      <c r="H57" s="3"/>
      <c r="I57" s="3"/>
      <c r="J57" s="20">
        <f t="shared" si="12"/>
        <v>229902</v>
      </c>
      <c r="K57" s="112">
        <v>129870</v>
      </c>
      <c r="L57" s="3">
        <f t="shared" si="13"/>
        <v>100032</v>
      </c>
    </row>
    <row r="58" spans="1:12" x14ac:dyDescent="0.25">
      <c r="A58" s="258"/>
      <c r="B58" s="268"/>
      <c r="C58" s="2" t="s">
        <v>28</v>
      </c>
      <c r="D58" s="3">
        <v>147000</v>
      </c>
      <c r="E58" s="3">
        <v>147000</v>
      </c>
      <c r="F58" s="3"/>
      <c r="G58" s="3"/>
      <c r="H58" s="3"/>
      <c r="I58" s="3"/>
      <c r="J58" s="20">
        <f t="shared" si="12"/>
        <v>147000</v>
      </c>
      <c r="K58" s="112">
        <v>57000</v>
      </c>
      <c r="L58" s="3">
        <f t="shared" si="13"/>
        <v>90000</v>
      </c>
    </row>
    <row r="59" spans="1:12" x14ac:dyDescent="0.25">
      <c r="A59" s="258"/>
      <c r="B59" s="268"/>
      <c r="C59" s="2" t="s">
        <v>29</v>
      </c>
      <c r="D59" s="3">
        <v>553500</v>
      </c>
      <c r="E59" s="3">
        <v>523080</v>
      </c>
      <c r="F59" s="3">
        <v>69236</v>
      </c>
      <c r="G59" s="3"/>
      <c r="H59" s="3"/>
      <c r="I59" s="3"/>
      <c r="J59" s="20">
        <f t="shared" si="12"/>
        <v>592316</v>
      </c>
      <c r="K59" s="112">
        <v>592316</v>
      </c>
      <c r="L59" s="3">
        <f t="shared" si="13"/>
        <v>0</v>
      </c>
    </row>
    <row r="60" spans="1:12" x14ac:dyDescent="0.25">
      <c r="A60" s="258"/>
      <c r="B60" s="268"/>
      <c r="C60" s="2" t="s">
        <v>30</v>
      </c>
      <c r="D60" s="3">
        <v>100000</v>
      </c>
      <c r="E60" s="3">
        <v>100000</v>
      </c>
      <c r="F60" s="3"/>
      <c r="G60" s="3"/>
      <c r="H60" s="3"/>
      <c r="I60" s="3"/>
      <c r="J60" s="20">
        <f t="shared" si="12"/>
        <v>100000</v>
      </c>
      <c r="K60" s="112">
        <v>19652</v>
      </c>
      <c r="L60" s="3">
        <f t="shared" si="13"/>
        <v>80348</v>
      </c>
    </row>
    <row r="61" spans="1:12" x14ac:dyDescent="0.25">
      <c r="A61" s="258"/>
      <c r="B61" s="268"/>
      <c r="C61" s="6" t="s">
        <v>53</v>
      </c>
      <c r="D61" s="7">
        <f>SUM(D52:D60)</f>
        <v>29289325</v>
      </c>
      <c r="E61" s="7">
        <v>29268743</v>
      </c>
      <c r="F61" s="7">
        <f t="shared" ref="F61:L61" si="14">SUM(F52:F60)</f>
        <v>69236</v>
      </c>
      <c r="G61" s="7">
        <f t="shared" si="14"/>
        <v>0</v>
      </c>
      <c r="H61" s="7">
        <f t="shared" si="14"/>
        <v>0</v>
      </c>
      <c r="I61" s="7">
        <f t="shared" si="14"/>
        <v>31806</v>
      </c>
      <c r="J61" s="7">
        <f t="shared" si="14"/>
        <v>29369785</v>
      </c>
      <c r="K61" s="114">
        <f t="shared" si="14"/>
        <v>22146069</v>
      </c>
      <c r="L61" s="7">
        <f t="shared" si="14"/>
        <v>7223716</v>
      </c>
    </row>
    <row r="62" spans="1:12" x14ac:dyDescent="0.25">
      <c r="A62" s="258"/>
      <c r="B62" s="268"/>
      <c r="C62" s="86" t="s">
        <v>31</v>
      </c>
      <c r="D62" s="87">
        <v>5849797</v>
      </c>
      <c r="E62" s="87">
        <v>5853685</v>
      </c>
      <c r="F62" s="87"/>
      <c r="G62" s="87"/>
      <c r="H62" s="87"/>
      <c r="I62" s="87">
        <v>5566</v>
      </c>
      <c r="J62" s="88">
        <f t="shared" ref="J62:J75" si="15">E62+F62+G62+H62+I62</f>
        <v>5859251</v>
      </c>
      <c r="K62" s="115">
        <v>4688239</v>
      </c>
      <c r="L62" s="89">
        <f t="shared" ref="L62:L75" si="16">J62-K62</f>
        <v>1171012</v>
      </c>
    </row>
    <row r="63" spans="1:12" x14ac:dyDescent="0.25">
      <c r="A63" s="258"/>
      <c r="B63" s="268"/>
      <c r="C63" s="2" t="s">
        <v>32</v>
      </c>
      <c r="D63" s="3">
        <v>105000</v>
      </c>
      <c r="E63" s="3">
        <v>105000</v>
      </c>
      <c r="F63" s="3">
        <v>-13514</v>
      </c>
      <c r="G63" s="3"/>
      <c r="H63" s="3"/>
      <c r="I63" s="3"/>
      <c r="J63" s="20">
        <f t="shared" si="15"/>
        <v>91486</v>
      </c>
      <c r="K63" s="112">
        <v>24820</v>
      </c>
      <c r="L63" s="3">
        <f t="shared" si="16"/>
        <v>66666</v>
      </c>
    </row>
    <row r="64" spans="1:12" x14ac:dyDescent="0.25">
      <c r="A64" s="258"/>
      <c r="B64" s="268"/>
      <c r="C64" s="2" t="s">
        <v>33</v>
      </c>
      <c r="D64" s="3">
        <v>700000</v>
      </c>
      <c r="E64" s="3">
        <v>700000</v>
      </c>
      <c r="F64" s="3"/>
      <c r="G64" s="3"/>
      <c r="H64" s="3"/>
      <c r="I64" s="3"/>
      <c r="J64" s="20">
        <f t="shared" si="15"/>
        <v>700000</v>
      </c>
      <c r="K64" s="112">
        <v>43894</v>
      </c>
      <c r="L64" s="3">
        <f t="shared" si="16"/>
        <v>656106</v>
      </c>
    </row>
    <row r="65" spans="1:12" x14ac:dyDescent="0.25">
      <c r="A65" s="258"/>
      <c r="B65" s="268"/>
      <c r="C65" s="2" t="s">
        <v>34</v>
      </c>
      <c r="D65" s="3">
        <v>213000</v>
      </c>
      <c r="E65" s="3">
        <v>213000</v>
      </c>
      <c r="F65" s="3"/>
      <c r="G65" s="3"/>
      <c r="H65" s="3"/>
      <c r="I65" s="3"/>
      <c r="J65" s="20">
        <f t="shared" si="15"/>
        <v>213000</v>
      </c>
      <c r="K65" s="112">
        <v>87869</v>
      </c>
      <c r="L65" s="3">
        <f t="shared" si="16"/>
        <v>125131</v>
      </c>
    </row>
    <row r="66" spans="1:12" x14ac:dyDescent="0.25">
      <c r="A66" s="258"/>
      <c r="B66" s="268"/>
      <c r="C66" s="2" t="s">
        <v>35</v>
      </c>
      <c r="D66" s="3">
        <v>288000</v>
      </c>
      <c r="E66" s="3">
        <v>122200</v>
      </c>
      <c r="F66" s="3"/>
      <c r="G66" s="3"/>
      <c r="H66" s="3"/>
      <c r="I66" s="3"/>
      <c r="J66" s="20">
        <f t="shared" si="15"/>
        <v>122200</v>
      </c>
      <c r="K66" s="112">
        <v>93967</v>
      </c>
      <c r="L66" s="3">
        <f t="shared" si="16"/>
        <v>28233</v>
      </c>
    </row>
    <row r="67" spans="1:12" x14ac:dyDescent="0.25">
      <c r="A67" s="258"/>
      <c r="B67" s="268"/>
      <c r="C67" s="2" t="s">
        <v>36</v>
      </c>
      <c r="D67" s="3">
        <v>669540</v>
      </c>
      <c r="E67" s="3">
        <v>669540</v>
      </c>
      <c r="F67" s="3"/>
      <c r="G67" s="3"/>
      <c r="H67" s="3"/>
      <c r="I67" s="3"/>
      <c r="J67" s="20">
        <f t="shared" si="15"/>
        <v>669540</v>
      </c>
      <c r="K67" s="112">
        <v>467977</v>
      </c>
      <c r="L67" s="3">
        <f t="shared" si="16"/>
        <v>201563</v>
      </c>
    </row>
    <row r="68" spans="1:12" x14ac:dyDescent="0.25">
      <c r="A68" s="258"/>
      <c r="B68" s="268"/>
      <c r="C68" s="2" t="s">
        <v>37</v>
      </c>
      <c r="D68" s="3">
        <v>123000</v>
      </c>
      <c r="E68" s="3">
        <v>123000</v>
      </c>
      <c r="F68" s="3"/>
      <c r="G68" s="3"/>
      <c r="H68" s="3"/>
      <c r="I68" s="3"/>
      <c r="J68" s="20">
        <f t="shared" si="15"/>
        <v>123000</v>
      </c>
      <c r="K68" s="112">
        <v>0</v>
      </c>
      <c r="L68" s="3">
        <f t="shared" si="16"/>
        <v>123000</v>
      </c>
    </row>
    <row r="69" spans="1:12" x14ac:dyDescent="0.25">
      <c r="A69" s="258"/>
      <c r="B69" s="268"/>
      <c r="C69" s="2" t="s">
        <v>38</v>
      </c>
      <c r="D69" s="3">
        <v>460000</v>
      </c>
      <c r="E69" s="3">
        <v>460000</v>
      </c>
      <c r="F69" s="3"/>
      <c r="G69" s="3"/>
      <c r="H69" s="3"/>
      <c r="I69" s="3"/>
      <c r="J69" s="20">
        <f t="shared" si="15"/>
        <v>460000</v>
      </c>
      <c r="K69" s="112">
        <v>193540</v>
      </c>
      <c r="L69" s="3">
        <f t="shared" si="16"/>
        <v>266460</v>
      </c>
    </row>
    <row r="70" spans="1:12" x14ac:dyDescent="0.25">
      <c r="A70" s="258"/>
      <c r="B70" s="268"/>
      <c r="C70" s="2" t="s">
        <v>40</v>
      </c>
      <c r="D70" s="3">
        <v>1361904</v>
      </c>
      <c r="E70" s="3">
        <v>1361904</v>
      </c>
      <c r="F70" s="3">
        <f>-59000-49636</f>
        <v>-108636</v>
      </c>
      <c r="G70" s="3"/>
      <c r="H70" s="3"/>
      <c r="I70" s="3"/>
      <c r="J70" s="20">
        <f t="shared" si="15"/>
        <v>1253268</v>
      </c>
      <c r="K70" s="112">
        <v>544586</v>
      </c>
      <c r="L70" s="3">
        <f t="shared" si="16"/>
        <v>708682</v>
      </c>
    </row>
    <row r="71" spans="1:12" x14ac:dyDescent="0.25">
      <c r="A71" s="258"/>
      <c r="B71" s="268"/>
      <c r="C71" s="2" t="s">
        <v>41</v>
      </c>
      <c r="D71" s="3">
        <v>982236</v>
      </c>
      <c r="E71" s="3">
        <v>980551</v>
      </c>
      <c r="F71" s="3">
        <f>59000+49636</f>
        <v>108636</v>
      </c>
      <c r="G71" s="3"/>
      <c r="H71" s="3"/>
      <c r="I71" s="3"/>
      <c r="J71" s="20">
        <f t="shared" si="15"/>
        <v>1089187</v>
      </c>
      <c r="K71" s="112">
        <v>1027227</v>
      </c>
      <c r="L71" s="3">
        <f t="shared" si="16"/>
        <v>61960</v>
      </c>
    </row>
    <row r="72" spans="1:12" x14ac:dyDescent="0.25">
      <c r="A72" s="258"/>
      <c r="B72" s="268"/>
      <c r="C72" s="2" t="s">
        <v>42</v>
      </c>
      <c r="D72" s="3">
        <v>1200000</v>
      </c>
      <c r="E72" s="3">
        <v>1139045</v>
      </c>
      <c r="F72" s="3"/>
      <c r="G72" s="3"/>
      <c r="H72" s="3"/>
      <c r="I72" s="3"/>
      <c r="J72" s="20">
        <f t="shared" si="15"/>
        <v>1139045</v>
      </c>
      <c r="K72" s="112">
        <v>281975</v>
      </c>
      <c r="L72" s="3">
        <f t="shared" si="16"/>
        <v>857070</v>
      </c>
    </row>
    <row r="73" spans="1:12" x14ac:dyDescent="0.25">
      <c r="A73" s="258"/>
      <c r="B73" s="268"/>
      <c r="C73" s="2" t="s">
        <v>43</v>
      </c>
      <c r="D73" s="3">
        <v>30000</v>
      </c>
      <c r="E73" s="3">
        <v>30000</v>
      </c>
      <c r="F73" s="3"/>
      <c r="G73" s="3"/>
      <c r="H73" s="3"/>
      <c r="I73" s="3"/>
      <c r="J73" s="20">
        <f t="shared" si="15"/>
        <v>30000</v>
      </c>
      <c r="K73" s="112">
        <v>0</v>
      </c>
      <c r="L73" s="3">
        <f t="shared" si="16"/>
        <v>30000</v>
      </c>
    </row>
    <row r="74" spans="1:12" x14ac:dyDescent="0.25">
      <c r="A74" s="258"/>
      <c r="B74" s="268"/>
      <c r="C74" s="2" t="s">
        <v>44</v>
      </c>
      <c r="D74" s="3">
        <v>1041508</v>
      </c>
      <c r="E74" s="3">
        <v>980423</v>
      </c>
      <c r="F74" s="3">
        <v>-985</v>
      </c>
      <c r="G74" s="3"/>
      <c r="H74" s="3"/>
      <c r="I74" s="3"/>
      <c r="J74" s="20">
        <f t="shared" si="15"/>
        <v>979438</v>
      </c>
      <c r="K74" s="112">
        <v>271977</v>
      </c>
      <c r="L74" s="3">
        <f t="shared" si="16"/>
        <v>707461</v>
      </c>
    </row>
    <row r="75" spans="1:12" x14ac:dyDescent="0.25">
      <c r="A75" s="258"/>
      <c r="B75" s="268"/>
      <c r="C75" s="2" t="s">
        <v>45</v>
      </c>
      <c r="D75" s="3">
        <v>433021</v>
      </c>
      <c r="E75" s="3">
        <v>134003</v>
      </c>
      <c r="F75" s="3">
        <v>-26400</v>
      </c>
      <c r="G75" s="3"/>
      <c r="H75" s="3"/>
      <c r="I75" s="3"/>
      <c r="J75" s="20">
        <f t="shared" si="15"/>
        <v>107603</v>
      </c>
      <c r="K75" s="112">
        <v>0</v>
      </c>
      <c r="L75" s="3">
        <f t="shared" si="16"/>
        <v>107603</v>
      </c>
    </row>
    <row r="76" spans="1:12" x14ac:dyDescent="0.25">
      <c r="A76" s="258"/>
      <c r="B76" s="268"/>
      <c r="C76" s="6" t="s">
        <v>49</v>
      </c>
      <c r="D76" s="7">
        <f>SUM(D63:D75)</f>
        <v>7607209</v>
      </c>
      <c r="E76" s="7">
        <v>7018666</v>
      </c>
      <c r="F76" s="7">
        <f t="shared" ref="F76:L76" si="17">SUM(F63:F75)</f>
        <v>-40899</v>
      </c>
      <c r="G76" s="7">
        <f t="shared" si="17"/>
        <v>0</v>
      </c>
      <c r="H76" s="7">
        <f t="shared" si="17"/>
        <v>0</v>
      </c>
      <c r="I76" s="7">
        <f t="shared" si="17"/>
        <v>0</v>
      </c>
      <c r="J76" s="7">
        <f t="shared" si="17"/>
        <v>6977767</v>
      </c>
      <c r="K76" s="114">
        <f t="shared" si="17"/>
        <v>3037832</v>
      </c>
      <c r="L76" s="7">
        <f t="shared" si="17"/>
        <v>3939935</v>
      </c>
    </row>
    <row r="77" spans="1:12" x14ac:dyDescent="0.25">
      <c r="A77" s="258"/>
      <c r="B77" s="268"/>
      <c r="C77" s="2" t="s">
        <v>50</v>
      </c>
      <c r="D77" s="3">
        <v>78740</v>
      </c>
      <c r="E77" s="3">
        <v>78740</v>
      </c>
      <c r="F77" s="3"/>
      <c r="G77" s="3"/>
      <c r="H77" s="3"/>
      <c r="I77" s="3"/>
      <c r="J77" s="20">
        <f t="shared" ref="J77:J78" si="18">E77+F77+G77+H77+I77</f>
        <v>78740</v>
      </c>
      <c r="K77" s="112">
        <v>0</v>
      </c>
      <c r="L77" s="3">
        <f t="shared" ref="L77:L78" si="19">J77-K77</f>
        <v>78740</v>
      </c>
    </row>
    <row r="78" spans="1:12" x14ac:dyDescent="0.25">
      <c r="A78" s="258"/>
      <c r="B78" s="268"/>
      <c r="C78" s="2" t="s">
        <v>51</v>
      </c>
      <c r="D78" s="3">
        <v>21260</v>
      </c>
      <c r="E78" s="3">
        <v>21260</v>
      </c>
      <c r="F78" s="3"/>
      <c r="G78" s="3"/>
      <c r="H78" s="3"/>
      <c r="I78" s="3"/>
      <c r="J78" s="20">
        <f t="shared" si="18"/>
        <v>21260</v>
      </c>
      <c r="K78" s="112">
        <v>0</v>
      </c>
      <c r="L78" s="3">
        <f t="shared" si="19"/>
        <v>21260</v>
      </c>
    </row>
    <row r="79" spans="1:12" x14ac:dyDescent="0.25">
      <c r="A79" s="258"/>
      <c r="B79" s="268"/>
      <c r="C79" s="6" t="s">
        <v>52</v>
      </c>
      <c r="D79" s="7">
        <f>SUM(D77:D78)</f>
        <v>100000</v>
      </c>
      <c r="E79" s="7">
        <v>100000</v>
      </c>
      <c r="F79" s="7">
        <f t="shared" ref="F79:L79" si="20">SUM(F77:F78)</f>
        <v>0</v>
      </c>
      <c r="G79" s="7">
        <f t="shared" si="20"/>
        <v>0</v>
      </c>
      <c r="H79" s="7">
        <f t="shared" si="20"/>
        <v>0</v>
      </c>
      <c r="I79" s="7">
        <f t="shared" si="20"/>
        <v>0</v>
      </c>
      <c r="J79" s="7">
        <f t="shared" si="20"/>
        <v>100000</v>
      </c>
      <c r="K79" s="114">
        <f t="shared" si="20"/>
        <v>0</v>
      </c>
      <c r="L79" s="7">
        <f t="shared" si="20"/>
        <v>100000</v>
      </c>
    </row>
    <row r="80" spans="1:12" x14ac:dyDescent="0.25">
      <c r="A80" s="259" t="s">
        <v>58</v>
      </c>
      <c r="B80" s="261" t="s">
        <v>46</v>
      </c>
      <c r="C80" s="15" t="s">
        <v>29</v>
      </c>
      <c r="D80" s="24">
        <v>410400</v>
      </c>
      <c r="E80" s="24">
        <v>410400</v>
      </c>
      <c r="F80" s="11"/>
      <c r="G80" s="11"/>
      <c r="H80" s="11"/>
      <c r="I80" s="11"/>
      <c r="J80" s="20">
        <f t="shared" ref="J80:J87" si="21">E80+F80+G80+H80+I80</f>
        <v>410400</v>
      </c>
      <c r="K80" s="112">
        <v>359400</v>
      </c>
      <c r="L80" s="3">
        <f t="shared" ref="L80:L87" si="22">J80-K80</f>
        <v>51000</v>
      </c>
    </row>
    <row r="81" spans="1:12" x14ac:dyDescent="0.25">
      <c r="A81" s="260"/>
      <c r="B81" s="262"/>
      <c r="C81" s="15" t="s">
        <v>31</v>
      </c>
      <c r="D81" s="24">
        <v>76266</v>
      </c>
      <c r="E81" s="24">
        <v>76266</v>
      </c>
      <c r="F81" s="11"/>
      <c r="G81" s="11"/>
      <c r="H81" s="11"/>
      <c r="I81" s="11"/>
      <c r="J81" s="20">
        <f t="shared" si="21"/>
        <v>76266</v>
      </c>
      <c r="K81" s="112">
        <v>67900</v>
      </c>
      <c r="L81" s="3">
        <f t="shared" si="22"/>
        <v>8366</v>
      </c>
    </row>
    <row r="82" spans="1:12" x14ac:dyDescent="0.25">
      <c r="A82" s="259" t="s">
        <v>59</v>
      </c>
      <c r="B82" s="261" t="s">
        <v>23</v>
      </c>
      <c r="C82" s="15" t="s">
        <v>29</v>
      </c>
      <c r="D82" s="24">
        <v>603600</v>
      </c>
      <c r="E82" s="24">
        <v>603600</v>
      </c>
      <c r="F82" s="11"/>
      <c r="G82" s="11"/>
      <c r="H82" s="11"/>
      <c r="I82" s="11"/>
      <c r="J82" s="20">
        <f t="shared" si="21"/>
        <v>603600</v>
      </c>
      <c r="K82" s="112">
        <v>288800</v>
      </c>
      <c r="L82" s="3">
        <f t="shared" si="22"/>
        <v>314800</v>
      </c>
    </row>
    <row r="83" spans="1:12" x14ac:dyDescent="0.25">
      <c r="A83" s="260"/>
      <c r="B83" s="262"/>
      <c r="C83" s="15" t="s">
        <v>31</v>
      </c>
      <c r="D83" s="24">
        <v>112169</v>
      </c>
      <c r="E83" s="24">
        <v>112169</v>
      </c>
      <c r="F83" s="11"/>
      <c r="G83" s="11"/>
      <c r="H83" s="11"/>
      <c r="I83" s="11"/>
      <c r="J83" s="20">
        <f t="shared" si="21"/>
        <v>112169</v>
      </c>
      <c r="K83" s="112">
        <v>54729</v>
      </c>
      <c r="L83" s="3">
        <f t="shared" si="22"/>
        <v>57440</v>
      </c>
    </row>
    <row r="84" spans="1:12" x14ac:dyDescent="0.25">
      <c r="A84" s="259" t="s">
        <v>60</v>
      </c>
      <c r="B84" s="261" t="s">
        <v>23</v>
      </c>
      <c r="C84" s="15" t="s">
        <v>24</v>
      </c>
      <c r="D84" s="24">
        <v>10676226</v>
      </c>
      <c r="E84" s="24">
        <v>10676226</v>
      </c>
      <c r="F84" s="11"/>
      <c r="G84" s="11"/>
      <c r="H84" s="11"/>
      <c r="I84" s="11"/>
      <c r="J84" s="20">
        <f t="shared" si="21"/>
        <v>10676226</v>
      </c>
      <c r="K84" s="112">
        <v>8615160</v>
      </c>
      <c r="L84" s="3">
        <f t="shared" si="22"/>
        <v>2061066</v>
      </c>
    </row>
    <row r="85" spans="1:12" x14ac:dyDescent="0.25">
      <c r="A85" s="260"/>
      <c r="B85" s="262"/>
      <c r="C85" s="15" t="s">
        <v>31</v>
      </c>
      <c r="D85" s="24">
        <v>1989265</v>
      </c>
      <c r="E85" s="24">
        <v>1989265</v>
      </c>
      <c r="F85" s="11"/>
      <c r="G85" s="11"/>
      <c r="H85" s="11"/>
      <c r="I85" s="11"/>
      <c r="J85" s="20">
        <f t="shared" si="21"/>
        <v>1989265</v>
      </c>
      <c r="K85" s="112">
        <v>1627886</v>
      </c>
      <c r="L85" s="3">
        <f t="shared" si="22"/>
        <v>361379</v>
      </c>
    </row>
    <row r="86" spans="1:12" x14ac:dyDescent="0.25">
      <c r="A86" s="259" t="s">
        <v>61</v>
      </c>
      <c r="B86" s="261" t="s">
        <v>46</v>
      </c>
      <c r="C86" s="15" t="s">
        <v>24</v>
      </c>
      <c r="D86" s="24">
        <v>8397674</v>
      </c>
      <c r="E86" s="24">
        <v>8397674</v>
      </c>
      <c r="F86" s="11"/>
      <c r="G86" s="11"/>
      <c r="H86" s="11"/>
      <c r="I86" s="11"/>
      <c r="J86" s="20">
        <f t="shared" si="21"/>
        <v>8397674</v>
      </c>
      <c r="K86" s="112">
        <v>6324311</v>
      </c>
      <c r="L86" s="3">
        <f t="shared" si="22"/>
        <v>2073363</v>
      </c>
    </row>
    <row r="87" spans="1:12" x14ac:dyDescent="0.25">
      <c r="A87" s="260"/>
      <c r="B87" s="262"/>
      <c r="C87" s="15" t="s">
        <v>31</v>
      </c>
      <c r="D87" s="24">
        <v>1563353</v>
      </c>
      <c r="E87" s="24">
        <v>1563353</v>
      </c>
      <c r="F87" s="11"/>
      <c r="G87" s="11"/>
      <c r="H87" s="11"/>
      <c r="I87" s="11"/>
      <c r="J87" s="20">
        <f t="shared" si="21"/>
        <v>1563353</v>
      </c>
      <c r="K87" s="112">
        <v>1195009</v>
      </c>
      <c r="L87" s="3">
        <f t="shared" si="22"/>
        <v>368344</v>
      </c>
    </row>
    <row r="88" spans="1:12" x14ac:dyDescent="0.25">
      <c r="A88" s="304" t="s">
        <v>76</v>
      </c>
      <c r="B88" s="305"/>
      <c r="C88" s="306"/>
      <c r="D88" s="84">
        <f t="shared" ref="D88:L88" si="23">SUM(D32+D33+D48+D51+D61+D62+D76+D79+D80+D81+D82+D83+D84+D85+D86+D87)</f>
        <v>118207303</v>
      </c>
      <c r="E88" s="84">
        <f t="shared" si="23"/>
        <v>117239044</v>
      </c>
      <c r="F88" s="84">
        <f t="shared" si="23"/>
        <v>-40899</v>
      </c>
      <c r="G88" s="84">
        <f t="shared" si="23"/>
        <v>0</v>
      </c>
      <c r="H88" s="84">
        <f t="shared" si="23"/>
        <v>0</v>
      </c>
      <c r="I88" s="84">
        <f t="shared" si="23"/>
        <v>37372</v>
      </c>
      <c r="J88" s="84">
        <f t="shared" si="23"/>
        <v>117235517</v>
      </c>
      <c r="K88" s="84">
        <f t="shared" si="23"/>
        <v>86354560</v>
      </c>
      <c r="L88" s="84">
        <f t="shared" si="23"/>
        <v>30880957</v>
      </c>
    </row>
    <row r="89" spans="1:12" x14ac:dyDescent="0.25">
      <c r="A89" s="258" t="s">
        <v>12</v>
      </c>
      <c r="B89" s="268" t="s">
        <v>23</v>
      </c>
      <c r="C89" s="2" t="s">
        <v>24</v>
      </c>
      <c r="D89" s="3">
        <v>4811583</v>
      </c>
      <c r="E89" s="3">
        <v>4902465</v>
      </c>
      <c r="F89" s="3"/>
      <c r="G89" s="3"/>
      <c r="H89" s="3"/>
      <c r="I89" s="3">
        <v>18575</v>
      </c>
      <c r="J89" s="20">
        <f t="shared" ref="J89:J95" si="24">E89+F89+G89+H89+I89</f>
        <v>4921040</v>
      </c>
      <c r="K89" s="112">
        <v>3758552</v>
      </c>
      <c r="L89" s="3">
        <f t="shared" ref="L89:L95" si="25">J89-K89</f>
        <v>1162488</v>
      </c>
    </row>
    <row r="90" spans="1:12" x14ac:dyDescent="0.25">
      <c r="A90" s="258"/>
      <c r="B90" s="268"/>
      <c r="C90" s="2" t="s">
        <v>25</v>
      </c>
      <c r="D90" s="3">
        <v>200000</v>
      </c>
      <c r="E90" s="3">
        <v>200000</v>
      </c>
      <c r="F90" s="3"/>
      <c r="G90" s="3"/>
      <c r="H90" s="3"/>
      <c r="I90" s="3"/>
      <c r="J90" s="20">
        <f t="shared" si="24"/>
        <v>200000</v>
      </c>
      <c r="K90" s="112">
        <v>200000</v>
      </c>
      <c r="L90" s="3">
        <f t="shared" si="25"/>
        <v>0</v>
      </c>
    </row>
    <row r="91" spans="1:12" x14ac:dyDescent="0.25">
      <c r="A91" s="258"/>
      <c r="B91" s="268"/>
      <c r="C91" s="2" t="s">
        <v>26</v>
      </c>
      <c r="D91" s="3">
        <v>10000</v>
      </c>
      <c r="E91" s="3">
        <v>10000</v>
      </c>
      <c r="F91" s="3"/>
      <c r="G91" s="3"/>
      <c r="H91" s="3"/>
      <c r="I91" s="3"/>
      <c r="J91" s="20">
        <f t="shared" si="24"/>
        <v>10000</v>
      </c>
      <c r="K91" s="112">
        <v>0</v>
      </c>
      <c r="L91" s="3">
        <f t="shared" si="25"/>
        <v>10000</v>
      </c>
    </row>
    <row r="92" spans="1:12" x14ac:dyDescent="0.25">
      <c r="A92" s="258"/>
      <c r="B92" s="268"/>
      <c r="C92" s="2" t="s">
        <v>27</v>
      </c>
      <c r="D92" s="3">
        <v>198000</v>
      </c>
      <c r="E92" s="3">
        <v>198000</v>
      </c>
      <c r="F92" s="3"/>
      <c r="G92" s="3"/>
      <c r="H92" s="3"/>
      <c r="I92" s="3"/>
      <c r="J92" s="20">
        <f t="shared" si="24"/>
        <v>198000</v>
      </c>
      <c r="K92" s="112">
        <v>121500</v>
      </c>
      <c r="L92" s="3">
        <f t="shared" si="25"/>
        <v>76500</v>
      </c>
    </row>
    <row r="93" spans="1:12" x14ac:dyDescent="0.25">
      <c r="A93" s="258"/>
      <c r="B93" s="268"/>
      <c r="C93" s="2" t="s">
        <v>28</v>
      </c>
      <c r="D93" s="3">
        <v>24000</v>
      </c>
      <c r="E93" s="3">
        <v>24000</v>
      </c>
      <c r="F93" s="3"/>
      <c r="G93" s="3"/>
      <c r="H93" s="3"/>
      <c r="I93" s="3"/>
      <c r="J93" s="20">
        <f t="shared" si="24"/>
        <v>24000</v>
      </c>
      <c r="K93" s="112">
        <v>12000</v>
      </c>
      <c r="L93" s="3">
        <f t="shared" si="25"/>
        <v>12000</v>
      </c>
    </row>
    <row r="94" spans="1:12" x14ac:dyDescent="0.25">
      <c r="A94" s="258"/>
      <c r="B94" s="268"/>
      <c r="C94" s="2" t="s">
        <v>29</v>
      </c>
      <c r="D94" s="3">
        <v>75000</v>
      </c>
      <c r="E94" s="3">
        <v>253715</v>
      </c>
      <c r="F94" s="3"/>
      <c r="G94" s="3"/>
      <c r="H94" s="3"/>
      <c r="I94" s="3"/>
      <c r="J94" s="20">
        <f t="shared" si="24"/>
        <v>253715</v>
      </c>
      <c r="K94" s="112">
        <v>82715</v>
      </c>
      <c r="L94" s="3">
        <f t="shared" si="25"/>
        <v>171000</v>
      </c>
    </row>
    <row r="95" spans="1:12" x14ac:dyDescent="0.25">
      <c r="A95" s="258"/>
      <c r="B95" s="268"/>
      <c r="C95" s="2" t="s">
        <v>30</v>
      </c>
      <c r="D95" s="3">
        <v>0</v>
      </c>
      <c r="E95" s="3">
        <v>0</v>
      </c>
      <c r="F95" s="3"/>
      <c r="G95" s="3"/>
      <c r="H95" s="3"/>
      <c r="I95" s="3"/>
      <c r="J95" s="20">
        <f t="shared" si="24"/>
        <v>0</v>
      </c>
      <c r="K95" s="112">
        <v>0</v>
      </c>
      <c r="L95" s="3">
        <f t="shared" si="25"/>
        <v>0</v>
      </c>
    </row>
    <row r="96" spans="1:12" x14ac:dyDescent="0.25">
      <c r="A96" s="258"/>
      <c r="B96" s="268"/>
      <c r="C96" s="6" t="s">
        <v>53</v>
      </c>
      <c r="D96" s="7">
        <f>SUM(D89:D95)</f>
        <v>5318583</v>
      </c>
      <c r="E96" s="7">
        <v>5588180</v>
      </c>
      <c r="F96" s="7">
        <f t="shared" ref="F96:L96" si="26">SUM(F89:F95)</f>
        <v>0</v>
      </c>
      <c r="G96" s="7">
        <f t="shared" si="26"/>
        <v>0</v>
      </c>
      <c r="H96" s="7">
        <f t="shared" si="26"/>
        <v>0</v>
      </c>
      <c r="I96" s="7">
        <f t="shared" si="26"/>
        <v>18575</v>
      </c>
      <c r="J96" s="7">
        <f t="shared" si="26"/>
        <v>5606755</v>
      </c>
      <c r="K96" s="114">
        <f t="shared" si="26"/>
        <v>4174767</v>
      </c>
      <c r="L96" s="7">
        <f t="shared" si="26"/>
        <v>1431988</v>
      </c>
    </row>
    <row r="97" spans="1:12" x14ac:dyDescent="0.25">
      <c r="A97" s="258"/>
      <c r="B97" s="268"/>
      <c r="C97" s="86" t="s">
        <v>31</v>
      </c>
      <c r="D97" s="87">
        <v>1035556</v>
      </c>
      <c r="E97" s="87">
        <v>1088127</v>
      </c>
      <c r="F97" s="87"/>
      <c r="G97" s="87"/>
      <c r="H97" s="87"/>
      <c r="I97" s="87">
        <v>3251</v>
      </c>
      <c r="J97" s="88">
        <f t="shared" ref="J97:J107" si="27">E97+F97+G97+H97+I97</f>
        <v>1091378</v>
      </c>
      <c r="K97" s="115">
        <v>850400</v>
      </c>
      <c r="L97" s="89">
        <f t="shared" ref="L97:L107" si="28">J97-K97</f>
        <v>240978</v>
      </c>
    </row>
    <row r="98" spans="1:12" x14ac:dyDescent="0.25">
      <c r="A98" s="258"/>
      <c r="B98" s="268"/>
      <c r="C98" s="2" t="s">
        <v>32</v>
      </c>
      <c r="D98" s="3">
        <v>100000</v>
      </c>
      <c r="E98" s="3">
        <v>100000</v>
      </c>
      <c r="F98" s="3"/>
      <c r="G98" s="3"/>
      <c r="H98" s="3"/>
      <c r="I98" s="3"/>
      <c r="J98" s="20">
        <f t="shared" si="27"/>
        <v>100000</v>
      </c>
      <c r="K98" s="112">
        <v>0</v>
      </c>
      <c r="L98" s="3">
        <f t="shared" si="28"/>
        <v>100000</v>
      </c>
    </row>
    <row r="99" spans="1:12" x14ac:dyDescent="0.25">
      <c r="A99" s="258"/>
      <c r="B99" s="268"/>
      <c r="C99" s="2" t="s">
        <v>33</v>
      </c>
      <c r="D99" s="3">
        <v>100000</v>
      </c>
      <c r="E99" s="3">
        <v>70000</v>
      </c>
      <c r="F99" s="3"/>
      <c r="G99" s="3"/>
      <c r="H99" s="3"/>
      <c r="I99" s="3"/>
      <c r="J99" s="20">
        <f t="shared" si="27"/>
        <v>70000</v>
      </c>
      <c r="K99" s="112">
        <v>0</v>
      </c>
      <c r="L99" s="3">
        <f t="shared" si="28"/>
        <v>70000</v>
      </c>
    </row>
    <row r="100" spans="1:12" x14ac:dyDescent="0.25">
      <c r="A100" s="258"/>
      <c r="B100" s="268"/>
      <c r="C100" s="2" t="s">
        <v>34</v>
      </c>
      <c r="D100" s="3">
        <v>210000</v>
      </c>
      <c r="E100" s="3">
        <v>210000</v>
      </c>
      <c r="F100" s="3"/>
      <c r="G100" s="3"/>
      <c r="H100" s="3"/>
      <c r="I100" s="3"/>
      <c r="J100" s="20">
        <f t="shared" si="27"/>
        <v>210000</v>
      </c>
      <c r="K100" s="112">
        <v>0</v>
      </c>
      <c r="L100" s="3">
        <f t="shared" si="28"/>
        <v>210000</v>
      </c>
    </row>
    <row r="101" spans="1:12" x14ac:dyDescent="0.25">
      <c r="A101" s="258"/>
      <c r="B101" s="268"/>
      <c r="C101" s="2" t="s">
        <v>35</v>
      </c>
      <c r="D101" s="3">
        <v>110000</v>
      </c>
      <c r="E101" s="3">
        <v>110000</v>
      </c>
      <c r="F101" s="3"/>
      <c r="G101" s="3"/>
      <c r="H101" s="3"/>
      <c r="I101" s="3"/>
      <c r="J101" s="20">
        <f t="shared" si="27"/>
        <v>110000</v>
      </c>
      <c r="K101" s="112">
        <v>0</v>
      </c>
      <c r="L101" s="3">
        <f t="shared" si="28"/>
        <v>110000</v>
      </c>
    </row>
    <row r="102" spans="1:12" x14ac:dyDescent="0.25">
      <c r="A102" s="258"/>
      <c r="B102" s="268"/>
      <c r="C102" s="2" t="s">
        <v>36</v>
      </c>
      <c r="D102" s="3">
        <v>500000</v>
      </c>
      <c r="E102" s="3">
        <v>499100</v>
      </c>
      <c r="F102" s="3"/>
      <c r="G102" s="3"/>
      <c r="H102" s="3"/>
      <c r="I102" s="3"/>
      <c r="J102" s="20">
        <f t="shared" si="27"/>
        <v>499100</v>
      </c>
      <c r="K102" s="112">
        <v>353510</v>
      </c>
      <c r="L102" s="3">
        <f t="shared" si="28"/>
        <v>145590</v>
      </c>
    </row>
    <row r="103" spans="1:12" x14ac:dyDescent="0.25">
      <c r="A103" s="258"/>
      <c r="B103" s="268"/>
      <c r="C103" s="2" t="s">
        <v>38</v>
      </c>
      <c r="D103" s="3">
        <v>140000</v>
      </c>
      <c r="E103" s="3">
        <v>135380</v>
      </c>
      <c r="F103" s="3"/>
      <c r="G103" s="3"/>
      <c r="H103" s="3"/>
      <c r="I103" s="3"/>
      <c r="J103" s="20">
        <f t="shared" si="27"/>
        <v>135380</v>
      </c>
      <c r="K103" s="112">
        <v>0</v>
      </c>
      <c r="L103" s="3">
        <f t="shared" si="28"/>
        <v>135380</v>
      </c>
    </row>
    <row r="104" spans="1:12" x14ac:dyDescent="0.25">
      <c r="A104" s="258"/>
      <c r="B104" s="268"/>
      <c r="C104" s="2" t="s">
        <v>40</v>
      </c>
      <c r="D104" s="3">
        <v>16800</v>
      </c>
      <c r="E104" s="3">
        <v>20200</v>
      </c>
      <c r="F104" s="3"/>
      <c r="G104" s="3"/>
      <c r="H104" s="3"/>
      <c r="I104" s="3"/>
      <c r="J104" s="20">
        <f t="shared" si="27"/>
        <v>20200</v>
      </c>
      <c r="K104" s="112">
        <v>6800</v>
      </c>
      <c r="L104" s="3">
        <f t="shared" si="28"/>
        <v>13400</v>
      </c>
    </row>
    <row r="105" spans="1:12" x14ac:dyDescent="0.25">
      <c r="A105" s="258"/>
      <c r="B105" s="268"/>
      <c r="C105" s="2" t="s">
        <v>41</v>
      </c>
      <c r="D105" s="3">
        <v>80000</v>
      </c>
      <c r="E105" s="3">
        <v>117280</v>
      </c>
      <c r="F105" s="3"/>
      <c r="G105" s="3"/>
      <c r="H105" s="3"/>
      <c r="I105" s="3"/>
      <c r="J105" s="20">
        <f t="shared" si="27"/>
        <v>117280</v>
      </c>
      <c r="K105" s="112">
        <v>87860</v>
      </c>
      <c r="L105" s="60">
        <f t="shared" si="28"/>
        <v>29420</v>
      </c>
    </row>
    <row r="106" spans="1:12" x14ac:dyDescent="0.25">
      <c r="A106" s="258"/>
      <c r="B106" s="268"/>
      <c r="C106" s="2" t="s">
        <v>42</v>
      </c>
      <c r="D106" s="3">
        <v>240000</v>
      </c>
      <c r="E106" s="3">
        <v>240000</v>
      </c>
      <c r="F106" s="3"/>
      <c r="G106" s="3"/>
      <c r="H106" s="3"/>
      <c r="I106" s="3"/>
      <c r="J106" s="20">
        <f t="shared" si="27"/>
        <v>240000</v>
      </c>
      <c r="K106" s="112">
        <v>147455</v>
      </c>
      <c r="L106" s="3">
        <f t="shared" si="28"/>
        <v>92545</v>
      </c>
    </row>
    <row r="107" spans="1:12" x14ac:dyDescent="0.25">
      <c r="A107" s="258"/>
      <c r="B107" s="268"/>
      <c r="C107" s="2" t="s">
        <v>44</v>
      </c>
      <c r="D107" s="3">
        <v>200600</v>
      </c>
      <c r="E107" s="3">
        <v>195440</v>
      </c>
      <c r="F107" s="3"/>
      <c r="G107" s="3"/>
      <c r="H107" s="3"/>
      <c r="I107" s="3"/>
      <c r="J107" s="20">
        <f t="shared" si="27"/>
        <v>195440</v>
      </c>
      <c r="K107" s="112">
        <v>28706</v>
      </c>
      <c r="L107" s="3">
        <f t="shared" si="28"/>
        <v>166734</v>
      </c>
    </row>
    <row r="108" spans="1:12" x14ac:dyDescent="0.25">
      <c r="A108" s="258"/>
      <c r="B108" s="268"/>
      <c r="C108" s="6" t="s">
        <v>49</v>
      </c>
      <c r="D108" s="7">
        <f>SUM(D98:D107)</f>
        <v>1697400</v>
      </c>
      <c r="E108" s="7">
        <v>1697400</v>
      </c>
      <c r="F108" s="7">
        <f t="shared" ref="F108:L108" si="29">SUM(F98:F107)</f>
        <v>0</v>
      </c>
      <c r="G108" s="7">
        <f t="shared" si="29"/>
        <v>0</v>
      </c>
      <c r="H108" s="7">
        <f t="shared" si="29"/>
        <v>0</v>
      </c>
      <c r="I108" s="7">
        <f t="shared" si="29"/>
        <v>0</v>
      </c>
      <c r="J108" s="7">
        <f t="shared" si="29"/>
        <v>1697400</v>
      </c>
      <c r="K108" s="114">
        <f t="shared" si="29"/>
        <v>624331</v>
      </c>
      <c r="L108" s="7">
        <f t="shared" si="29"/>
        <v>1073069</v>
      </c>
    </row>
    <row r="109" spans="1:12" x14ac:dyDescent="0.25">
      <c r="A109" s="255" t="s">
        <v>62</v>
      </c>
      <c r="B109" s="252" t="s">
        <v>23</v>
      </c>
      <c r="C109" s="15" t="s">
        <v>29</v>
      </c>
      <c r="D109" s="24">
        <v>111600</v>
      </c>
      <c r="E109" s="24">
        <v>111600</v>
      </c>
      <c r="F109" s="11"/>
      <c r="G109" s="11"/>
      <c r="H109" s="11"/>
      <c r="I109" s="11"/>
      <c r="J109" s="20">
        <f t="shared" ref="J109:J112" si="30">E109+F109+G109+H109+I109</f>
        <v>111600</v>
      </c>
      <c r="K109" s="112">
        <v>57000</v>
      </c>
      <c r="L109" s="3">
        <f t="shared" ref="L109:L112" si="31">J109-K109</f>
        <v>54600</v>
      </c>
    </row>
    <row r="110" spans="1:12" x14ac:dyDescent="0.25">
      <c r="A110" s="257"/>
      <c r="B110" s="254"/>
      <c r="C110" s="15" t="s">
        <v>31</v>
      </c>
      <c r="D110" s="24">
        <v>20739</v>
      </c>
      <c r="E110" s="24">
        <v>20739</v>
      </c>
      <c r="F110" s="11"/>
      <c r="G110" s="11"/>
      <c r="H110" s="11"/>
      <c r="I110" s="11"/>
      <c r="J110" s="20">
        <f t="shared" si="30"/>
        <v>20739</v>
      </c>
      <c r="K110" s="112">
        <v>10794</v>
      </c>
      <c r="L110" s="3">
        <f t="shared" si="31"/>
        <v>9945</v>
      </c>
    </row>
    <row r="111" spans="1:12" x14ac:dyDescent="0.25">
      <c r="A111" s="255" t="s">
        <v>63</v>
      </c>
      <c r="B111" s="252" t="s">
        <v>23</v>
      </c>
      <c r="C111" s="15" t="s">
        <v>24</v>
      </c>
      <c r="D111" s="24">
        <v>1460272</v>
      </c>
      <c r="E111" s="24">
        <v>1460272</v>
      </c>
      <c r="F111" s="11"/>
      <c r="G111" s="11"/>
      <c r="H111" s="11"/>
      <c r="I111" s="11"/>
      <c r="J111" s="20">
        <f t="shared" si="30"/>
        <v>1460272</v>
      </c>
      <c r="K111" s="112">
        <v>1252536</v>
      </c>
      <c r="L111" s="3">
        <f t="shared" si="31"/>
        <v>207736</v>
      </c>
    </row>
    <row r="112" spans="1:12" x14ac:dyDescent="0.25">
      <c r="A112" s="257"/>
      <c r="B112" s="254"/>
      <c r="C112" s="15" t="s">
        <v>31</v>
      </c>
      <c r="D112" s="24">
        <v>272168</v>
      </c>
      <c r="E112" s="24">
        <v>272168</v>
      </c>
      <c r="F112" s="11"/>
      <c r="G112" s="11"/>
      <c r="H112" s="11"/>
      <c r="I112" s="11"/>
      <c r="J112" s="20">
        <f t="shared" si="30"/>
        <v>272168</v>
      </c>
      <c r="K112" s="112">
        <v>236693</v>
      </c>
      <c r="L112" s="3">
        <f t="shared" si="31"/>
        <v>35475</v>
      </c>
    </row>
    <row r="113" spans="1:12" x14ac:dyDescent="0.25">
      <c r="A113" s="304" t="s">
        <v>77</v>
      </c>
      <c r="B113" s="305"/>
      <c r="C113" s="306"/>
      <c r="D113" s="84">
        <f>SUM(D96+D97+D108+D109+D110+D111+D112)</f>
        <v>9916318</v>
      </c>
      <c r="E113" s="84">
        <f t="shared" ref="E113:L113" si="32">SUM(E96+E97+E108+E109+E110+E111+E112)</f>
        <v>10238486</v>
      </c>
      <c r="F113" s="84">
        <f t="shared" si="32"/>
        <v>0</v>
      </c>
      <c r="G113" s="84">
        <f t="shared" si="32"/>
        <v>0</v>
      </c>
      <c r="H113" s="84">
        <f t="shared" si="32"/>
        <v>0</v>
      </c>
      <c r="I113" s="84">
        <f t="shared" si="32"/>
        <v>21826</v>
      </c>
      <c r="J113" s="84">
        <f t="shared" si="32"/>
        <v>10260312</v>
      </c>
      <c r="K113" s="116">
        <f t="shared" si="32"/>
        <v>7206521</v>
      </c>
      <c r="L113" s="84">
        <f t="shared" si="32"/>
        <v>3053791</v>
      </c>
    </row>
    <row r="114" spans="1:12" x14ac:dyDescent="0.25">
      <c r="A114" s="258" t="s">
        <v>13</v>
      </c>
      <c r="B114" s="268" t="s">
        <v>23</v>
      </c>
      <c r="C114" s="2" t="s">
        <v>24</v>
      </c>
      <c r="D114" s="3">
        <v>4871210</v>
      </c>
      <c r="E114" s="3">
        <v>5000280</v>
      </c>
      <c r="F114" s="3"/>
      <c r="G114" s="3"/>
      <c r="H114" s="3"/>
      <c r="I114" s="3">
        <v>14016</v>
      </c>
      <c r="J114" s="20">
        <f t="shared" ref="J114:J119" si="33">E114+F114+G114+H114+I114</f>
        <v>5014296</v>
      </c>
      <c r="K114" s="112">
        <v>3926900</v>
      </c>
      <c r="L114" s="3">
        <f t="shared" ref="L114:L119" si="34">J114-K114</f>
        <v>1087396</v>
      </c>
    </row>
    <row r="115" spans="1:12" x14ac:dyDescent="0.25">
      <c r="A115" s="258"/>
      <c r="B115" s="268"/>
      <c r="C115" s="2" t="s">
        <v>25</v>
      </c>
      <c r="D115" s="3">
        <v>200000</v>
      </c>
      <c r="E115" s="3">
        <v>200000</v>
      </c>
      <c r="F115" s="3"/>
      <c r="G115" s="3"/>
      <c r="H115" s="3"/>
      <c r="I115" s="3"/>
      <c r="J115" s="20">
        <f t="shared" si="33"/>
        <v>200000</v>
      </c>
      <c r="K115" s="112">
        <v>200000</v>
      </c>
      <c r="L115" s="3">
        <f t="shared" si="34"/>
        <v>0</v>
      </c>
    </row>
    <row r="116" spans="1:12" x14ac:dyDescent="0.25">
      <c r="A116" s="258"/>
      <c r="B116" s="268"/>
      <c r="C116" s="2" t="s">
        <v>26</v>
      </c>
      <c r="D116" s="3">
        <v>10000</v>
      </c>
      <c r="E116" s="3">
        <v>10000</v>
      </c>
      <c r="F116" s="3"/>
      <c r="G116" s="3"/>
      <c r="H116" s="3"/>
      <c r="I116" s="3"/>
      <c r="J116" s="20">
        <f t="shared" si="33"/>
        <v>10000</v>
      </c>
      <c r="K116" s="112">
        <v>0</v>
      </c>
      <c r="L116" s="3">
        <f t="shared" si="34"/>
        <v>10000</v>
      </c>
    </row>
    <row r="117" spans="1:12" x14ac:dyDescent="0.25">
      <c r="A117" s="258"/>
      <c r="B117" s="268"/>
      <c r="C117" s="2" t="s">
        <v>28</v>
      </c>
      <c r="D117" s="3">
        <v>24000</v>
      </c>
      <c r="E117" s="3">
        <v>24000</v>
      </c>
      <c r="F117" s="3"/>
      <c r="G117" s="3"/>
      <c r="H117" s="3"/>
      <c r="I117" s="3"/>
      <c r="J117" s="20">
        <f t="shared" si="33"/>
        <v>24000</v>
      </c>
      <c r="K117" s="112">
        <v>12000</v>
      </c>
      <c r="L117" s="3">
        <f t="shared" si="34"/>
        <v>12000</v>
      </c>
    </row>
    <row r="118" spans="1:12" x14ac:dyDescent="0.25">
      <c r="A118" s="258"/>
      <c r="B118" s="268"/>
      <c r="C118" s="2" t="s">
        <v>29</v>
      </c>
      <c r="D118" s="3">
        <v>75000</v>
      </c>
      <c r="E118" s="3">
        <v>133601</v>
      </c>
      <c r="F118" s="3"/>
      <c r="G118" s="3"/>
      <c r="H118" s="3"/>
      <c r="I118" s="3"/>
      <c r="J118" s="20">
        <f t="shared" si="33"/>
        <v>133601</v>
      </c>
      <c r="K118" s="112">
        <v>32601</v>
      </c>
      <c r="L118" s="3">
        <f t="shared" si="34"/>
        <v>101000</v>
      </c>
    </row>
    <row r="119" spans="1:12" x14ac:dyDescent="0.25">
      <c r="A119" s="258"/>
      <c r="B119" s="268"/>
      <c r="C119" s="2" t="s">
        <v>30</v>
      </c>
      <c r="D119" s="3">
        <v>0</v>
      </c>
      <c r="E119" s="3">
        <v>0</v>
      </c>
      <c r="F119" s="3"/>
      <c r="G119" s="3"/>
      <c r="H119" s="3"/>
      <c r="I119" s="3"/>
      <c r="J119" s="20">
        <f t="shared" si="33"/>
        <v>0</v>
      </c>
      <c r="K119" s="112">
        <v>0</v>
      </c>
      <c r="L119" s="3">
        <f t="shared" si="34"/>
        <v>0</v>
      </c>
    </row>
    <row r="120" spans="1:12" x14ac:dyDescent="0.25">
      <c r="A120" s="258"/>
      <c r="B120" s="268"/>
      <c r="C120" s="6" t="s">
        <v>53</v>
      </c>
      <c r="D120" s="7">
        <f>SUM(D114:D119)</f>
        <v>5180210</v>
      </c>
      <c r="E120" s="7">
        <v>5367881</v>
      </c>
      <c r="F120" s="7">
        <f t="shared" ref="F120:L120" si="35">SUM(F114:F119)</f>
        <v>0</v>
      </c>
      <c r="G120" s="7">
        <f t="shared" si="35"/>
        <v>0</v>
      </c>
      <c r="H120" s="7">
        <f t="shared" si="35"/>
        <v>0</v>
      </c>
      <c r="I120" s="7">
        <f t="shared" si="35"/>
        <v>14016</v>
      </c>
      <c r="J120" s="7">
        <f t="shared" si="35"/>
        <v>5381897</v>
      </c>
      <c r="K120" s="114">
        <f t="shared" si="35"/>
        <v>4171501</v>
      </c>
      <c r="L120" s="7">
        <f t="shared" si="35"/>
        <v>1210396</v>
      </c>
    </row>
    <row r="121" spans="1:12" x14ac:dyDescent="0.25">
      <c r="A121" s="258"/>
      <c r="B121" s="268"/>
      <c r="C121" s="86" t="s">
        <v>31</v>
      </c>
      <c r="D121" s="87">
        <v>1046402</v>
      </c>
      <c r="E121" s="87">
        <v>1082997</v>
      </c>
      <c r="F121" s="87"/>
      <c r="G121" s="87"/>
      <c r="H121" s="87"/>
      <c r="I121" s="87">
        <v>2452</v>
      </c>
      <c r="J121" s="88">
        <f t="shared" ref="J121:J129" si="36">E121+F121+G121+H121+I121</f>
        <v>1085449</v>
      </c>
      <c r="K121" s="115">
        <v>873037</v>
      </c>
      <c r="L121" s="89">
        <f t="shared" ref="L121:L129" si="37">J121-K121</f>
        <v>212412</v>
      </c>
    </row>
    <row r="122" spans="1:12" x14ac:dyDescent="0.25">
      <c r="A122" s="258"/>
      <c r="B122" s="268"/>
      <c r="C122" s="2" t="s">
        <v>32</v>
      </c>
      <c r="D122" s="3">
        <v>50000</v>
      </c>
      <c r="E122" s="3">
        <v>50000</v>
      </c>
      <c r="F122" s="3"/>
      <c r="G122" s="3"/>
      <c r="H122" s="3"/>
      <c r="I122" s="3"/>
      <c r="J122" s="20">
        <f t="shared" si="36"/>
        <v>50000</v>
      </c>
      <c r="K122" s="112">
        <v>0</v>
      </c>
      <c r="L122" s="3">
        <f t="shared" si="37"/>
        <v>50000</v>
      </c>
    </row>
    <row r="123" spans="1:12" x14ac:dyDescent="0.25">
      <c r="A123" s="258"/>
      <c r="B123" s="268"/>
      <c r="C123" s="2" t="s">
        <v>33</v>
      </c>
      <c r="D123" s="3">
        <v>100000</v>
      </c>
      <c r="E123" s="3">
        <v>70000</v>
      </c>
      <c r="F123" s="3"/>
      <c r="G123" s="3"/>
      <c r="H123" s="3"/>
      <c r="I123" s="3"/>
      <c r="J123" s="20">
        <f t="shared" si="36"/>
        <v>70000</v>
      </c>
      <c r="K123" s="112">
        <v>0</v>
      </c>
      <c r="L123" s="3">
        <f t="shared" si="37"/>
        <v>70000</v>
      </c>
    </row>
    <row r="124" spans="1:12" x14ac:dyDescent="0.25">
      <c r="A124" s="258"/>
      <c r="B124" s="268"/>
      <c r="C124" s="2" t="s">
        <v>34</v>
      </c>
      <c r="D124" s="3">
        <v>150000</v>
      </c>
      <c r="E124" s="3">
        <v>116000</v>
      </c>
      <c r="F124" s="3"/>
      <c r="G124" s="3"/>
      <c r="H124" s="3"/>
      <c r="I124" s="3"/>
      <c r="J124" s="20">
        <f t="shared" si="36"/>
        <v>116000</v>
      </c>
      <c r="K124" s="112">
        <v>0</v>
      </c>
      <c r="L124" s="3">
        <f t="shared" si="37"/>
        <v>116000</v>
      </c>
    </row>
    <row r="125" spans="1:12" x14ac:dyDescent="0.25">
      <c r="A125" s="258"/>
      <c r="B125" s="268"/>
      <c r="C125" s="2" t="s">
        <v>38</v>
      </c>
      <c r="D125" s="3">
        <v>50000</v>
      </c>
      <c r="E125" s="3">
        <v>46600</v>
      </c>
      <c r="F125" s="3"/>
      <c r="G125" s="3"/>
      <c r="H125" s="3"/>
      <c r="I125" s="3"/>
      <c r="J125" s="20">
        <f t="shared" si="36"/>
        <v>46600</v>
      </c>
      <c r="K125" s="112">
        <v>0</v>
      </c>
      <c r="L125" s="3">
        <f t="shared" si="37"/>
        <v>46600</v>
      </c>
    </row>
    <row r="126" spans="1:12" x14ac:dyDescent="0.25">
      <c r="A126" s="258"/>
      <c r="B126" s="268"/>
      <c r="C126" s="2" t="s">
        <v>40</v>
      </c>
      <c r="D126" s="3">
        <v>16800</v>
      </c>
      <c r="E126" s="3">
        <v>20200</v>
      </c>
      <c r="F126" s="3"/>
      <c r="G126" s="3"/>
      <c r="H126" s="3"/>
      <c r="I126" s="3"/>
      <c r="J126" s="20">
        <f t="shared" si="36"/>
        <v>20200</v>
      </c>
      <c r="K126" s="112">
        <v>6800</v>
      </c>
      <c r="L126" s="3">
        <f t="shared" si="37"/>
        <v>13400</v>
      </c>
    </row>
    <row r="127" spans="1:12" x14ac:dyDescent="0.25">
      <c r="A127" s="258"/>
      <c r="B127" s="268"/>
      <c r="C127" s="2" t="s">
        <v>41</v>
      </c>
      <c r="D127" s="3">
        <v>0</v>
      </c>
      <c r="E127" s="3">
        <v>70280</v>
      </c>
      <c r="F127" s="3"/>
      <c r="G127" s="3"/>
      <c r="H127" s="3"/>
      <c r="I127" s="3"/>
      <c r="J127" s="20">
        <f t="shared" si="36"/>
        <v>70280</v>
      </c>
      <c r="K127" s="112">
        <v>40860</v>
      </c>
      <c r="L127" s="3">
        <f t="shared" si="37"/>
        <v>29420</v>
      </c>
    </row>
    <row r="128" spans="1:12" x14ac:dyDescent="0.25">
      <c r="A128" s="258"/>
      <c r="B128" s="268"/>
      <c r="C128" s="2" t="s">
        <v>42</v>
      </c>
      <c r="D128" s="3">
        <v>240000</v>
      </c>
      <c r="E128" s="3">
        <v>233720</v>
      </c>
      <c r="F128" s="3"/>
      <c r="G128" s="3"/>
      <c r="H128" s="3"/>
      <c r="I128" s="3"/>
      <c r="J128" s="20">
        <f t="shared" si="36"/>
        <v>233720</v>
      </c>
      <c r="K128" s="112">
        <v>119445</v>
      </c>
      <c r="L128" s="3">
        <f t="shared" si="37"/>
        <v>114275</v>
      </c>
    </row>
    <row r="129" spans="1:12" x14ac:dyDescent="0.25">
      <c r="A129" s="258"/>
      <c r="B129" s="268"/>
      <c r="C129" s="2" t="s">
        <v>44</v>
      </c>
      <c r="D129" s="3">
        <v>94500</v>
      </c>
      <c r="E129" s="3">
        <v>94500</v>
      </c>
      <c r="F129" s="3"/>
      <c r="G129" s="3"/>
      <c r="H129" s="3"/>
      <c r="I129" s="3"/>
      <c r="J129" s="20">
        <f t="shared" si="36"/>
        <v>94500</v>
      </c>
      <c r="K129" s="112">
        <v>11031</v>
      </c>
      <c r="L129" s="3">
        <f t="shared" si="37"/>
        <v>83469</v>
      </c>
    </row>
    <row r="130" spans="1:12" x14ac:dyDescent="0.25">
      <c r="A130" s="258"/>
      <c r="B130" s="268"/>
      <c r="C130" s="6" t="s">
        <v>49</v>
      </c>
      <c r="D130" s="7">
        <f>SUM(D122:D129)</f>
        <v>701300</v>
      </c>
      <c r="E130" s="7">
        <v>701300</v>
      </c>
      <c r="F130" s="7">
        <f t="shared" ref="F130:L130" si="38">SUM(F122:F129)</f>
        <v>0</v>
      </c>
      <c r="G130" s="7">
        <f t="shared" si="38"/>
        <v>0</v>
      </c>
      <c r="H130" s="7">
        <f t="shared" si="38"/>
        <v>0</v>
      </c>
      <c r="I130" s="7">
        <f t="shared" si="38"/>
        <v>0</v>
      </c>
      <c r="J130" s="7">
        <f t="shared" si="38"/>
        <v>701300</v>
      </c>
      <c r="K130" s="114">
        <f t="shared" si="38"/>
        <v>178136</v>
      </c>
      <c r="L130" s="7">
        <f t="shared" si="38"/>
        <v>523164</v>
      </c>
    </row>
    <row r="131" spans="1:12" x14ac:dyDescent="0.25">
      <c r="A131" s="255" t="s">
        <v>64</v>
      </c>
      <c r="B131" s="252" t="s">
        <v>23</v>
      </c>
      <c r="C131" s="15" t="s">
        <v>29</v>
      </c>
      <c r="D131" s="24">
        <v>39600</v>
      </c>
      <c r="E131" s="24">
        <v>39600</v>
      </c>
      <c r="F131" s="11"/>
      <c r="G131" s="11"/>
      <c r="H131" s="11"/>
      <c r="I131" s="11"/>
      <c r="J131" s="20">
        <f t="shared" ref="J131:J134" si="39">E131+F131+G131+H131+I131</f>
        <v>39600</v>
      </c>
      <c r="K131" s="112">
        <v>33000</v>
      </c>
      <c r="L131" s="3">
        <f t="shared" ref="L131:L134" si="40">J131-K131</f>
        <v>6600</v>
      </c>
    </row>
    <row r="132" spans="1:12" x14ac:dyDescent="0.25">
      <c r="A132" s="257"/>
      <c r="B132" s="254"/>
      <c r="C132" s="15" t="s">
        <v>31</v>
      </c>
      <c r="D132" s="24">
        <v>7359</v>
      </c>
      <c r="E132" s="24">
        <v>7359</v>
      </c>
      <c r="F132" s="11"/>
      <c r="G132" s="11"/>
      <c r="H132" s="11"/>
      <c r="I132" s="11"/>
      <c r="J132" s="20">
        <f t="shared" si="39"/>
        <v>7359</v>
      </c>
      <c r="K132" s="112">
        <v>6238</v>
      </c>
      <c r="L132" s="3">
        <f t="shared" si="40"/>
        <v>1121</v>
      </c>
    </row>
    <row r="133" spans="1:12" x14ac:dyDescent="0.25">
      <c r="A133" s="255" t="s">
        <v>65</v>
      </c>
      <c r="B133" s="252" t="s">
        <v>23</v>
      </c>
      <c r="C133" s="15" t="s">
        <v>24</v>
      </c>
      <c r="D133" s="24">
        <v>1357158</v>
      </c>
      <c r="E133" s="24">
        <v>1357158</v>
      </c>
      <c r="F133" s="11"/>
      <c r="G133" s="11"/>
      <c r="H133" s="11"/>
      <c r="I133" s="11"/>
      <c r="J133" s="20">
        <f t="shared" si="39"/>
        <v>1357158</v>
      </c>
      <c r="K133" s="112">
        <v>1131860</v>
      </c>
      <c r="L133" s="3">
        <f t="shared" si="40"/>
        <v>225298</v>
      </c>
    </row>
    <row r="134" spans="1:12" x14ac:dyDescent="0.25">
      <c r="A134" s="257"/>
      <c r="B134" s="254"/>
      <c r="C134" s="15" t="s">
        <v>31</v>
      </c>
      <c r="D134" s="24">
        <v>253327</v>
      </c>
      <c r="E134" s="24">
        <v>253327</v>
      </c>
      <c r="F134" s="11"/>
      <c r="G134" s="11"/>
      <c r="H134" s="11"/>
      <c r="I134" s="11"/>
      <c r="J134" s="20">
        <f t="shared" si="39"/>
        <v>253327</v>
      </c>
      <c r="K134" s="112">
        <v>213917</v>
      </c>
      <c r="L134" s="3">
        <f t="shared" si="40"/>
        <v>39410</v>
      </c>
    </row>
    <row r="135" spans="1:12" x14ac:dyDescent="0.25">
      <c r="A135" s="304" t="s">
        <v>78</v>
      </c>
      <c r="B135" s="305"/>
      <c r="C135" s="306"/>
      <c r="D135" s="84">
        <f>SUM(D120+D121+D130+D131+D132+D133+D134)</f>
        <v>8585356</v>
      </c>
      <c r="E135" s="84">
        <f t="shared" ref="E135:L135" si="41">SUM(E120+E121+E130+E131+E132+E133+E134)</f>
        <v>8809622</v>
      </c>
      <c r="F135" s="84">
        <f t="shared" si="41"/>
        <v>0</v>
      </c>
      <c r="G135" s="84">
        <f t="shared" si="41"/>
        <v>0</v>
      </c>
      <c r="H135" s="84">
        <f t="shared" si="41"/>
        <v>0</v>
      </c>
      <c r="I135" s="84">
        <f t="shared" si="41"/>
        <v>16468</v>
      </c>
      <c r="J135" s="84">
        <f t="shared" si="41"/>
        <v>8826090</v>
      </c>
      <c r="K135" s="116">
        <f t="shared" si="41"/>
        <v>6607689</v>
      </c>
      <c r="L135" s="84">
        <f t="shared" si="41"/>
        <v>2218401</v>
      </c>
    </row>
    <row r="136" spans="1:12" x14ac:dyDescent="0.25">
      <c r="A136" s="258" t="s">
        <v>14</v>
      </c>
      <c r="B136" s="268" t="s">
        <v>23</v>
      </c>
      <c r="C136" s="2" t="s">
        <v>24</v>
      </c>
      <c r="D136" s="3">
        <v>4756797</v>
      </c>
      <c r="E136" s="3">
        <v>4957079</v>
      </c>
      <c r="F136" s="3"/>
      <c r="G136" s="3"/>
      <c r="H136" s="3"/>
      <c r="I136" s="3">
        <v>9580</v>
      </c>
      <c r="J136" s="20">
        <f t="shared" ref="J136:J142" si="42">E136+F136+G136+H136+I136</f>
        <v>4966659</v>
      </c>
      <c r="K136" s="112">
        <v>3751578</v>
      </c>
      <c r="L136" s="3">
        <f t="shared" ref="L136:L142" si="43">J136-K136</f>
        <v>1215081</v>
      </c>
    </row>
    <row r="137" spans="1:12" x14ac:dyDescent="0.25">
      <c r="A137" s="258"/>
      <c r="B137" s="268"/>
      <c r="C137" s="2" t="s">
        <v>25</v>
      </c>
      <c r="D137" s="3">
        <v>200000</v>
      </c>
      <c r="E137" s="3">
        <v>200000</v>
      </c>
      <c r="F137" s="3"/>
      <c r="G137" s="3"/>
      <c r="H137" s="3"/>
      <c r="I137" s="3"/>
      <c r="J137" s="20">
        <f t="shared" si="42"/>
        <v>200000</v>
      </c>
      <c r="K137" s="112">
        <v>200000</v>
      </c>
      <c r="L137" s="3">
        <f t="shared" si="43"/>
        <v>0</v>
      </c>
    </row>
    <row r="138" spans="1:12" x14ac:dyDescent="0.25">
      <c r="A138" s="258"/>
      <c r="B138" s="268"/>
      <c r="C138" s="2" t="s">
        <v>26</v>
      </c>
      <c r="D138" s="3">
        <v>10000</v>
      </c>
      <c r="E138" s="3">
        <v>10000</v>
      </c>
      <c r="F138" s="3"/>
      <c r="G138" s="3"/>
      <c r="H138" s="3"/>
      <c r="I138" s="3"/>
      <c r="J138" s="20">
        <f t="shared" si="42"/>
        <v>10000</v>
      </c>
      <c r="K138" s="112">
        <v>0</v>
      </c>
      <c r="L138" s="3">
        <f t="shared" si="43"/>
        <v>10000</v>
      </c>
    </row>
    <row r="139" spans="1:12" x14ac:dyDescent="0.25">
      <c r="A139" s="258"/>
      <c r="B139" s="268"/>
      <c r="C139" s="2" t="s">
        <v>27</v>
      </c>
      <c r="D139" s="3">
        <v>255000</v>
      </c>
      <c r="E139" s="3">
        <v>255000</v>
      </c>
      <c r="F139" s="3"/>
      <c r="G139" s="3"/>
      <c r="H139" s="3"/>
      <c r="I139" s="3"/>
      <c r="J139" s="20">
        <f t="shared" si="42"/>
        <v>255000</v>
      </c>
      <c r="K139" s="112">
        <v>170406</v>
      </c>
      <c r="L139" s="3">
        <f t="shared" si="43"/>
        <v>84594</v>
      </c>
    </row>
    <row r="140" spans="1:12" x14ac:dyDescent="0.25">
      <c r="A140" s="258"/>
      <c r="B140" s="268"/>
      <c r="C140" s="2" t="s">
        <v>28</v>
      </c>
      <c r="D140" s="3">
        <v>24000</v>
      </c>
      <c r="E140" s="3">
        <v>24000</v>
      </c>
      <c r="F140" s="3"/>
      <c r="G140" s="3"/>
      <c r="H140" s="3"/>
      <c r="I140" s="3"/>
      <c r="J140" s="20">
        <f t="shared" si="42"/>
        <v>24000</v>
      </c>
      <c r="K140" s="112">
        <v>12000</v>
      </c>
      <c r="L140" s="3">
        <f t="shared" si="43"/>
        <v>12000</v>
      </c>
    </row>
    <row r="141" spans="1:12" x14ac:dyDescent="0.25">
      <c r="A141" s="258"/>
      <c r="B141" s="268"/>
      <c r="C141" s="2" t="s">
        <v>29</v>
      </c>
      <c r="D141" s="3">
        <v>0</v>
      </c>
      <c r="E141" s="3">
        <v>128307</v>
      </c>
      <c r="F141" s="3"/>
      <c r="G141" s="3"/>
      <c r="H141" s="3"/>
      <c r="I141" s="3"/>
      <c r="J141" s="20">
        <f t="shared" si="42"/>
        <v>128307</v>
      </c>
      <c r="K141" s="112">
        <v>102307</v>
      </c>
      <c r="L141" s="3">
        <f t="shared" si="43"/>
        <v>26000</v>
      </c>
    </row>
    <row r="142" spans="1:12" x14ac:dyDescent="0.25">
      <c r="A142" s="258"/>
      <c r="B142" s="268"/>
      <c r="C142" s="2" t="s">
        <v>30</v>
      </c>
      <c r="D142" s="3">
        <v>0</v>
      </c>
      <c r="E142" s="3">
        <v>0</v>
      </c>
      <c r="F142" s="3"/>
      <c r="G142" s="3"/>
      <c r="H142" s="3"/>
      <c r="I142" s="3"/>
      <c r="J142" s="20">
        <f t="shared" si="42"/>
        <v>0</v>
      </c>
      <c r="K142" s="112">
        <v>0</v>
      </c>
      <c r="L142" s="3">
        <f t="shared" si="43"/>
        <v>0</v>
      </c>
    </row>
    <row r="143" spans="1:12" x14ac:dyDescent="0.25">
      <c r="A143" s="258"/>
      <c r="B143" s="268"/>
      <c r="C143" s="6" t="s">
        <v>53</v>
      </c>
      <c r="D143" s="7">
        <f>SUM(D136:D142)</f>
        <v>5245797</v>
      </c>
      <c r="E143" s="7">
        <v>5574386</v>
      </c>
      <c r="F143" s="7">
        <f t="shared" ref="F143:L143" si="44">SUM(F136:F142)</f>
        <v>0</v>
      </c>
      <c r="G143" s="7">
        <f t="shared" si="44"/>
        <v>0</v>
      </c>
      <c r="H143" s="7">
        <f t="shared" si="44"/>
        <v>0</v>
      </c>
      <c r="I143" s="7">
        <f t="shared" si="44"/>
        <v>9580</v>
      </c>
      <c r="J143" s="7">
        <f t="shared" si="44"/>
        <v>5583966</v>
      </c>
      <c r="K143" s="114">
        <f t="shared" si="44"/>
        <v>4236291</v>
      </c>
      <c r="L143" s="7">
        <f t="shared" si="44"/>
        <v>1347675</v>
      </c>
    </row>
    <row r="144" spans="1:12" x14ac:dyDescent="0.25">
      <c r="A144" s="258"/>
      <c r="B144" s="268"/>
      <c r="C144" s="86" t="s">
        <v>31</v>
      </c>
      <c r="D144" s="87">
        <v>1025121</v>
      </c>
      <c r="E144" s="87">
        <v>1089196</v>
      </c>
      <c r="F144" s="87"/>
      <c r="G144" s="87"/>
      <c r="H144" s="87"/>
      <c r="I144" s="87">
        <v>1677</v>
      </c>
      <c r="J144" s="88">
        <f t="shared" ref="J144:J152" si="45">E144+F144+G144+H144+I144</f>
        <v>1090873</v>
      </c>
      <c r="K144" s="115">
        <v>852858</v>
      </c>
      <c r="L144" s="89">
        <f t="shared" ref="L144:L152" si="46">J144-K144</f>
        <v>238015</v>
      </c>
    </row>
    <row r="145" spans="1:12" x14ac:dyDescent="0.25">
      <c r="A145" s="258"/>
      <c r="B145" s="268"/>
      <c r="C145" s="2" t="s">
        <v>32</v>
      </c>
      <c r="D145" s="3">
        <v>80000</v>
      </c>
      <c r="E145" s="3">
        <v>80000</v>
      </c>
      <c r="F145" s="3"/>
      <c r="G145" s="3"/>
      <c r="H145" s="3"/>
      <c r="I145" s="3"/>
      <c r="J145" s="20">
        <f t="shared" si="45"/>
        <v>80000</v>
      </c>
      <c r="K145" s="112">
        <v>0</v>
      </c>
      <c r="L145" s="3">
        <f t="shared" si="46"/>
        <v>80000</v>
      </c>
    </row>
    <row r="146" spans="1:12" x14ac:dyDescent="0.25">
      <c r="A146" s="258"/>
      <c r="B146" s="268"/>
      <c r="C146" s="2" t="s">
        <v>33</v>
      </c>
      <c r="D146" s="3">
        <v>110000</v>
      </c>
      <c r="E146" s="3">
        <v>50000</v>
      </c>
      <c r="F146" s="3"/>
      <c r="G146" s="3"/>
      <c r="H146" s="3"/>
      <c r="I146" s="3"/>
      <c r="J146" s="20">
        <f t="shared" si="45"/>
        <v>50000</v>
      </c>
      <c r="K146" s="112">
        <v>0</v>
      </c>
      <c r="L146" s="3">
        <f t="shared" si="46"/>
        <v>50000</v>
      </c>
    </row>
    <row r="147" spans="1:12" x14ac:dyDescent="0.25">
      <c r="A147" s="258"/>
      <c r="B147" s="268"/>
      <c r="C147" s="2" t="s">
        <v>34</v>
      </c>
      <c r="D147" s="3">
        <v>150000</v>
      </c>
      <c r="E147" s="3">
        <v>136000</v>
      </c>
      <c r="F147" s="3"/>
      <c r="G147" s="3"/>
      <c r="H147" s="3"/>
      <c r="I147" s="3"/>
      <c r="J147" s="20">
        <f t="shared" si="45"/>
        <v>136000</v>
      </c>
      <c r="K147" s="112">
        <v>0</v>
      </c>
      <c r="L147" s="3">
        <f t="shared" si="46"/>
        <v>136000</v>
      </c>
    </row>
    <row r="148" spans="1:12" x14ac:dyDescent="0.25">
      <c r="A148" s="258"/>
      <c r="B148" s="268"/>
      <c r="C148" s="2" t="s">
        <v>38</v>
      </c>
      <c r="D148" s="3">
        <v>144000</v>
      </c>
      <c r="E148" s="3">
        <v>140600</v>
      </c>
      <c r="F148" s="3"/>
      <c r="G148" s="3"/>
      <c r="H148" s="3"/>
      <c r="I148" s="3"/>
      <c r="J148" s="20">
        <f t="shared" si="45"/>
        <v>140600</v>
      </c>
      <c r="K148" s="112">
        <v>0</v>
      </c>
      <c r="L148" s="3">
        <f t="shared" si="46"/>
        <v>140600</v>
      </c>
    </row>
    <row r="149" spans="1:12" x14ac:dyDescent="0.25">
      <c r="A149" s="258"/>
      <c r="B149" s="268"/>
      <c r="C149" s="2" t="s">
        <v>40</v>
      </c>
      <c r="D149" s="3">
        <v>16800</v>
      </c>
      <c r="E149" s="3">
        <v>20200</v>
      </c>
      <c r="F149" s="3"/>
      <c r="G149" s="3"/>
      <c r="H149" s="3"/>
      <c r="I149" s="3"/>
      <c r="J149" s="20">
        <f t="shared" si="45"/>
        <v>20200</v>
      </c>
      <c r="K149" s="112">
        <v>6800</v>
      </c>
      <c r="L149" s="3">
        <f t="shared" si="46"/>
        <v>13400</v>
      </c>
    </row>
    <row r="150" spans="1:12" x14ac:dyDescent="0.25">
      <c r="A150" s="258"/>
      <c r="B150" s="268"/>
      <c r="C150" s="2" t="s">
        <v>41</v>
      </c>
      <c r="D150" s="3">
        <v>40000</v>
      </c>
      <c r="E150" s="3">
        <v>120280</v>
      </c>
      <c r="F150" s="3"/>
      <c r="G150" s="3"/>
      <c r="H150" s="3"/>
      <c r="I150" s="3"/>
      <c r="J150" s="20">
        <f t="shared" si="45"/>
        <v>120280</v>
      </c>
      <c r="K150" s="112">
        <v>80860</v>
      </c>
      <c r="L150" s="3">
        <f t="shared" si="46"/>
        <v>39420</v>
      </c>
    </row>
    <row r="151" spans="1:12" x14ac:dyDescent="0.25">
      <c r="A151" s="258"/>
      <c r="B151" s="268"/>
      <c r="C151" s="2" t="s">
        <v>42</v>
      </c>
      <c r="D151" s="3">
        <v>150000</v>
      </c>
      <c r="E151" s="3">
        <v>143720</v>
      </c>
      <c r="F151" s="3"/>
      <c r="G151" s="3"/>
      <c r="H151" s="3"/>
      <c r="I151" s="3"/>
      <c r="J151" s="20">
        <f t="shared" si="45"/>
        <v>143720</v>
      </c>
      <c r="K151" s="112">
        <v>90600</v>
      </c>
      <c r="L151" s="3">
        <f t="shared" si="46"/>
        <v>53120</v>
      </c>
    </row>
    <row r="152" spans="1:12" x14ac:dyDescent="0.25">
      <c r="A152" s="258"/>
      <c r="B152" s="268"/>
      <c r="C152" s="2" t="s">
        <v>44</v>
      </c>
      <c r="D152" s="3">
        <v>141480</v>
      </c>
      <c r="E152" s="3">
        <v>141480</v>
      </c>
      <c r="F152" s="3"/>
      <c r="G152" s="3"/>
      <c r="H152" s="3"/>
      <c r="I152" s="3"/>
      <c r="J152" s="20">
        <f t="shared" si="45"/>
        <v>141480</v>
      </c>
      <c r="K152" s="112">
        <v>11033</v>
      </c>
      <c r="L152" s="3">
        <f t="shared" si="46"/>
        <v>130447</v>
      </c>
    </row>
    <row r="153" spans="1:12" x14ac:dyDescent="0.25">
      <c r="A153" s="258"/>
      <c r="B153" s="268"/>
      <c r="C153" s="6" t="s">
        <v>49</v>
      </c>
      <c r="D153" s="7">
        <f>SUM(D145:D152)</f>
        <v>832280</v>
      </c>
      <c r="E153" s="7">
        <v>832280</v>
      </c>
      <c r="F153" s="7">
        <f t="shared" ref="F153:L153" si="47">SUM(F145:F152)</f>
        <v>0</v>
      </c>
      <c r="G153" s="7">
        <f t="shared" si="47"/>
        <v>0</v>
      </c>
      <c r="H153" s="7">
        <f t="shared" si="47"/>
        <v>0</v>
      </c>
      <c r="I153" s="7">
        <f t="shared" si="47"/>
        <v>0</v>
      </c>
      <c r="J153" s="7">
        <f t="shared" si="47"/>
        <v>832280</v>
      </c>
      <c r="K153" s="114">
        <f t="shared" si="47"/>
        <v>189293</v>
      </c>
      <c r="L153" s="7">
        <f t="shared" si="47"/>
        <v>642987</v>
      </c>
    </row>
    <row r="154" spans="1:12" x14ac:dyDescent="0.25">
      <c r="A154" s="255" t="s">
        <v>66</v>
      </c>
      <c r="B154" s="252" t="s">
        <v>23</v>
      </c>
      <c r="C154" s="15" t="s">
        <v>24</v>
      </c>
      <c r="D154" s="24">
        <v>832628</v>
      </c>
      <c r="E154" s="24">
        <v>832628</v>
      </c>
      <c r="F154" s="11"/>
      <c r="G154" s="11"/>
      <c r="H154" s="11"/>
      <c r="I154" s="11"/>
      <c r="J154" s="20">
        <f t="shared" ref="J154:J155" si="48">E154+F154+G154+H154+I154</f>
        <v>832628</v>
      </c>
      <c r="K154" s="112">
        <v>683020</v>
      </c>
      <c r="L154" s="3">
        <f t="shared" ref="L154:L155" si="49">J154-K154</f>
        <v>149608</v>
      </c>
    </row>
    <row r="155" spans="1:12" x14ac:dyDescent="0.25">
      <c r="A155" s="257"/>
      <c r="B155" s="254"/>
      <c r="C155" s="15" t="s">
        <v>31</v>
      </c>
      <c r="D155" s="24">
        <v>155410</v>
      </c>
      <c r="E155" s="24">
        <v>155410</v>
      </c>
      <c r="F155" s="11"/>
      <c r="G155" s="11"/>
      <c r="H155" s="11"/>
      <c r="I155" s="11"/>
      <c r="J155" s="20">
        <f t="shared" si="48"/>
        <v>155410</v>
      </c>
      <c r="K155" s="112">
        <v>129018</v>
      </c>
      <c r="L155" s="3">
        <f t="shared" si="49"/>
        <v>26392</v>
      </c>
    </row>
    <row r="156" spans="1:12" x14ac:dyDescent="0.25">
      <c r="A156" s="304" t="s">
        <v>79</v>
      </c>
      <c r="B156" s="305"/>
      <c r="C156" s="306"/>
      <c r="D156" s="84">
        <f>SUM(D143+D144+D153+D154+D155)</f>
        <v>8091236</v>
      </c>
      <c r="E156" s="84">
        <f t="shared" ref="E156:L156" si="50">SUM(E143+E144+E153+E154+E155)</f>
        <v>8483900</v>
      </c>
      <c r="F156" s="84">
        <f t="shared" si="50"/>
        <v>0</v>
      </c>
      <c r="G156" s="84">
        <f t="shared" si="50"/>
        <v>0</v>
      </c>
      <c r="H156" s="84">
        <f t="shared" si="50"/>
        <v>0</v>
      </c>
      <c r="I156" s="84">
        <f t="shared" si="50"/>
        <v>11257</v>
      </c>
      <c r="J156" s="84">
        <f t="shared" si="50"/>
        <v>8495157</v>
      </c>
      <c r="K156" s="116">
        <f t="shared" si="50"/>
        <v>6090480</v>
      </c>
      <c r="L156" s="84">
        <f t="shared" si="50"/>
        <v>2404677</v>
      </c>
    </row>
    <row r="157" spans="1:12" x14ac:dyDescent="0.25">
      <c r="A157" s="258" t="s">
        <v>55</v>
      </c>
      <c r="B157" s="268" t="s">
        <v>23</v>
      </c>
      <c r="C157" s="10" t="s">
        <v>24</v>
      </c>
      <c r="D157" s="24">
        <v>5055869</v>
      </c>
      <c r="E157" s="24">
        <v>5275466</v>
      </c>
      <c r="F157" s="11"/>
      <c r="G157" s="11"/>
      <c r="H157" s="11"/>
      <c r="I157" s="11"/>
      <c r="J157" s="20">
        <f t="shared" ref="J157:J162" si="51">E157+F157+G157+H157+I157</f>
        <v>5275466</v>
      </c>
      <c r="K157" s="112">
        <v>4070996</v>
      </c>
      <c r="L157" s="3">
        <f t="shared" ref="L157:L162" si="52">J157-K157</f>
        <v>1204470</v>
      </c>
    </row>
    <row r="158" spans="1:12" x14ac:dyDescent="0.25">
      <c r="A158" s="258"/>
      <c r="B158" s="268"/>
      <c r="C158" s="10" t="s">
        <v>25</v>
      </c>
      <c r="D158" s="24">
        <v>425000</v>
      </c>
      <c r="E158" s="24">
        <v>425000</v>
      </c>
      <c r="F158" s="11"/>
      <c r="G158" s="11"/>
      <c r="H158" s="11"/>
      <c r="I158" s="11"/>
      <c r="J158" s="20">
        <f t="shared" si="51"/>
        <v>425000</v>
      </c>
      <c r="K158" s="112">
        <v>402500</v>
      </c>
      <c r="L158" s="3">
        <f t="shared" si="52"/>
        <v>22500</v>
      </c>
    </row>
    <row r="159" spans="1:12" x14ac:dyDescent="0.25">
      <c r="A159" s="258"/>
      <c r="B159" s="268"/>
      <c r="C159" s="10" t="s">
        <v>26</v>
      </c>
      <c r="D159" s="24">
        <v>10000</v>
      </c>
      <c r="E159" s="24">
        <v>10000</v>
      </c>
      <c r="F159" s="11"/>
      <c r="G159" s="11"/>
      <c r="H159" s="11"/>
      <c r="I159" s="11"/>
      <c r="J159" s="20">
        <f t="shared" si="51"/>
        <v>10000</v>
      </c>
      <c r="K159" s="112">
        <v>0</v>
      </c>
      <c r="L159" s="3">
        <f t="shared" si="52"/>
        <v>10000</v>
      </c>
    </row>
    <row r="160" spans="1:12" x14ac:dyDescent="0.25">
      <c r="A160" s="258"/>
      <c r="B160" s="268"/>
      <c r="C160" s="10" t="s">
        <v>28</v>
      </c>
      <c r="D160" s="24">
        <v>24000</v>
      </c>
      <c r="E160" s="24">
        <v>24000</v>
      </c>
      <c r="F160" s="11"/>
      <c r="G160" s="11"/>
      <c r="H160" s="11"/>
      <c r="I160" s="11"/>
      <c r="J160" s="20">
        <f t="shared" si="51"/>
        <v>24000</v>
      </c>
      <c r="K160" s="112">
        <v>12000</v>
      </c>
      <c r="L160" s="3">
        <f t="shared" si="52"/>
        <v>12000</v>
      </c>
    </row>
    <row r="161" spans="1:12" x14ac:dyDescent="0.25">
      <c r="A161" s="258"/>
      <c r="B161" s="268"/>
      <c r="C161" s="10" t="s">
        <v>29</v>
      </c>
      <c r="D161" s="24">
        <v>75000</v>
      </c>
      <c r="E161" s="24">
        <v>125000</v>
      </c>
      <c r="F161" s="11"/>
      <c r="G161" s="11"/>
      <c r="H161" s="11"/>
      <c r="I161" s="11"/>
      <c r="J161" s="20">
        <f t="shared" si="51"/>
        <v>125000</v>
      </c>
      <c r="K161" s="112">
        <v>2000</v>
      </c>
      <c r="L161" s="3">
        <f t="shared" si="52"/>
        <v>123000</v>
      </c>
    </row>
    <row r="162" spans="1:12" x14ac:dyDescent="0.25">
      <c r="A162" s="258"/>
      <c r="B162" s="268"/>
      <c r="C162" s="10" t="s">
        <v>30</v>
      </c>
      <c r="D162" s="24">
        <v>0</v>
      </c>
      <c r="E162" s="24">
        <v>0</v>
      </c>
      <c r="F162" s="11"/>
      <c r="G162" s="11"/>
      <c r="H162" s="11"/>
      <c r="I162" s="11"/>
      <c r="J162" s="20">
        <f t="shared" si="51"/>
        <v>0</v>
      </c>
      <c r="K162" s="112">
        <v>0</v>
      </c>
      <c r="L162" s="3">
        <f t="shared" si="52"/>
        <v>0</v>
      </c>
    </row>
    <row r="163" spans="1:12" x14ac:dyDescent="0.25">
      <c r="A163" s="258"/>
      <c r="B163" s="268"/>
      <c r="C163" s="6" t="s">
        <v>53</v>
      </c>
      <c r="D163" s="7">
        <f>SUM(D157:D162)</f>
        <v>5589869</v>
      </c>
      <c r="E163" s="7">
        <v>5859466</v>
      </c>
      <c r="F163" s="7">
        <f t="shared" ref="F163:L163" si="53">SUM(F157:F162)</f>
        <v>0</v>
      </c>
      <c r="G163" s="7">
        <f t="shared" si="53"/>
        <v>0</v>
      </c>
      <c r="H163" s="7">
        <f t="shared" si="53"/>
        <v>0</v>
      </c>
      <c r="I163" s="7">
        <f t="shared" si="53"/>
        <v>0</v>
      </c>
      <c r="J163" s="7">
        <f t="shared" si="53"/>
        <v>5859466</v>
      </c>
      <c r="K163" s="114">
        <f t="shared" si="53"/>
        <v>4487496</v>
      </c>
      <c r="L163" s="7">
        <f t="shared" si="53"/>
        <v>1371970</v>
      </c>
    </row>
    <row r="164" spans="1:12" x14ac:dyDescent="0.25">
      <c r="A164" s="258"/>
      <c r="B164" s="268"/>
      <c r="C164" s="86" t="s">
        <v>31</v>
      </c>
      <c r="D164" s="87">
        <v>1124913</v>
      </c>
      <c r="E164" s="87">
        <v>1177484</v>
      </c>
      <c r="F164" s="87"/>
      <c r="G164" s="87"/>
      <c r="H164" s="87"/>
      <c r="I164" s="87"/>
      <c r="J164" s="88">
        <f t="shared" ref="J164:J173" si="54">E164+F164+G164+H164+I164</f>
        <v>1177484</v>
      </c>
      <c r="K164" s="115">
        <v>932459</v>
      </c>
      <c r="L164" s="89">
        <f t="shared" ref="L164:L173" si="55">J164-K164</f>
        <v>245025</v>
      </c>
    </row>
    <row r="165" spans="1:12" x14ac:dyDescent="0.25">
      <c r="A165" s="258"/>
      <c r="B165" s="268"/>
      <c r="C165" s="10" t="s">
        <v>32</v>
      </c>
      <c r="D165" s="24">
        <v>100000</v>
      </c>
      <c r="E165" s="24">
        <v>50000</v>
      </c>
      <c r="F165" s="11"/>
      <c r="G165" s="11"/>
      <c r="H165" s="11"/>
      <c r="I165" s="11"/>
      <c r="J165" s="20">
        <f t="shared" si="54"/>
        <v>50000</v>
      </c>
      <c r="K165" s="112">
        <v>0</v>
      </c>
      <c r="L165" s="3">
        <f t="shared" si="55"/>
        <v>50000</v>
      </c>
    </row>
    <row r="166" spans="1:12" x14ac:dyDescent="0.25">
      <c r="A166" s="258"/>
      <c r="B166" s="268"/>
      <c r="C166" s="10" t="s">
        <v>33</v>
      </c>
      <c r="D166" s="24">
        <v>100000</v>
      </c>
      <c r="E166" s="24">
        <v>100000</v>
      </c>
      <c r="F166" s="11"/>
      <c r="G166" s="11"/>
      <c r="H166" s="11"/>
      <c r="I166" s="11"/>
      <c r="J166" s="20">
        <f t="shared" si="54"/>
        <v>100000</v>
      </c>
      <c r="K166" s="112">
        <v>4536</v>
      </c>
      <c r="L166" s="3">
        <f t="shared" si="55"/>
        <v>95464</v>
      </c>
    </row>
    <row r="167" spans="1:12" x14ac:dyDescent="0.25">
      <c r="A167" s="258"/>
      <c r="B167" s="268"/>
      <c r="C167" s="10" t="s">
        <v>34</v>
      </c>
      <c r="D167" s="24">
        <v>100000</v>
      </c>
      <c r="E167" s="24">
        <v>100000</v>
      </c>
      <c r="F167" s="11"/>
      <c r="G167" s="11"/>
      <c r="H167" s="11"/>
      <c r="I167" s="11"/>
      <c r="J167" s="20">
        <f t="shared" si="54"/>
        <v>100000</v>
      </c>
      <c r="K167" s="112">
        <v>0</v>
      </c>
      <c r="L167" s="3">
        <f t="shared" si="55"/>
        <v>100000</v>
      </c>
    </row>
    <row r="168" spans="1:12" x14ac:dyDescent="0.25">
      <c r="A168" s="258"/>
      <c r="B168" s="268"/>
      <c r="C168" s="10" t="s">
        <v>35</v>
      </c>
      <c r="D168" s="24">
        <v>50000</v>
      </c>
      <c r="E168" s="24">
        <v>50000</v>
      </c>
      <c r="F168" s="11"/>
      <c r="G168" s="11"/>
      <c r="H168" s="11"/>
      <c r="I168" s="11"/>
      <c r="J168" s="20">
        <f t="shared" si="54"/>
        <v>50000</v>
      </c>
      <c r="K168" s="112">
        <v>0</v>
      </c>
      <c r="L168" s="3">
        <f t="shared" si="55"/>
        <v>50000</v>
      </c>
    </row>
    <row r="169" spans="1:12" x14ac:dyDescent="0.25">
      <c r="A169" s="258"/>
      <c r="B169" s="268"/>
      <c r="C169" s="10" t="s">
        <v>38</v>
      </c>
      <c r="D169" s="24">
        <v>140000</v>
      </c>
      <c r="E169" s="24">
        <v>136600</v>
      </c>
      <c r="F169" s="139"/>
      <c r="G169" s="11"/>
      <c r="H169" s="11"/>
      <c r="I169" s="11"/>
      <c r="J169" s="20">
        <f t="shared" si="54"/>
        <v>136600</v>
      </c>
      <c r="K169" s="112">
        <v>50790</v>
      </c>
      <c r="L169" s="3">
        <f t="shared" si="55"/>
        <v>85810</v>
      </c>
    </row>
    <row r="170" spans="1:12" x14ac:dyDescent="0.25">
      <c r="A170" s="258"/>
      <c r="B170" s="268"/>
      <c r="C170" s="10" t="s">
        <v>40</v>
      </c>
      <c r="D170" s="24">
        <v>15000</v>
      </c>
      <c r="E170" s="24">
        <v>18400</v>
      </c>
      <c r="F170" s="139"/>
      <c r="G170" s="11"/>
      <c r="H170" s="11"/>
      <c r="I170" s="11"/>
      <c r="J170" s="20">
        <f t="shared" si="54"/>
        <v>18400</v>
      </c>
      <c r="K170" s="112">
        <v>6350</v>
      </c>
      <c r="L170" s="3">
        <f t="shared" si="55"/>
        <v>12050</v>
      </c>
    </row>
    <row r="171" spans="1:12" x14ac:dyDescent="0.25">
      <c r="A171" s="258"/>
      <c r="B171" s="268"/>
      <c r="C171" s="10" t="s">
        <v>41</v>
      </c>
      <c r="D171" s="24">
        <v>80000</v>
      </c>
      <c r="E171" s="24">
        <v>144188</v>
      </c>
      <c r="F171" s="11"/>
      <c r="G171" s="11"/>
      <c r="H171" s="11"/>
      <c r="I171" s="11"/>
      <c r="J171" s="20">
        <f t="shared" si="54"/>
        <v>144188</v>
      </c>
      <c r="K171" s="112">
        <v>94768</v>
      </c>
      <c r="L171" s="3">
        <f t="shared" si="55"/>
        <v>49420</v>
      </c>
    </row>
    <row r="172" spans="1:12" x14ac:dyDescent="0.25">
      <c r="A172" s="258"/>
      <c r="B172" s="268"/>
      <c r="C172" s="10" t="s">
        <v>42</v>
      </c>
      <c r="D172" s="24">
        <v>240000</v>
      </c>
      <c r="E172" s="24">
        <v>240000</v>
      </c>
      <c r="F172" s="11"/>
      <c r="G172" s="11"/>
      <c r="H172" s="11"/>
      <c r="I172" s="11"/>
      <c r="J172" s="20">
        <f t="shared" si="54"/>
        <v>240000</v>
      </c>
      <c r="K172" s="112">
        <v>229650</v>
      </c>
      <c r="L172" s="3">
        <f t="shared" si="55"/>
        <v>10350</v>
      </c>
    </row>
    <row r="173" spans="1:12" x14ac:dyDescent="0.25">
      <c r="A173" s="258"/>
      <c r="B173" s="268"/>
      <c r="C173" s="10" t="s">
        <v>44</v>
      </c>
      <c r="D173" s="24">
        <v>142900</v>
      </c>
      <c r="E173" s="24">
        <v>128712</v>
      </c>
      <c r="F173" s="11"/>
      <c r="G173" s="11"/>
      <c r="H173" s="11"/>
      <c r="I173" s="11"/>
      <c r="J173" s="20">
        <f t="shared" si="54"/>
        <v>128712</v>
      </c>
      <c r="K173" s="112">
        <v>22274</v>
      </c>
      <c r="L173" s="3">
        <f t="shared" si="55"/>
        <v>106438</v>
      </c>
    </row>
    <row r="174" spans="1:12" x14ac:dyDescent="0.25">
      <c r="A174" s="258"/>
      <c r="B174" s="268"/>
      <c r="C174" s="6" t="s">
        <v>49</v>
      </c>
      <c r="D174" s="7">
        <f>SUM(D165:D173)</f>
        <v>967900</v>
      </c>
      <c r="E174" s="7">
        <v>967900</v>
      </c>
      <c r="F174" s="7">
        <f t="shared" ref="F174:L174" si="56">SUM(F165:F173)</f>
        <v>0</v>
      </c>
      <c r="G174" s="7">
        <f t="shared" si="56"/>
        <v>0</v>
      </c>
      <c r="H174" s="7">
        <f t="shared" si="56"/>
        <v>0</v>
      </c>
      <c r="I174" s="7">
        <f t="shared" si="56"/>
        <v>0</v>
      </c>
      <c r="J174" s="7">
        <f t="shared" si="56"/>
        <v>967900</v>
      </c>
      <c r="K174" s="114">
        <f t="shared" si="56"/>
        <v>408368</v>
      </c>
      <c r="L174" s="7">
        <f t="shared" si="56"/>
        <v>559532</v>
      </c>
    </row>
    <row r="175" spans="1:12" x14ac:dyDescent="0.25">
      <c r="A175" s="255" t="s">
        <v>67</v>
      </c>
      <c r="B175" s="252" t="s">
        <v>23</v>
      </c>
      <c r="C175" s="25" t="s">
        <v>29</v>
      </c>
      <c r="D175" s="24">
        <v>157200</v>
      </c>
      <c r="E175" s="24">
        <v>157200</v>
      </c>
      <c r="F175" s="11"/>
      <c r="G175" s="11"/>
      <c r="H175" s="11"/>
      <c r="I175" s="11"/>
      <c r="J175" s="20">
        <f t="shared" ref="J175:J191" si="57">E175+F175+G175+H175+I175</f>
        <v>157200</v>
      </c>
      <c r="K175" s="112">
        <v>60800</v>
      </c>
      <c r="L175" s="3">
        <f t="shared" ref="L175:L191" si="58">J175-K175</f>
        <v>96400</v>
      </c>
    </row>
    <row r="176" spans="1:12" x14ac:dyDescent="0.25">
      <c r="A176" s="257"/>
      <c r="B176" s="254"/>
      <c r="C176" s="25" t="s">
        <v>31</v>
      </c>
      <c r="D176" s="24">
        <v>29213</v>
      </c>
      <c r="E176" s="24">
        <v>29213</v>
      </c>
      <c r="F176" s="11"/>
      <c r="G176" s="11"/>
      <c r="H176" s="11"/>
      <c r="I176" s="11"/>
      <c r="J176" s="20">
        <f t="shared" si="57"/>
        <v>29213</v>
      </c>
      <c r="K176" s="112">
        <v>11540</v>
      </c>
      <c r="L176" s="3">
        <f t="shared" si="58"/>
        <v>17673</v>
      </c>
    </row>
    <row r="177" spans="1:12" x14ac:dyDescent="0.25">
      <c r="A177" s="255" t="s">
        <v>75</v>
      </c>
      <c r="B177" s="252" t="s">
        <v>23</v>
      </c>
      <c r="C177" s="15" t="s">
        <v>24</v>
      </c>
      <c r="D177" s="24">
        <v>1604509</v>
      </c>
      <c r="E177" s="24">
        <v>1604509</v>
      </c>
      <c r="F177" s="11"/>
      <c r="G177" s="11"/>
      <c r="H177" s="11"/>
      <c r="I177" s="11"/>
      <c r="J177" s="20">
        <f t="shared" si="57"/>
        <v>1604509</v>
      </c>
      <c r="K177" s="112">
        <v>1369857</v>
      </c>
      <c r="L177" s="3">
        <f t="shared" si="58"/>
        <v>234652</v>
      </c>
    </row>
    <row r="178" spans="1:12" x14ac:dyDescent="0.25">
      <c r="A178" s="257"/>
      <c r="B178" s="254"/>
      <c r="C178" s="15" t="s">
        <v>31</v>
      </c>
      <c r="D178" s="24">
        <v>299119</v>
      </c>
      <c r="E178" s="24">
        <v>299119</v>
      </c>
      <c r="F178" s="11"/>
      <c r="G178" s="11"/>
      <c r="H178" s="11"/>
      <c r="I178" s="11"/>
      <c r="J178" s="20">
        <f t="shared" si="57"/>
        <v>299119</v>
      </c>
      <c r="K178" s="112">
        <v>258868</v>
      </c>
      <c r="L178" s="3">
        <f t="shared" si="58"/>
        <v>40251</v>
      </c>
    </row>
    <row r="179" spans="1:12" x14ac:dyDescent="0.25">
      <c r="A179" s="310" t="s">
        <v>80</v>
      </c>
      <c r="B179" s="310"/>
      <c r="C179" s="310"/>
      <c r="D179" s="85">
        <f>SUM(D163+D164+D174+D175+D176+D177+D178)</f>
        <v>9772723</v>
      </c>
      <c r="E179" s="85">
        <f t="shared" ref="E179:L179" si="59">SUM(E163+E164+E174+E175+E176+E177+E178)</f>
        <v>10094891</v>
      </c>
      <c r="F179" s="85">
        <f t="shared" si="59"/>
        <v>0</v>
      </c>
      <c r="G179" s="85">
        <f t="shared" si="59"/>
        <v>0</v>
      </c>
      <c r="H179" s="85">
        <f t="shared" si="59"/>
        <v>0</v>
      </c>
      <c r="I179" s="85">
        <f t="shared" si="59"/>
        <v>0</v>
      </c>
      <c r="J179" s="85">
        <f t="shared" si="59"/>
        <v>10094891</v>
      </c>
      <c r="K179" s="116">
        <f t="shared" si="59"/>
        <v>7529388</v>
      </c>
      <c r="L179" s="85">
        <f t="shared" si="59"/>
        <v>2565503</v>
      </c>
    </row>
    <row r="180" spans="1:12" x14ac:dyDescent="0.25">
      <c r="A180" s="258" t="s">
        <v>15</v>
      </c>
      <c r="B180" s="252" t="s">
        <v>23</v>
      </c>
      <c r="C180" s="43" t="s">
        <v>24</v>
      </c>
      <c r="D180" s="44">
        <v>11144060</v>
      </c>
      <c r="E180" s="44">
        <v>11144060</v>
      </c>
      <c r="F180" s="44"/>
      <c r="G180" s="44"/>
      <c r="H180" s="44"/>
      <c r="I180" s="44"/>
      <c r="J180" s="20">
        <f t="shared" si="57"/>
        <v>11144060</v>
      </c>
      <c r="K180" s="56">
        <v>8187749</v>
      </c>
      <c r="L180" s="3">
        <f t="shared" si="58"/>
        <v>2956311</v>
      </c>
    </row>
    <row r="181" spans="1:12" x14ac:dyDescent="0.25">
      <c r="A181" s="258"/>
      <c r="B181" s="253"/>
      <c r="C181" s="43" t="s">
        <v>30</v>
      </c>
      <c r="D181" s="44">
        <v>0</v>
      </c>
      <c r="E181" s="44">
        <v>0</v>
      </c>
      <c r="F181" s="44"/>
      <c r="G181" s="44"/>
      <c r="H181" s="44"/>
      <c r="I181" s="44"/>
      <c r="J181" s="20">
        <f t="shared" si="57"/>
        <v>0</v>
      </c>
      <c r="K181" s="56">
        <v>0</v>
      </c>
      <c r="L181" s="3">
        <f t="shared" si="58"/>
        <v>0</v>
      </c>
    </row>
    <row r="182" spans="1:12" x14ac:dyDescent="0.25">
      <c r="A182" s="258"/>
      <c r="B182" s="253"/>
      <c r="C182" s="6" t="s">
        <v>53</v>
      </c>
      <c r="D182" s="7">
        <f>D180+D181</f>
        <v>11144060</v>
      </c>
      <c r="E182" s="7">
        <v>11144060</v>
      </c>
      <c r="F182" s="7">
        <f t="shared" ref="F182:L182" si="60">F180+F181</f>
        <v>0</v>
      </c>
      <c r="G182" s="7">
        <f t="shared" si="60"/>
        <v>0</v>
      </c>
      <c r="H182" s="7">
        <f t="shared" si="60"/>
        <v>0</v>
      </c>
      <c r="I182" s="7">
        <f t="shared" si="60"/>
        <v>0</v>
      </c>
      <c r="J182" s="8">
        <f t="shared" si="57"/>
        <v>11144060</v>
      </c>
      <c r="K182" s="117">
        <f t="shared" si="60"/>
        <v>8187749</v>
      </c>
      <c r="L182" s="7">
        <f t="shared" si="60"/>
        <v>2956311</v>
      </c>
    </row>
    <row r="183" spans="1:12" x14ac:dyDescent="0.25">
      <c r="A183" s="258"/>
      <c r="B183" s="253"/>
      <c r="C183" s="86" t="s">
        <v>31</v>
      </c>
      <c r="D183" s="87">
        <v>2295657</v>
      </c>
      <c r="E183" s="87">
        <v>6570207</v>
      </c>
      <c r="F183" s="87"/>
      <c r="G183" s="87"/>
      <c r="H183" s="87"/>
      <c r="I183" s="87"/>
      <c r="J183" s="89">
        <f t="shared" si="57"/>
        <v>6570207</v>
      </c>
      <c r="K183" s="115">
        <v>4345532</v>
      </c>
      <c r="L183" s="89">
        <f t="shared" si="58"/>
        <v>2224675</v>
      </c>
    </row>
    <row r="184" spans="1:12" x14ac:dyDescent="0.25">
      <c r="A184" s="258"/>
      <c r="B184" s="253"/>
      <c r="C184" s="10" t="s">
        <v>33</v>
      </c>
      <c r="D184" s="3">
        <v>90000</v>
      </c>
      <c r="E184" s="3">
        <v>232959</v>
      </c>
      <c r="F184" s="3"/>
      <c r="G184" s="3"/>
      <c r="H184" s="3"/>
      <c r="I184" s="3"/>
      <c r="J184" s="3">
        <f t="shared" si="57"/>
        <v>232959</v>
      </c>
      <c r="K184" s="112">
        <v>232959</v>
      </c>
      <c r="L184" s="3">
        <f t="shared" si="58"/>
        <v>0</v>
      </c>
    </row>
    <row r="185" spans="1:12" x14ac:dyDescent="0.25">
      <c r="A185" s="258"/>
      <c r="B185" s="253"/>
      <c r="C185" s="10" t="s">
        <v>37</v>
      </c>
      <c r="D185" s="3">
        <v>230000</v>
      </c>
      <c r="E185" s="3">
        <v>230000</v>
      </c>
      <c r="F185" s="3"/>
      <c r="G185" s="3"/>
      <c r="H185" s="3"/>
      <c r="I185" s="3"/>
      <c r="J185" s="3">
        <f t="shared" si="57"/>
        <v>230000</v>
      </c>
      <c r="K185" s="112">
        <v>0</v>
      </c>
      <c r="L185" s="3">
        <f t="shared" si="58"/>
        <v>230000</v>
      </c>
    </row>
    <row r="186" spans="1:12" x14ac:dyDescent="0.25">
      <c r="A186" s="258"/>
      <c r="B186" s="253"/>
      <c r="C186" s="10" t="s">
        <v>40</v>
      </c>
      <c r="D186" s="3">
        <v>14850000</v>
      </c>
      <c r="E186" s="3">
        <v>14850000</v>
      </c>
      <c r="F186" s="3"/>
      <c r="G186" s="3"/>
      <c r="H186" s="3"/>
      <c r="I186" s="3"/>
      <c r="J186" s="3">
        <f t="shared" si="57"/>
        <v>14850000</v>
      </c>
      <c r="K186" s="112">
        <v>0</v>
      </c>
      <c r="L186" s="3">
        <f t="shared" si="58"/>
        <v>14850000</v>
      </c>
    </row>
    <row r="187" spans="1:12" x14ac:dyDescent="0.25">
      <c r="A187" s="258"/>
      <c r="B187" s="253"/>
      <c r="C187" s="10" t="s">
        <v>41</v>
      </c>
      <c r="D187" s="3">
        <v>25112271</v>
      </c>
      <c r="E187" s="3">
        <v>12427045</v>
      </c>
      <c r="F187" s="3"/>
      <c r="G187" s="3"/>
      <c r="H187" s="3"/>
      <c r="I187" s="3"/>
      <c r="J187" s="3">
        <f t="shared" si="57"/>
        <v>12427045</v>
      </c>
      <c r="K187" s="112">
        <v>5250010</v>
      </c>
      <c r="L187" s="3">
        <f t="shared" si="58"/>
        <v>7177035</v>
      </c>
    </row>
    <row r="188" spans="1:12" x14ac:dyDescent="0.25">
      <c r="A188" s="258"/>
      <c r="B188" s="253"/>
      <c r="C188" s="10" t="s">
        <v>42</v>
      </c>
      <c r="D188" s="3">
        <v>230000</v>
      </c>
      <c r="E188" s="3">
        <v>230000</v>
      </c>
      <c r="F188" s="3"/>
      <c r="G188" s="3"/>
      <c r="H188" s="3"/>
      <c r="I188" s="3"/>
      <c r="J188" s="3">
        <f t="shared" si="57"/>
        <v>230000</v>
      </c>
      <c r="K188" s="112">
        <v>38298</v>
      </c>
      <c r="L188" s="3">
        <f t="shared" si="58"/>
        <v>191702</v>
      </c>
    </row>
    <row r="189" spans="1:12" x14ac:dyDescent="0.25">
      <c r="A189" s="258"/>
      <c r="B189" s="253"/>
      <c r="C189" s="10" t="s">
        <v>43</v>
      </c>
      <c r="D189" s="3">
        <v>230000</v>
      </c>
      <c r="E189" s="3">
        <v>230000</v>
      </c>
      <c r="F189" s="3"/>
      <c r="G189" s="3"/>
      <c r="H189" s="3"/>
      <c r="I189" s="3"/>
      <c r="J189" s="3">
        <f t="shared" si="57"/>
        <v>230000</v>
      </c>
      <c r="K189" s="112">
        <v>0</v>
      </c>
      <c r="L189" s="3">
        <f t="shared" si="58"/>
        <v>230000</v>
      </c>
    </row>
    <row r="190" spans="1:12" x14ac:dyDescent="0.25">
      <c r="A190" s="258"/>
      <c r="B190" s="253"/>
      <c r="C190" s="10" t="s">
        <v>44</v>
      </c>
      <c r="D190" s="3">
        <v>5677830</v>
      </c>
      <c r="E190" s="3">
        <v>3445547</v>
      </c>
      <c r="F190" s="3"/>
      <c r="G190" s="3"/>
      <c r="H190" s="3"/>
      <c r="I190" s="3"/>
      <c r="J190" s="3">
        <f t="shared" si="57"/>
        <v>3445547</v>
      </c>
      <c r="K190" s="112">
        <v>1480399</v>
      </c>
      <c r="L190" s="3">
        <f t="shared" si="58"/>
        <v>1965148</v>
      </c>
    </row>
    <row r="191" spans="1:12" x14ac:dyDescent="0.25">
      <c r="A191" s="258"/>
      <c r="B191" s="253"/>
      <c r="C191" s="10" t="s">
        <v>45</v>
      </c>
      <c r="D191" s="3">
        <v>229990</v>
      </c>
      <c r="E191" s="3">
        <v>229990</v>
      </c>
      <c r="F191" s="3"/>
      <c r="G191" s="3"/>
      <c r="H191" s="3"/>
      <c r="I191" s="3"/>
      <c r="J191" s="3">
        <f t="shared" si="57"/>
        <v>229990</v>
      </c>
      <c r="K191" s="112">
        <v>0</v>
      </c>
      <c r="L191" s="3">
        <f t="shared" si="58"/>
        <v>229990</v>
      </c>
    </row>
    <row r="192" spans="1:12" x14ac:dyDescent="0.25">
      <c r="A192" s="258"/>
      <c r="B192" s="253"/>
      <c r="C192" s="6" t="s">
        <v>49</v>
      </c>
      <c r="D192" s="7">
        <f>SUM(D184:D191)</f>
        <v>46650091</v>
      </c>
      <c r="E192" s="7">
        <v>31875541</v>
      </c>
      <c r="F192" s="7">
        <f t="shared" ref="F192:L192" si="61">SUM(F184:F191)</f>
        <v>0</v>
      </c>
      <c r="G192" s="7">
        <f t="shared" si="61"/>
        <v>0</v>
      </c>
      <c r="H192" s="7">
        <f t="shared" si="61"/>
        <v>0</v>
      </c>
      <c r="I192" s="7">
        <f t="shared" si="61"/>
        <v>0</v>
      </c>
      <c r="J192" s="7">
        <f t="shared" si="61"/>
        <v>31875541</v>
      </c>
      <c r="K192" s="114">
        <f t="shared" si="61"/>
        <v>7001666</v>
      </c>
      <c r="L192" s="7">
        <f t="shared" si="61"/>
        <v>24873875</v>
      </c>
    </row>
    <row r="193" spans="1:12" x14ac:dyDescent="0.25">
      <c r="A193" s="258"/>
      <c r="B193" s="253"/>
      <c r="C193" s="10" t="s">
        <v>56</v>
      </c>
      <c r="D193" s="3">
        <v>0</v>
      </c>
      <c r="E193" s="3">
        <v>0</v>
      </c>
      <c r="F193" s="3"/>
      <c r="G193" s="3"/>
      <c r="H193" s="3"/>
      <c r="I193" s="3"/>
      <c r="J193" s="3">
        <f t="shared" ref="J193:J195" si="62">E193+F193+G193+H193+I193</f>
        <v>0</v>
      </c>
      <c r="K193" s="112">
        <v>0</v>
      </c>
      <c r="L193" s="3">
        <f t="shared" ref="L193:L195" si="63">J193-K193</f>
        <v>0</v>
      </c>
    </row>
    <row r="194" spans="1:12" x14ac:dyDescent="0.25">
      <c r="A194" s="258"/>
      <c r="B194" s="253"/>
      <c r="C194" s="10" t="s">
        <v>50</v>
      </c>
      <c r="D194" s="3">
        <v>3740</v>
      </c>
      <c r="E194" s="3">
        <v>3740</v>
      </c>
      <c r="F194" s="3"/>
      <c r="G194" s="3"/>
      <c r="H194" s="3"/>
      <c r="I194" s="3"/>
      <c r="J194" s="3">
        <f t="shared" si="62"/>
        <v>3740</v>
      </c>
      <c r="K194" s="112">
        <v>0</v>
      </c>
      <c r="L194" s="3">
        <f t="shared" si="63"/>
        <v>3740</v>
      </c>
    </row>
    <row r="195" spans="1:12" x14ac:dyDescent="0.25">
      <c r="A195" s="258"/>
      <c r="B195" s="253"/>
      <c r="C195" s="10" t="s">
        <v>51</v>
      </c>
      <c r="D195" s="3">
        <v>1010</v>
      </c>
      <c r="E195" s="3">
        <v>1010</v>
      </c>
      <c r="F195" s="3"/>
      <c r="G195" s="3"/>
      <c r="H195" s="3"/>
      <c r="I195" s="3"/>
      <c r="J195" s="3">
        <f t="shared" si="62"/>
        <v>1010</v>
      </c>
      <c r="K195" s="112">
        <v>0</v>
      </c>
      <c r="L195" s="3">
        <f t="shared" si="63"/>
        <v>1010</v>
      </c>
    </row>
    <row r="196" spans="1:12" x14ac:dyDescent="0.25">
      <c r="A196" s="258"/>
      <c r="B196" s="253"/>
      <c r="C196" s="6" t="s">
        <v>52</v>
      </c>
      <c r="D196" s="7">
        <f>SUM(D193:D195)</f>
        <v>4750</v>
      </c>
      <c r="E196" s="7">
        <v>4750</v>
      </c>
      <c r="F196" s="7">
        <f t="shared" ref="F196:L196" si="64">SUM(F193:F195)</f>
        <v>0</v>
      </c>
      <c r="G196" s="7">
        <f t="shared" si="64"/>
        <v>0</v>
      </c>
      <c r="H196" s="7">
        <f t="shared" si="64"/>
        <v>0</v>
      </c>
      <c r="I196" s="7">
        <f t="shared" si="64"/>
        <v>0</v>
      </c>
      <c r="J196" s="7">
        <f t="shared" si="64"/>
        <v>4750</v>
      </c>
      <c r="K196" s="114">
        <f t="shared" si="64"/>
        <v>0</v>
      </c>
      <c r="L196" s="7">
        <f t="shared" si="64"/>
        <v>4750</v>
      </c>
    </row>
    <row r="197" spans="1:12" x14ac:dyDescent="0.25">
      <c r="A197" s="258"/>
      <c r="B197" s="254"/>
      <c r="C197" s="10" t="s">
        <v>57</v>
      </c>
      <c r="D197" s="3">
        <v>0</v>
      </c>
      <c r="E197" s="3">
        <v>10500000</v>
      </c>
      <c r="F197" s="3"/>
      <c r="G197" s="3"/>
      <c r="H197" s="3"/>
      <c r="I197" s="3"/>
      <c r="J197" s="3">
        <f t="shared" ref="J197" si="65">E197+F197+G197+H197+I197</f>
        <v>10500000</v>
      </c>
      <c r="K197" s="112">
        <v>10500000</v>
      </c>
      <c r="L197" s="3">
        <f t="shared" ref="L197" si="66">J197-K197</f>
        <v>0</v>
      </c>
    </row>
    <row r="198" spans="1:12" x14ac:dyDescent="0.25">
      <c r="A198" s="304" t="s">
        <v>81</v>
      </c>
      <c r="B198" s="305"/>
      <c r="C198" s="306"/>
      <c r="D198" s="84">
        <f>SUM(D182+D183+D192+D196+D197)</f>
        <v>60094558</v>
      </c>
      <c r="E198" s="84">
        <f t="shared" ref="E198:L198" si="67">SUM(E182+E183+E192+E196+E197)</f>
        <v>60094558</v>
      </c>
      <c r="F198" s="84">
        <f t="shared" si="67"/>
        <v>0</v>
      </c>
      <c r="G198" s="84">
        <f t="shared" si="67"/>
        <v>0</v>
      </c>
      <c r="H198" s="84">
        <f t="shared" si="67"/>
        <v>0</v>
      </c>
      <c r="I198" s="84">
        <f t="shared" si="67"/>
        <v>0</v>
      </c>
      <c r="J198" s="84">
        <f t="shared" si="67"/>
        <v>60094558</v>
      </c>
      <c r="K198" s="116">
        <f t="shared" si="67"/>
        <v>30034947</v>
      </c>
      <c r="L198" s="84">
        <f t="shared" si="67"/>
        <v>30059611</v>
      </c>
    </row>
    <row r="199" spans="1:12" x14ac:dyDescent="0.25">
      <c r="A199" s="256" t="s">
        <v>85</v>
      </c>
      <c r="B199" s="252" t="s">
        <v>46</v>
      </c>
      <c r="C199" s="12" t="s">
        <v>24</v>
      </c>
      <c r="D199" s="3">
        <v>9880165</v>
      </c>
      <c r="E199" s="3">
        <v>9562762</v>
      </c>
      <c r="F199" s="3"/>
      <c r="G199" s="3"/>
      <c r="H199" s="3"/>
      <c r="I199" s="3"/>
      <c r="J199" s="20">
        <f t="shared" ref="J199:J204" si="68">E199+F199+G199+H199+I199</f>
        <v>9562762</v>
      </c>
      <c r="K199" s="112">
        <v>7568980</v>
      </c>
      <c r="L199" s="3">
        <f t="shared" ref="L199:L204" si="69">J199-K199</f>
        <v>1993782</v>
      </c>
    </row>
    <row r="200" spans="1:12" x14ac:dyDescent="0.25">
      <c r="A200" s="256"/>
      <c r="B200" s="253"/>
      <c r="C200" s="12" t="s">
        <v>25</v>
      </c>
      <c r="D200" s="3">
        <v>400000</v>
      </c>
      <c r="E200" s="3">
        <v>400000</v>
      </c>
      <c r="F200" s="3"/>
      <c r="G200" s="3"/>
      <c r="H200" s="3"/>
      <c r="I200" s="3"/>
      <c r="J200" s="20">
        <f t="shared" si="68"/>
        <v>400000</v>
      </c>
      <c r="K200" s="112">
        <v>400000</v>
      </c>
      <c r="L200" s="3">
        <f t="shared" si="69"/>
        <v>0</v>
      </c>
    </row>
    <row r="201" spans="1:12" x14ac:dyDescent="0.25">
      <c r="A201" s="256"/>
      <c r="B201" s="253"/>
      <c r="C201" s="12" t="s">
        <v>26</v>
      </c>
      <c r="D201" s="3">
        <v>20000</v>
      </c>
      <c r="E201" s="3">
        <v>20000</v>
      </c>
      <c r="F201" s="3"/>
      <c r="G201" s="3"/>
      <c r="H201" s="3"/>
      <c r="I201" s="3"/>
      <c r="J201" s="20">
        <f t="shared" si="68"/>
        <v>20000</v>
      </c>
      <c r="K201" s="112">
        <v>0</v>
      </c>
      <c r="L201" s="3">
        <f t="shared" si="69"/>
        <v>20000</v>
      </c>
    </row>
    <row r="202" spans="1:12" x14ac:dyDescent="0.25">
      <c r="A202" s="256"/>
      <c r="B202" s="253"/>
      <c r="C202" s="2" t="s">
        <v>27</v>
      </c>
      <c r="D202" s="3">
        <v>75000</v>
      </c>
      <c r="E202" s="3">
        <v>90912</v>
      </c>
      <c r="F202" s="3"/>
      <c r="G202" s="3"/>
      <c r="H202" s="3"/>
      <c r="I202" s="3"/>
      <c r="J202" s="20">
        <f t="shared" si="68"/>
        <v>90912</v>
      </c>
      <c r="K202" s="112">
        <v>24480</v>
      </c>
      <c r="L202" s="3">
        <f t="shared" si="69"/>
        <v>66432</v>
      </c>
    </row>
    <row r="203" spans="1:12" x14ac:dyDescent="0.25">
      <c r="A203" s="256"/>
      <c r="B203" s="253"/>
      <c r="C203" s="2" t="s">
        <v>28</v>
      </c>
      <c r="D203" s="3">
        <v>48000</v>
      </c>
      <c r="E203" s="3">
        <v>48000</v>
      </c>
      <c r="F203" s="3"/>
      <c r="G203" s="3"/>
      <c r="H203" s="3"/>
      <c r="I203" s="3"/>
      <c r="J203" s="20">
        <f t="shared" si="68"/>
        <v>48000</v>
      </c>
      <c r="K203" s="112">
        <v>24000</v>
      </c>
      <c r="L203" s="3">
        <f t="shared" si="69"/>
        <v>24000</v>
      </c>
    </row>
    <row r="204" spans="1:12" x14ac:dyDescent="0.25">
      <c r="A204" s="256"/>
      <c r="B204" s="253"/>
      <c r="C204" s="2" t="s">
        <v>29</v>
      </c>
      <c r="D204" s="3">
        <v>264000</v>
      </c>
      <c r="E204" s="3">
        <v>670126</v>
      </c>
      <c r="F204" s="3"/>
      <c r="G204" s="3"/>
      <c r="H204" s="3"/>
      <c r="I204" s="3"/>
      <c r="J204" s="20">
        <f t="shared" si="68"/>
        <v>670126</v>
      </c>
      <c r="K204" s="112">
        <v>500166</v>
      </c>
      <c r="L204" s="3">
        <f t="shared" si="69"/>
        <v>169960</v>
      </c>
    </row>
    <row r="205" spans="1:12" x14ac:dyDescent="0.25">
      <c r="A205" s="256"/>
      <c r="B205" s="253"/>
      <c r="C205" s="26" t="s">
        <v>53</v>
      </c>
      <c r="D205" s="7">
        <f>SUM(D199:D204)</f>
        <v>10687165</v>
      </c>
      <c r="E205" s="7">
        <v>10791800</v>
      </c>
      <c r="F205" s="7">
        <f t="shared" ref="F205:L205" si="70">SUM(F199:F204)</f>
        <v>0</v>
      </c>
      <c r="G205" s="7">
        <f t="shared" si="70"/>
        <v>0</v>
      </c>
      <c r="H205" s="7">
        <f t="shared" si="70"/>
        <v>0</v>
      </c>
      <c r="I205" s="7">
        <f t="shared" si="70"/>
        <v>0</v>
      </c>
      <c r="J205" s="7">
        <f t="shared" si="70"/>
        <v>10791800</v>
      </c>
      <c r="K205" s="114">
        <f t="shared" si="70"/>
        <v>8517626</v>
      </c>
      <c r="L205" s="7">
        <f t="shared" si="70"/>
        <v>2274174</v>
      </c>
    </row>
    <row r="206" spans="1:12" x14ac:dyDescent="0.25">
      <c r="A206" s="256"/>
      <c r="B206" s="253"/>
      <c r="C206" s="90" t="s">
        <v>31</v>
      </c>
      <c r="D206" s="91">
        <v>2120857</v>
      </c>
      <c r="E206" s="91">
        <v>2120857</v>
      </c>
      <c r="F206" s="92"/>
      <c r="G206" s="92"/>
      <c r="H206" s="92"/>
      <c r="I206" s="92"/>
      <c r="J206" s="88">
        <f t="shared" ref="J206:J214" si="71">E206+F206+G206+H206+I206</f>
        <v>2120857</v>
      </c>
      <c r="K206" s="115">
        <v>1701199</v>
      </c>
      <c r="L206" s="89">
        <f t="shared" ref="L206:L214" si="72">J206-K206</f>
        <v>419658</v>
      </c>
    </row>
    <row r="207" spans="1:12" x14ac:dyDescent="0.25">
      <c r="A207" s="256"/>
      <c r="B207" s="253"/>
      <c r="C207" s="176" t="s">
        <v>32</v>
      </c>
      <c r="D207" s="173">
        <v>0</v>
      </c>
      <c r="E207" s="173">
        <v>0</v>
      </c>
      <c r="F207" s="173">
        <v>13514</v>
      </c>
      <c r="G207" s="173"/>
      <c r="H207" s="173"/>
      <c r="I207" s="173"/>
      <c r="J207" s="174">
        <f t="shared" si="71"/>
        <v>13514</v>
      </c>
      <c r="K207" s="118">
        <v>13514</v>
      </c>
      <c r="L207" s="175">
        <f t="shared" si="72"/>
        <v>0</v>
      </c>
    </row>
    <row r="208" spans="1:12" x14ac:dyDescent="0.25">
      <c r="A208" s="256"/>
      <c r="B208" s="253"/>
      <c r="C208" s="103" t="s">
        <v>33</v>
      </c>
      <c r="D208" s="104">
        <v>0</v>
      </c>
      <c r="E208" s="104">
        <v>186928</v>
      </c>
      <c r="F208" s="104"/>
      <c r="G208" s="104"/>
      <c r="H208" s="104"/>
      <c r="I208" s="104"/>
      <c r="J208" s="20">
        <f t="shared" si="71"/>
        <v>186928</v>
      </c>
      <c r="K208" s="118">
        <v>30769</v>
      </c>
      <c r="L208" s="3">
        <f t="shared" si="72"/>
        <v>156159</v>
      </c>
    </row>
    <row r="209" spans="1:12" x14ac:dyDescent="0.25">
      <c r="A209" s="256"/>
      <c r="B209" s="253"/>
      <c r="C209" s="46" t="s">
        <v>35</v>
      </c>
      <c r="D209" s="47">
        <v>0</v>
      </c>
      <c r="E209" s="47">
        <v>172800</v>
      </c>
      <c r="F209" s="47"/>
      <c r="G209" s="47"/>
      <c r="H209" s="47"/>
      <c r="I209" s="47"/>
      <c r="J209" s="20">
        <f t="shared" si="71"/>
        <v>172800</v>
      </c>
      <c r="K209" s="118">
        <v>36233</v>
      </c>
      <c r="L209" s="3">
        <f t="shared" si="72"/>
        <v>136567</v>
      </c>
    </row>
    <row r="210" spans="1:12" x14ac:dyDescent="0.25">
      <c r="A210" s="256"/>
      <c r="B210" s="253"/>
      <c r="C210" s="102" t="s">
        <v>38</v>
      </c>
      <c r="D210" s="47">
        <v>0</v>
      </c>
      <c r="E210" s="47">
        <v>8500</v>
      </c>
      <c r="F210" s="47"/>
      <c r="G210" s="47"/>
      <c r="H210" s="47"/>
      <c r="I210" s="47"/>
      <c r="J210" s="20">
        <f t="shared" si="71"/>
        <v>8500</v>
      </c>
      <c r="K210" s="118">
        <v>3500</v>
      </c>
      <c r="L210" s="3">
        <f t="shared" si="72"/>
        <v>5000</v>
      </c>
    </row>
    <row r="211" spans="1:12" x14ac:dyDescent="0.25">
      <c r="A211" s="256"/>
      <c r="B211" s="253"/>
      <c r="C211" s="135" t="s">
        <v>41</v>
      </c>
      <c r="D211" s="47">
        <v>0</v>
      </c>
      <c r="E211" s="47">
        <v>21685</v>
      </c>
      <c r="F211" s="47"/>
      <c r="G211" s="47"/>
      <c r="H211" s="47"/>
      <c r="I211" s="47"/>
      <c r="J211" s="20">
        <f t="shared" si="71"/>
        <v>21685</v>
      </c>
      <c r="K211" s="118">
        <v>1685</v>
      </c>
      <c r="L211" s="3">
        <f t="shared" si="72"/>
        <v>20000</v>
      </c>
    </row>
    <row r="212" spans="1:12" x14ac:dyDescent="0.25">
      <c r="A212" s="256"/>
      <c r="B212" s="253"/>
      <c r="C212" s="46" t="s">
        <v>42</v>
      </c>
      <c r="D212" s="47">
        <v>0</v>
      </c>
      <c r="E212" s="47">
        <v>128910</v>
      </c>
      <c r="F212" s="47"/>
      <c r="G212" s="47"/>
      <c r="H212" s="47"/>
      <c r="I212" s="47"/>
      <c r="J212" s="20">
        <f t="shared" si="71"/>
        <v>128910</v>
      </c>
      <c r="K212" s="118">
        <v>87915</v>
      </c>
      <c r="L212" s="3">
        <f t="shared" si="72"/>
        <v>40995</v>
      </c>
    </row>
    <row r="213" spans="1:12" x14ac:dyDescent="0.25">
      <c r="A213" s="256"/>
      <c r="B213" s="253"/>
      <c r="C213" s="46" t="s">
        <v>44</v>
      </c>
      <c r="D213" s="47">
        <v>0</v>
      </c>
      <c r="E213" s="47">
        <v>111556</v>
      </c>
      <c r="F213" s="47">
        <v>985</v>
      </c>
      <c r="G213" s="47"/>
      <c r="H213" s="47"/>
      <c r="I213" s="47"/>
      <c r="J213" s="20">
        <f t="shared" si="71"/>
        <v>112541</v>
      </c>
      <c r="K213" s="118">
        <v>42038</v>
      </c>
      <c r="L213" s="3">
        <f t="shared" si="72"/>
        <v>70503</v>
      </c>
    </row>
    <row r="214" spans="1:12" x14ac:dyDescent="0.25">
      <c r="A214" s="256"/>
      <c r="B214" s="253"/>
      <c r="C214" s="46" t="s">
        <v>45</v>
      </c>
      <c r="D214" s="47">
        <v>0</v>
      </c>
      <c r="E214" s="47">
        <v>303254</v>
      </c>
      <c r="F214" s="47">
        <v>26400</v>
      </c>
      <c r="G214" s="47"/>
      <c r="H214" s="47"/>
      <c r="I214" s="47"/>
      <c r="J214" s="20">
        <f t="shared" si="71"/>
        <v>329654</v>
      </c>
      <c r="K214" s="118">
        <v>237279</v>
      </c>
      <c r="L214" s="60">
        <f t="shared" si="72"/>
        <v>92375</v>
      </c>
    </row>
    <row r="215" spans="1:12" x14ac:dyDescent="0.25">
      <c r="A215" s="257"/>
      <c r="B215" s="254"/>
      <c r="C215" s="49" t="s">
        <v>49</v>
      </c>
      <c r="D215" s="50">
        <f t="shared" ref="D215:I215" si="73">SUM(D207:D214)</f>
        <v>0</v>
      </c>
      <c r="E215" s="50">
        <f t="shared" si="73"/>
        <v>933633</v>
      </c>
      <c r="F215" s="50">
        <f t="shared" si="73"/>
        <v>40899</v>
      </c>
      <c r="G215" s="50">
        <f t="shared" si="73"/>
        <v>0</v>
      </c>
      <c r="H215" s="50">
        <f t="shared" si="73"/>
        <v>0</v>
      </c>
      <c r="I215" s="50">
        <f t="shared" si="73"/>
        <v>0</v>
      </c>
      <c r="J215" s="50">
        <f>SUM(J207:J214)</f>
        <v>974532</v>
      </c>
      <c r="K215" s="50">
        <f t="shared" ref="K215:L215" si="74">SUM(K207:K214)</f>
        <v>452933</v>
      </c>
      <c r="L215" s="50">
        <f t="shared" si="74"/>
        <v>521599</v>
      </c>
    </row>
    <row r="216" spans="1:12" x14ac:dyDescent="0.25">
      <c r="A216" s="258" t="s">
        <v>68</v>
      </c>
      <c r="B216" s="267" t="s">
        <v>46</v>
      </c>
      <c r="C216" s="16" t="s">
        <v>24</v>
      </c>
      <c r="D216" s="17">
        <v>2501556</v>
      </c>
      <c r="E216" s="17">
        <v>2501556</v>
      </c>
      <c r="F216" s="17"/>
      <c r="G216" s="17"/>
      <c r="H216" s="17"/>
      <c r="I216" s="17"/>
      <c r="J216" s="20">
        <f>E216+F216+G216+H216+I216</f>
        <v>2501556</v>
      </c>
      <c r="K216" s="112">
        <v>2122975</v>
      </c>
      <c r="L216" s="3">
        <f t="shared" ref="L216:L217" si="75">J216-K216</f>
        <v>378581</v>
      </c>
    </row>
    <row r="217" spans="1:12" x14ac:dyDescent="0.25">
      <c r="A217" s="255"/>
      <c r="B217" s="261"/>
      <c r="C217" s="18" t="s">
        <v>31</v>
      </c>
      <c r="D217" s="19">
        <v>466569</v>
      </c>
      <c r="E217" s="19">
        <v>466569</v>
      </c>
      <c r="F217" s="19"/>
      <c r="G217" s="19"/>
      <c r="H217" s="19"/>
      <c r="I217" s="19"/>
      <c r="J217" s="20">
        <f t="shared" ref="J217" si="76">E217+F217+G217+H217+I217</f>
        <v>466569</v>
      </c>
      <c r="K217" s="112">
        <v>400609</v>
      </c>
      <c r="L217" s="3">
        <f t="shared" si="75"/>
        <v>65960</v>
      </c>
    </row>
    <row r="218" spans="1:12" x14ac:dyDescent="0.25">
      <c r="A218" s="304" t="s">
        <v>82</v>
      </c>
      <c r="B218" s="305"/>
      <c r="C218" s="306"/>
      <c r="D218" s="82">
        <f>SUM(D205+D206+D216+D217+D215)</f>
        <v>15776147</v>
      </c>
      <c r="E218" s="82">
        <f t="shared" ref="E218:I218" si="77">SUM(E205+E206+E216+E217+E215)</f>
        <v>16814415</v>
      </c>
      <c r="F218" s="82">
        <f t="shared" si="77"/>
        <v>40899</v>
      </c>
      <c r="G218" s="82">
        <f t="shared" si="77"/>
        <v>0</v>
      </c>
      <c r="H218" s="82">
        <f t="shared" si="77"/>
        <v>0</v>
      </c>
      <c r="I218" s="82">
        <f t="shared" si="77"/>
        <v>0</v>
      </c>
      <c r="J218" s="82">
        <f>SUM(J205+J206+J216+J217+J215)</f>
        <v>16855314</v>
      </c>
      <c r="K218" s="120">
        <f>SUM(K205+K206+K216+K217+K215)</f>
        <v>13195342</v>
      </c>
      <c r="L218" s="83">
        <f>SUM(L205+L206+L216+L217+L215)</f>
        <v>3659972</v>
      </c>
    </row>
    <row r="219" spans="1:12" ht="30.75" customHeight="1" x14ac:dyDescent="0.25">
      <c r="A219" s="380" t="s">
        <v>74</v>
      </c>
      <c r="B219" s="381"/>
      <c r="C219" s="382"/>
      <c r="D219" s="167">
        <f t="shared" ref="D219:K219" si="78">SUM(D88+D113+D135+D156+D179+D198+D218)</f>
        <v>230443641</v>
      </c>
      <c r="E219" s="167">
        <f t="shared" si="78"/>
        <v>231774916</v>
      </c>
      <c r="F219" s="167">
        <f t="shared" si="78"/>
        <v>0</v>
      </c>
      <c r="G219" s="167">
        <f t="shared" si="78"/>
        <v>0</v>
      </c>
      <c r="H219" s="167">
        <f t="shared" si="78"/>
        <v>0</v>
      </c>
      <c r="I219" s="167">
        <f t="shared" si="78"/>
        <v>86923</v>
      </c>
      <c r="J219" s="167">
        <f t="shared" si="78"/>
        <v>231861839</v>
      </c>
      <c r="K219" s="168">
        <f t="shared" si="78"/>
        <v>157018927</v>
      </c>
      <c r="L219" s="167">
        <f>SUM(L88+L113+L135+L156+L179+L198+L218)</f>
        <v>74842912</v>
      </c>
    </row>
    <row r="220" spans="1:12" x14ac:dyDescent="0.25">
      <c r="B220" s="5"/>
      <c r="E220" s="4"/>
      <c r="F220" s="4"/>
      <c r="G220" s="4"/>
      <c r="H220" s="4"/>
      <c r="I220" s="4"/>
      <c r="J220" s="4"/>
      <c r="K220" s="111"/>
    </row>
    <row r="221" spans="1:12" x14ac:dyDescent="0.25">
      <c r="B221" s="5"/>
      <c r="E221" s="4"/>
      <c r="F221" s="4"/>
      <c r="G221" s="4"/>
      <c r="H221" s="4"/>
      <c r="I221" s="4"/>
      <c r="J221" s="4"/>
      <c r="K221" s="111"/>
    </row>
    <row r="222" spans="1:12" x14ac:dyDescent="0.25">
      <c r="B222" s="5"/>
      <c r="E222" s="4"/>
      <c r="F222" s="4"/>
      <c r="G222" s="4"/>
      <c r="H222" s="4"/>
      <c r="I222" s="4"/>
      <c r="J222" s="4"/>
      <c r="K222" s="111"/>
    </row>
    <row r="223" spans="1:12" x14ac:dyDescent="0.25">
      <c r="B223" s="5"/>
      <c r="E223" s="4"/>
      <c r="F223" s="4"/>
      <c r="G223" s="4"/>
      <c r="H223" s="4"/>
      <c r="I223" s="4"/>
      <c r="J223" s="4"/>
      <c r="K223" s="111"/>
    </row>
    <row r="224" spans="1:12" x14ac:dyDescent="0.25">
      <c r="B224" s="5"/>
      <c r="E224" s="4"/>
      <c r="F224" s="4"/>
      <c r="G224" s="4"/>
      <c r="H224" s="4"/>
      <c r="I224" s="4"/>
      <c r="J224" s="4"/>
      <c r="K224" s="111"/>
    </row>
    <row r="225" spans="1:11" ht="15.75" thickBot="1" x14ac:dyDescent="0.3">
      <c r="B225" s="5"/>
      <c r="E225" s="4"/>
      <c r="F225" s="4"/>
      <c r="G225" s="134">
        <v>43769</v>
      </c>
      <c r="H225" s="4"/>
      <c r="I225" s="4"/>
      <c r="J225" s="4"/>
      <c r="K225" s="111"/>
    </row>
    <row r="226" spans="1:11" ht="15.75" thickTop="1" x14ac:dyDescent="0.25">
      <c r="A226" s="250" t="s">
        <v>83</v>
      </c>
      <c r="B226" s="250"/>
      <c r="C226" s="250"/>
      <c r="D226" s="250"/>
      <c r="E226" s="250"/>
      <c r="F226" s="250"/>
      <c r="G226" s="250"/>
      <c r="H226" s="250"/>
      <c r="I226" s="250"/>
      <c r="J226" s="250"/>
      <c r="K226" s="250"/>
    </row>
    <row r="227" spans="1:11" s="172" customFormat="1" ht="33.75" customHeight="1" x14ac:dyDescent="0.25">
      <c r="A227" s="298" t="s">
        <v>0</v>
      </c>
      <c r="B227" s="299"/>
      <c r="C227" s="75" t="s">
        <v>3</v>
      </c>
      <c r="D227" s="75" t="s">
        <v>4</v>
      </c>
      <c r="E227" s="77" t="s">
        <v>119</v>
      </c>
      <c r="F227" s="171" t="s">
        <v>70</v>
      </c>
      <c r="G227" s="109" t="s">
        <v>163</v>
      </c>
      <c r="H227" s="110" t="s">
        <v>71</v>
      </c>
      <c r="I227" s="77" t="s">
        <v>71</v>
      </c>
      <c r="J227" s="77" t="s">
        <v>159</v>
      </c>
      <c r="K227" s="78" t="s">
        <v>161</v>
      </c>
    </row>
    <row r="228" spans="1:11" x14ac:dyDescent="0.25">
      <c r="A228" s="300"/>
      <c r="B228" s="301"/>
      <c r="C228" s="33" t="s">
        <v>16</v>
      </c>
      <c r="D228" s="61">
        <f t="shared" ref="D228:K229" si="79">D5+D14+D16+D18+D20+D22</f>
        <v>117230959</v>
      </c>
      <c r="E228" s="61">
        <f t="shared" si="79"/>
        <v>115186234</v>
      </c>
      <c r="F228" s="61">
        <f t="shared" si="79"/>
        <v>0</v>
      </c>
      <c r="G228" s="61">
        <f t="shared" si="79"/>
        <v>0</v>
      </c>
      <c r="H228" s="61">
        <f t="shared" si="79"/>
        <v>0</v>
      </c>
      <c r="I228" s="61">
        <f t="shared" si="79"/>
        <v>86923</v>
      </c>
      <c r="J228" s="61">
        <f t="shared" si="79"/>
        <v>115273157</v>
      </c>
      <c r="K228" s="61">
        <f t="shared" si="79"/>
        <v>67646642</v>
      </c>
    </row>
    <row r="229" spans="1:11" x14ac:dyDescent="0.25">
      <c r="A229" s="300"/>
      <c r="B229" s="301"/>
      <c r="C229" s="33" t="s">
        <v>17</v>
      </c>
      <c r="D229" s="61">
        <f t="shared" si="79"/>
        <v>16012810</v>
      </c>
      <c r="E229" s="61">
        <f t="shared" si="79"/>
        <v>16012810</v>
      </c>
      <c r="F229" s="61">
        <f t="shared" si="79"/>
        <v>0</v>
      </c>
      <c r="G229" s="61">
        <f t="shared" si="79"/>
        <v>0</v>
      </c>
      <c r="H229" s="61">
        <f t="shared" si="79"/>
        <v>0</v>
      </c>
      <c r="I229" s="61">
        <f t="shared" si="79"/>
        <v>0</v>
      </c>
      <c r="J229" s="61">
        <f t="shared" si="79"/>
        <v>16012810</v>
      </c>
      <c r="K229" s="61">
        <f t="shared" si="79"/>
        <v>16012810</v>
      </c>
    </row>
    <row r="230" spans="1:11" x14ac:dyDescent="0.25">
      <c r="A230" s="300"/>
      <c r="B230" s="301"/>
      <c r="C230" s="33" t="s">
        <v>18</v>
      </c>
      <c r="D230" s="61">
        <f t="shared" ref="D230:K232" si="80">D7</f>
        <v>96985672</v>
      </c>
      <c r="E230" s="61">
        <f t="shared" si="80"/>
        <v>100329672</v>
      </c>
      <c r="F230" s="61">
        <f t="shared" si="80"/>
        <v>0</v>
      </c>
      <c r="G230" s="61">
        <f t="shared" si="80"/>
        <v>0</v>
      </c>
      <c r="H230" s="61">
        <f t="shared" si="80"/>
        <v>0</v>
      </c>
      <c r="I230" s="61">
        <f t="shared" si="80"/>
        <v>0</v>
      </c>
      <c r="J230" s="61">
        <f t="shared" si="80"/>
        <v>100329672</v>
      </c>
      <c r="K230" s="61">
        <f t="shared" si="80"/>
        <v>77496655</v>
      </c>
    </row>
    <row r="231" spans="1:11" x14ac:dyDescent="0.25">
      <c r="A231" s="300"/>
      <c r="B231" s="301"/>
      <c r="C231" s="35" t="s">
        <v>22</v>
      </c>
      <c r="D231" s="61">
        <f t="shared" si="80"/>
        <v>200000</v>
      </c>
      <c r="E231" s="61">
        <f t="shared" si="80"/>
        <v>200000</v>
      </c>
      <c r="F231" s="61">
        <f t="shared" si="80"/>
        <v>0</v>
      </c>
      <c r="G231" s="61">
        <f t="shared" si="80"/>
        <v>0</v>
      </c>
      <c r="H231" s="61">
        <f t="shared" si="80"/>
        <v>0</v>
      </c>
      <c r="I231" s="61">
        <f t="shared" si="80"/>
        <v>0</v>
      </c>
      <c r="J231" s="61">
        <f t="shared" si="80"/>
        <v>200000</v>
      </c>
      <c r="K231" s="61">
        <f t="shared" si="80"/>
        <v>0</v>
      </c>
    </row>
    <row r="232" spans="1:11" x14ac:dyDescent="0.25">
      <c r="A232" s="300"/>
      <c r="B232" s="301"/>
      <c r="C232" s="35" t="s">
        <v>19</v>
      </c>
      <c r="D232" s="61">
        <f t="shared" si="80"/>
        <v>13200</v>
      </c>
      <c r="E232" s="61">
        <f t="shared" si="80"/>
        <v>31926</v>
      </c>
      <c r="F232" s="61">
        <f t="shared" si="80"/>
        <v>0</v>
      </c>
      <c r="G232" s="61">
        <f t="shared" si="80"/>
        <v>0</v>
      </c>
      <c r="H232" s="61">
        <f t="shared" si="80"/>
        <v>0</v>
      </c>
      <c r="I232" s="61">
        <f t="shared" si="80"/>
        <v>0</v>
      </c>
      <c r="J232" s="61">
        <f t="shared" si="80"/>
        <v>31926</v>
      </c>
      <c r="K232" s="61">
        <f t="shared" si="80"/>
        <v>24072</v>
      </c>
    </row>
    <row r="233" spans="1:11" x14ac:dyDescent="0.25">
      <c r="A233" s="300"/>
      <c r="B233" s="301"/>
      <c r="C233" s="35" t="s">
        <v>84</v>
      </c>
      <c r="D233" s="61">
        <f t="shared" ref="D233:K233" si="81">D13+D11</f>
        <v>0</v>
      </c>
      <c r="E233" s="61">
        <f t="shared" si="81"/>
        <v>12949</v>
      </c>
      <c r="F233" s="61">
        <f t="shared" si="81"/>
        <v>0</v>
      </c>
      <c r="G233" s="61">
        <f t="shared" si="81"/>
        <v>0</v>
      </c>
      <c r="H233" s="61">
        <f t="shared" si="81"/>
        <v>0</v>
      </c>
      <c r="I233" s="61">
        <f t="shared" si="81"/>
        <v>0</v>
      </c>
      <c r="J233" s="61">
        <f t="shared" si="81"/>
        <v>12949</v>
      </c>
      <c r="K233" s="61">
        <f t="shared" si="81"/>
        <v>4487</v>
      </c>
    </row>
    <row r="234" spans="1:11" x14ac:dyDescent="0.25">
      <c r="A234" s="300"/>
      <c r="B234" s="301"/>
      <c r="C234" s="33" t="s">
        <v>20</v>
      </c>
      <c r="D234" s="61">
        <f t="shared" ref="D234:K234" si="82">D10+D12</f>
        <v>1000</v>
      </c>
      <c r="E234" s="61">
        <f t="shared" si="82"/>
        <v>1325</v>
      </c>
      <c r="F234" s="61">
        <f t="shared" si="82"/>
        <v>0</v>
      </c>
      <c r="G234" s="61">
        <f t="shared" si="82"/>
        <v>0</v>
      </c>
      <c r="H234" s="61">
        <f t="shared" si="82"/>
        <v>0</v>
      </c>
      <c r="I234" s="61">
        <f t="shared" si="82"/>
        <v>0</v>
      </c>
      <c r="J234" s="61">
        <f t="shared" si="82"/>
        <v>1325</v>
      </c>
      <c r="K234" s="61">
        <f t="shared" si="82"/>
        <v>325</v>
      </c>
    </row>
    <row r="235" spans="1:11" x14ac:dyDescent="0.25">
      <c r="A235" s="300"/>
      <c r="B235" s="301"/>
      <c r="C235" s="65" t="s">
        <v>86</v>
      </c>
      <c r="D235" s="66">
        <f t="shared" ref="D235:K235" si="83">D13+D12+D11+D10+D9</f>
        <v>14200</v>
      </c>
      <c r="E235" s="66">
        <f t="shared" si="83"/>
        <v>46200</v>
      </c>
      <c r="F235" s="66">
        <f t="shared" si="83"/>
        <v>0</v>
      </c>
      <c r="G235" s="66">
        <f t="shared" si="83"/>
        <v>0</v>
      </c>
      <c r="H235" s="66">
        <f t="shared" si="83"/>
        <v>0</v>
      </c>
      <c r="I235" s="66">
        <f t="shared" si="83"/>
        <v>0</v>
      </c>
      <c r="J235" s="66">
        <f t="shared" si="83"/>
        <v>46200</v>
      </c>
      <c r="K235" s="66">
        <f t="shared" si="83"/>
        <v>28884</v>
      </c>
    </row>
    <row r="236" spans="1:11" x14ac:dyDescent="0.25">
      <c r="A236" s="300"/>
      <c r="B236" s="301"/>
      <c r="C236" s="65" t="s">
        <v>87</v>
      </c>
      <c r="D236" s="66">
        <f t="shared" ref="D236:K236" si="84">D23+D21+D19+D17+D15+D7+D6</f>
        <v>112998482</v>
      </c>
      <c r="E236" s="66">
        <f t="shared" si="84"/>
        <v>116342482</v>
      </c>
      <c r="F236" s="66">
        <f t="shared" si="84"/>
        <v>0</v>
      </c>
      <c r="G236" s="66">
        <f t="shared" si="84"/>
        <v>0</v>
      </c>
      <c r="H236" s="66">
        <f t="shared" si="84"/>
        <v>0</v>
      </c>
      <c r="I236" s="66">
        <f t="shared" si="84"/>
        <v>0</v>
      </c>
      <c r="J236" s="66">
        <f t="shared" si="84"/>
        <v>116342482</v>
      </c>
      <c r="K236" s="66">
        <f t="shared" si="84"/>
        <v>93509465</v>
      </c>
    </row>
    <row r="237" spans="1:11" x14ac:dyDescent="0.25">
      <c r="A237" s="300"/>
      <c r="B237" s="301"/>
      <c r="C237" s="65" t="s">
        <v>94</v>
      </c>
      <c r="D237" s="66">
        <f t="shared" ref="D237:K237" si="85">D24</f>
        <v>230443641</v>
      </c>
      <c r="E237" s="66">
        <f t="shared" si="85"/>
        <v>231774916</v>
      </c>
      <c r="F237" s="66">
        <f t="shared" si="85"/>
        <v>0</v>
      </c>
      <c r="G237" s="66">
        <f t="shared" si="85"/>
        <v>0</v>
      </c>
      <c r="H237" s="66">
        <f t="shared" si="85"/>
        <v>0</v>
      </c>
      <c r="I237" s="66">
        <f t="shared" si="85"/>
        <v>86923</v>
      </c>
      <c r="J237" s="66">
        <f t="shared" si="85"/>
        <v>231861839</v>
      </c>
      <c r="K237" s="66">
        <f t="shared" si="85"/>
        <v>161184991</v>
      </c>
    </row>
    <row r="238" spans="1:11" x14ac:dyDescent="0.25">
      <c r="A238" s="300"/>
      <c r="B238" s="301"/>
      <c r="C238" s="33" t="s">
        <v>24</v>
      </c>
      <c r="D238" s="34">
        <f t="shared" ref="D238:I238" si="86">D89+D111+D114+D133+D136+D154+D157+D177+D199+D216+D180+D86+D84+D52+D25</f>
        <v>128356144</v>
      </c>
      <c r="E238" s="34">
        <f t="shared" si="86"/>
        <v>128254396</v>
      </c>
      <c r="F238" s="34">
        <f t="shared" si="86"/>
        <v>0</v>
      </c>
      <c r="G238" s="34">
        <f t="shared" si="86"/>
        <v>0</v>
      </c>
      <c r="H238" s="34">
        <f t="shared" si="86"/>
        <v>0</v>
      </c>
      <c r="I238" s="34">
        <f t="shared" si="86"/>
        <v>73977</v>
      </c>
      <c r="J238" s="61">
        <f>J216+J199+J180+J177+J157+J154+J136+J133+J114+J111+J89+J86+J84+J52+J25</f>
        <v>128328373</v>
      </c>
      <c r="K238" s="61">
        <f>K216+K199+K180+K177+K157+K154+K136+K133+K114+K111+K89+K86+K84+K52+K25</f>
        <v>98766215</v>
      </c>
    </row>
    <row r="239" spans="1:11" x14ac:dyDescent="0.25">
      <c r="A239" s="300"/>
      <c r="B239" s="301"/>
      <c r="C239" s="33" t="s">
        <v>47</v>
      </c>
      <c r="D239" s="34">
        <f t="shared" ref="D239:K240" si="87">D53</f>
        <v>2040480</v>
      </c>
      <c r="E239" s="34">
        <f t="shared" si="87"/>
        <v>2040480</v>
      </c>
      <c r="F239" s="34">
        <f t="shared" si="87"/>
        <v>0</v>
      </c>
      <c r="G239" s="34">
        <f t="shared" si="87"/>
        <v>0</v>
      </c>
      <c r="H239" s="34">
        <f t="shared" si="87"/>
        <v>0</v>
      </c>
      <c r="I239" s="34">
        <f t="shared" si="87"/>
        <v>0</v>
      </c>
      <c r="J239" s="34">
        <f t="shared" si="87"/>
        <v>2040480</v>
      </c>
      <c r="K239" s="41">
        <f t="shared" si="87"/>
        <v>1595194</v>
      </c>
    </row>
    <row r="240" spans="1:11" x14ac:dyDescent="0.25">
      <c r="A240" s="300"/>
      <c r="B240" s="301"/>
      <c r="C240" s="33" t="s">
        <v>48</v>
      </c>
      <c r="D240" s="34">
        <f t="shared" si="87"/>
        <v>0</v>
      </c>
      <c r="E240" s="34">
        <f t="shared" si="87"/>
        <v>0</v>
      </c>
      <c r="F240" s="34">
        <f t="shared" si="87"/>
        <v>0</v>
      </c>
      <c r="G240" s="34">
        <f t="shared" si="87"/>
        <v>0</v>
      </c>
      <c r="H240" s="34">
        <f t="shared" si="87"/>
        <v>0</v>
      </c>
      <c r="I240" s="34">
        <f t="shared" si="87"/>
        <v>0</v>
      </c>
      <c r="J240" s="34">
        <f t="shared" si="87"/>
        <v>0</v>
      </c>
      <c r="K240" s="34">
        <f t="shared" si="87"/>
        <v>0</v>
      </c>
    </row>
    <row r="241" spans="1:12" x14ac:dyDescent="0.25">
      <c r="A241" s="300"/>
      <c r="B241" s="301"/>
      <c r="C241" s="35" t="s">
        <v>25</v>
      </c>
      <c r="D241" s="34">
        <f t="shared" ref="D241:K242" si="88">D200+D158+D137+D115+D90+D55+D26</f>
        <v>3992000</v>
      </c>
      <c r="E241" s="34">
        <f t="shared" si="88"/>
        <v>3992000</v>
      </c>
      <c r="F241" s="34">
        <f t="shared" si="88"/>
        <v>0</v>
      </c>
      <c r="G241" s="34">
        <f t="shared" si="88"/>
        <v>0</v>
      </c>
      <c r="H241" s="34">
        <f t="shared" si="88"/>
        <v>0</v>
      </c>
      <c r="I241" s="34">
        <f t="shared" si="88"/>
        <v>0</v>
      </c>
      <c r="J241" s="34">
        <f t="shared" si="88"/>
        <v>3992000</v>
      </c>
      <c r="K241" s="34">
        <f t="shared" si="88"/>
        <v>3752500</v>
      </c>
    </row>
    <row r="242" spans="1:12" x14ac:dyDescent="0.25">
      <c r="A242" s="300"/>
      <c r="B242" s="301"/>
      <c r="C242" s="35" t="s">
        <v>26</v>
      </c>
      <c r="D242" s="34">
        <f t="shared" si="88"/>
        <v>200000</v>
      </c>
      <c r="E242" s="34">
        <f t="shared" si="88"/>
        <v>200000</v>
      </c>
      <c r="F242" s="34">
        <f t="shared" si="88"/>
        <v>0</v>
      </c>
      <c r="G242" s="34">
        <f t="shared" si="88"/>
        <v>0</v>
      </c>
      <c r="H242" s="34">
        <f t="shared" si="88"/>
        <v>0</v>
      </c>
      <c r="I242" s="34">
        <f t="shared" si="88"/>
        <v>0</v>
      </c>
      <c r="J242" s="34">
        <f t="shared" si="88"/>
        <v>200000</v>
      </c>
      <c r="K242" s="34">
        <f t="shared" si="88"/>
        <v>0</v>
      </c>
    </row>
    <row r="243" spans="1:12" x14ac:dyDescent="0.25">
      <c r="A243" s="300"/>
      <c r="B243" s="301"/>
      <c r="C243" s="33" t="s">
        <v>27</v>
      </c>
      <c r="D243" s="34">
        <f t="shared" ref="D243:K243" si="89">D202+D139+D92+D57+D28</f>
        <v>1661400</v>
      </c>
      <c r="E243" s="34">
        <f t="shared" si="89"/>
        <v>1661400</v>
      </c>
      <c r="F243" s="34">
        <f t="shared" si="89"/>
        <v>0</v>
      </c>
      <c r="G243" s="34">
        <f t="shared" si="89"/>
        <v>0</v>
      </c>
      <c r="H243" s="34">
        <f t="shared" si="89"/>
        <v>0</v>
      </c>
      <c r="I243" s="34">
        <f t="shared" si="89"/>
        <v>0</v>
      </c>
      <c r="J243" s="34">
        <f t="shared" si="89"/>
        <v>1661400</v>
      </c>
      <c r="K243" s="34">
        <f t="shared" si="89"/>
        <v>1012620</v>
      </c>
    </row>
    <row r="244" spans="1:12" x14ac:dyDescent="0.25">
      <c r="A244" s="300"/>
      <c r="B244" s="301"/>
      <c r="C244" s="35" t="s">
        <v>28</v>
      </c>
      <c r="D244" s="34">
        <f t="shared" ref="D244:K244" si="90">D203+D160+D140+D117+D58+D29+D93</f>
        <v>481000</v>
      </c>
      <c r="E244" s="34">
        <f t="shared" si="90"/>
        <v>481000</v>
      </c>
      <c r="F244" s="34">
        <f t="shared" si="90"/>
        <v>0</v>
      </c>
      <c r="G244" s="34">
        <f t="shared" si="90"/>
        <v>0</v>
      </c>
      <c r="H244" s="34">
        <f t="shared" si="90"/>
        <v>0</v>
      </c>
      <c r="I244" s="34">
        <f t="shared" si="90"/>
        <v>0</v>
      </c>
      <c r="J244" s="34">
        <f t="shared" si="90"/>
        <v>481000</v>
      </c>
      <c r="K244" s="34">
        <f t="shared" si="90"/>
        <v>222000</v>
      </c>
    </row>
    <row r="245" spans="1:12" x14ac:dyDescent="0.25">
      <c r="A245" s="300"/>
      <c r="B245" s="301"/>
      <c r="C245" s="33" t="s">
        <v>29</v>
      </c>
      <c r="D245" s="34">
        <f t="shared" ref="D245:K245" si="91">D204+D175+D161+D141+D118+D109+D94+D82+D80+D59+D30+D131</f>
        <v>3451400</v>
      </c>
      <c r="E245" s="34">
        <f t="shared" si="91"/>
        <v>4640408</v>
      </c>
      <c r="F245" s="34">
        <f t="shared" si="91"/>
        <v>0</v>
      </c>
      <c r="G245" s="34">
        <f t="shared" si="91"/>
        <v>0</v>
      </c>
      <c r="H245" s="34">
        <f t="shared" si="91"/>
        <v>0</v>
      </c>
      <c r="I245" s="34">
        <f t="shared" si="91"/>
        <v>0</v>
      </c>
      <c r="J245" s="34">
        <f t="shared" si="91"/>
        <v>4640408</v>
      </c>
      <c r="K245" s="34">
        <f t="shared" si="91"/>
        <v>2814436</v>
      </c>
    </row>
    <row r="246" spans="1:12" x14ac:dyDescent="0.25">
      <c r="A246" s="300"/>
      <c r="B246" s="301"/>
      <c r="C246" s="35" t="s">
        <v>30</v>
      </c>
      <c r="D246" s="34">
        <f t="shared" ref="D246:K246" si="92">D162+D142+D119+D60+D31+D181</f>
        <v>200000</v>
      </c>
      <c r="E246" s="34">
        <f t="shared" si="92"/>
        <v>200000</v>
      </c>
      <c r="F246" s="34">
        <f t="shared" si="92"/>
        <v>0</v>
      </c>
      <c r="G246" s="34">
        <f t="shared" si="92"/>
        <v>0</v>
      </c>
      <c r="H246" s="34">
        <f t="shared" si="92"/>
        <v>0</v>
      </c>
      <c r="I246" s="34">
        <f t="shared" si="92"/>
        <v>0</v>
      </c>
      <c r="J246" s="34">
        <f t="shared" si="92"/>
        <v>200000</v>
      </c>
      <c r="K246" s="34">
        <f t="shared" si="92"/>
        <v>39304</v>
      </c>
    </row>
    <row r="247" spans="1:12" x14ac:dyDescent="0.25">
      <c r="A247" s="300"/>
      <c r="B247" s="301"/>
      <c r="C247" s="65" t="s">
        <v>53</v>
      </c>
      <c r="D247" s="66">
        <f t="shared" ref="D247:K247" si="93">D205+D182+D163+D143+D216+D177+D154+D133+D131+D175+D120+D111+D109+D96+D86+D84+D82+D80+D61+D32</f>
        <v>140382424</v>
      </c>
      <c r="E247" s="66">
        <f t="shared" si="93"/>
        <v>141469684</v>
      </c>
      <c r="F247" s="66">
        <f t="shared" si="93"/>
        <v>0</v>
      </c>
      <c r="G247" s="66">
        <f t="shared" si="93"/>
        <v>0</v>
      </c>
      <c r="H247" s="66">
        <f t="shared" si="93"/>
        <v>0</v>
      </c>
      <c r="I247" s="66">
        <f t="shared" si="93"/>
        <v>73977</v>
      </c>
      <c r="J247" s="66">
        <f t="shared" si="93"/>
        <v>141543661</v>
      </c>
      <c r="K247" s="66">
        <f t="shared" si="93"/>
        <v>108202269</v>
      </c>
    </row>
    <row r="248" spans="1:12" x14ac:dyDescent="0.25">
      <c r="A248" s="300"/>
      <c r="B248" s="301"/>
      <c r="C248" s="67" t="s">
        <v>31</v>
      </c>
      <c r="D248" s="66">
        <f t="shared" ref="D248:K248" si="94">D206+D183+D178+D176+D217+D164+D155+D144+D134+D132+D121+D112+D110+D97+D87+D85+D83+D81+D62+D33</f>
        <v>27536677</v>
      </c>
      <c r="E248" s="66">
        <f t="shared" si="94"/>
        <v>32023242</v>
      </c>
      <c r="F248" s="66">
        <f t="shared" si="94"/>
        <v>0</v>
      </c>
      <c r="G248" s="66">
        <f t="shared" si="94"/>
        <v>0</v>
      </c>
      <c r="H248" s="66">
        <f t="shared" si="94"/>
        <v>0</v>
      </c>
      <c r="I248" s="66">
        <f t="shared" si="94"/>
        <v>12946</v>
      </c>
      <c r="J248" s="66">
        <f t="shared" si="94"/>
        <v>32036188</v>
      </c>
      <c r="K248" s="66">
        <f t="shared" si="94"/>
        <v>24567716</v>
      </c>
    </row>
    <row r="249" spans="1:12" x14ac:dyDescent="0.25">
      <c r="A249" s="300"/>
      <c r="B249" s="301"/>
      <c r="C249" s="33" t="s">
        <v>32</v>
      </c>
      <c r="D249" s="34">
        <f t="shared" ref="D249:K249" si="95">D165+D145+D122+D98+D63+D34+D207</f>
        <v>540000</v>
      </c>
      <c r="E249" s="34">
        <f t="shared" si="95"/>
        <v>500000</v>
      </c>
      <c r="F249" s="34">
        <f t="shared" si="95"/>
        <v>0</v>
      </c>
      <c r="G249" s="34">
        <f t="shared" si="95"/>
        <v>0</v>
      </c>
      <c r="H249" s="34">
        <f t="shared" si="95"/>
        <v>0</v>
      </c>
      <c r="I249" s="34">
        <f t="shared" si="95"/>
        <v>0</v>
      </c>
      <c r="J249" s="34">
        <f t="shared" si="95"/>
        <v>500000</v>
      </c>
      <c r="K249" s="34">
        <f t="shared" si="95"/>
        <v>63152</v>
      </c>
    </row>
    <row r="250" spans="1:12" x14ac:dyDescent="0.25">
      <c r="A250" s="300"/>
      <c r="B250" s="301"/>
      <c r="C250" s="35" t="s">
        <v>33</v>
      </c>
      <c r="D250" s="34">
        <f t="shared" ref="D250:K250" si="96">D184+D166+D146+D123+D99+D64+D35+D208</f>
        <v>1700000</v>
      </c>
      <c r="E250" s="34">
        <f t="shared" si="96"/>
        <v>1909887</v>
      </c>
      <c r="F250" s="34">
        <f t="shared" si="96"/>
        <v>0</v>
      </c>
      <c r="G250" s="34">
        <f t="shared" si="96"/>
        <v>0</v>
      </c>
      <c r="H250" s="34">
        <f t="shared" si="96"/>
        <v>0</v>
      </c>
      <c r="I250" s="34">
        <f t="shared" si="96"/>
        <v>0</v>
      </c>
      <c r="J250" s="34">
        <f t="shared" si="96"/>
        <v>1909887</v>
      </c>
      <c r="K250" s="34">
        <f t="shared" si="96"/>
        <v>314080</v>
      </c>
    </row>
    <row r="251" spans="1:12" x14ac:dyDescent="0.25">
      <c r="A251" s="300"/>
      <c r="B251" s="301"/>
      <c r="C251" s="33" t="s">
        <v>34</v>
      </c>
      <c r="D251" s="34">
        <f t="shared" ref="D251:K251" si="97">D167+D147+D124+D100+D65+D36</f>
        <v>1036000</v>
      </c>
      <c r="E251" s="34">
        <f t="shared" si="97"/>
        <v>988000</v>
      </c>
      <c r="F251" s="34">
        <f t="shared" si="97"/>
        <v>0</v>
      </c>
      <c r="G251" s="34">
        <f t="shared" si="97"/>
        <v>0</v>
      </c>
      <c r="H251" s="34">
        <f t="shared" si="97"/>
        <v>0</v>
      </c>
      <c r="I251" s="34">
        <f t="shared" si="97"/>
        <v>0</v>
      </c>
      <c r="J251" s="34">
        <f t="shared" si="97"/>
        <v>988000</v>
      </c>
      <c r="K251" s="34">
        <f t="shared" si="97"/>
        <v>183356</v>
      </c>
    </row>
    <row r="252" spans="1:12" x14ac:dyDescent="0.25">
      <c r="A252" s="300"/>
      <c r="B252" s="301"/>
      <c r="C252" s="33" t="s">
        <v>35</v>
      </c>
      <c r="D252" s="34">
        <f t="shared" ref="D252:K252" si="98">D209+D168+D101+D66+D37</f>
        <v>610000</v>
      </c>
      <c r="E252" s="34">
        <f t="shared" si="98"/>
        <v>617000</v>
      </c>
      <c r="F252" s="34">
        <f t="shared" si="98"/>
        <v>0</v>
      </c>
      <c r="G252" s="34">
        <f t="shared" si="98"/>
        <v>0</v>
      </c>
      <c r="H252" s="34">
        <f t="shared" si="98"/>
        <v>0</v>
      </c>
      <c r="I252" s="34">
        <f t="shared" si="98"/>
        <v>0</v>
      </c>
      <c r="J252" s="34">
        <f t="shared" si="98"/>
        <v>617000</v>
      </c>
      <c r="K252" s="34">
        <f t="shared" si="98"/>
        <v>186915</v>
      </c>
    </row>
    <row r="253" spans="1:12" x14ac:dyDescent="0.25">
      <c r="A253" s="300"/>
      <c r="B253" s="301"/>
      <c r="C253" s="33" t="s">
        <v>36</v>
      </c>
      <c r="D253" s="34">
        <f t="shared" ref="D253:K253" si="99">D102+D67+D38</f>
        <v>1739080</v>
      </c>
      <c r="E253" s="34">
        <f t="shared" si="99"/>
        <v>1738180</v>
      </c>
      <c r="F253" s="34">
        <f t="shared" si="99"/>
        <v>0</v>
      </c>
      <c r="G253" s="34">
        <f t="shared" si="99"/>
        <v>0</v>
      </c>
      <c r="H253" s="34">
        <f t="shared" si="99"/>
        <v>0</v>
      </c>
      <c r="I253" s="34">
        <f t="shared" si="99"/>
        <v>0</v>
      </c>
      <c r="J253" s="34">
        <f t="shared" si="99"/>
        <v>1738180</v>
      </c>
      <c r="K253" s="34">
        <f t="shared" si="99"/>
        <v>1209636</v>
      </c>
    </row>
    <row r="254" spans="1:12" x14ac:dyDescent="0.25">
      <c r="A254" s="300"/>
      <c r="B254" s="301"/>
      <c r="C254" s="73" t="s">
        <v>37</v>
      </c>
      <c r="D254" s="61">
        <f t="shared" ref="D254:K254" si="100">D185+D68+D39</f>
        <v>356000</v>
      </c>
      <c r="E254" s="61">
        <f t="shared" si="100"/>
        <v>356000</v>
      </c>
      <c r="F254" s="61">
        <f t="shared" si="100"/>
        <v>0</v>
      </c>
      <c r="G254" s="61">
        <f t="shared" si="100"/>
        <v>0</v>
      </c>
      <c r="H254" s="61">
        <f t="shared" si="100"/>
        <v>0</v>
      </c>
      <c r="I254" s="61">
        <f t="shared" si="100"/>
        <v>0</v>
      </c>
      <c r="J254" s="61">
        <f t="shared" si="100"/>
        <v>356000</v>
      </c>
      <c r="K254" s="61">
        <f t="shared" si="100"/>
        <v>0</v>
      </c>
      <c r="L254" s="74"/>
    </row>
    <row r="255" spans="1:12" x14ac:dyDescent="0.25">
      <c r="A255" s="300"/>
      <c r="B255" s="301"/>
      <c r="C255" s="33" t="s">
        <v>38</v>
      </c>
      <c r="D255" s="34">
        <f t="shared" ref="D255:K255" si="101">D169+D148+D125+D103+D69+D40+D210</f>
        <v>1394000</v>
      </c>
      <c r="E255" s="34">
        <f t="shared" si="101"/>
        <v>1384180</v>
      </c>
      <c r="F255" s="34">
        <f t="shared" si="101"/>
        <v>0</v>
      </c>
      <c r="G255" s="34">
        <f t="shared" si="101"/>
        <v>0</v>
      </c>
      <c r="H255" s="34">
        <f t="shared" si="101"/>
        <v>0</v>
      </c>
      <c r="I255" s="34">
        <f t="shared" si="101"/>
        <v>0</v>
      </c>
      <c r="J255" s="61">
        <f t="shared" si="101"/>
        <v>1384180</v>
      </c>
      <c r="K255" s="34">
        <f t="shared" si="101"/>
        <v>436870</v>
      </c>
    </row>
    <row r="256" spans="1:12" x14ac:dyDescent="0.25">
      <c r="A256" s="300"/>
      <c r="B256" s="301"/>
      <c r="C256" s="33" t="s">
        <v>39</v>
      </c>
      <c r="D256" s="34">
        <f t="shared" ref="D256:K256" si="102">D41</f>
        <v>13200</v>
      </c>
      <c r="E256" s="34">
        <f t="shared" si="102"/>
        <v>31926</v>
      </c>
      <c r="F256" s="34">
        <f t="shared" si="102"/>
        <v>0</v>
      </c>
      <c r="G256" s="34">
        <f t="shared" si="102"/>
        <v>0</v>
      </c>
      <c r="H256" s="34">
        <f t="shared" si="102"/>
        <v>0</v>
      </c>
      <c r="I256" s="34">
        <f t="shared" si="102"/>
        <v>0</v>
      </c>
      <c r="J256" s="61">
        <f t="shared" si="102"/>
        <v>31926</v>
      </c>
      <c r="K256" s="34">
        <f t="shared" si="102"/>
        <v>24072</v>
      </c>
    </row>
    <row r="257" spans="1:11" x14ac:dyDescent="0.25">
      <c r="A257" s="300"/>
      <c r="B257" s="301"/>
      <c r="C257" s="36" t="s">
        <v>40</v>
      </c>
      <c r="D257" s="34">
        <f t="shared" ref="D257:K257" si="103">D186+D170+D149+D126+D104+D70+D42</f>
        <v>16415104</v>
      </c>
      <c r="E257" s="34">
        <f t="shared" si="103"/>
        <v>16353704</v>
      </c>
      <c r="F257" s="34">
        <f t="shared" si="103"/>
        <v>-108636</v>
      </c>
      <c r="G257" s="34">
        <f t="shared" si="103"/>
        <v>0</v>
      </c>
      <c r="H257" s="34">
        <f t="shared" si="103"/>
        <v>0</v>
      </c>
      <c r="I257" s="34">
        <f t="shared" si="103"/>
        <v>0</v>
      </c>
      <c r="J257" s="61">
        <f t="shared" si="103"/>
        <v>16245068</v>
      </c>
      <c r="K257" s="34">
        <f t="shared" si="103"/>
        <v>624836</v>
      </c>
    </row>
    <row r="258" spans="1:11" x14ac:dyDescent="0.25">
      <c r="A258" s="300"/>
      <c r="B258" s="301"/>
      <c r="C258" s="33" t="s">
        <v>41</v>
      </c>
      <c r="D258" s="34">
        <f t="shared" ref="D258:K258" si="104">D187+D171+D150+D127+D105+D71+D43+D211</f>
        <v>26876743</v>
      </c>
      <c r="E258" s="34">
        <f t="shared" si="104"/>
        <v>14459819</v>
      </c>
      <c r="F258" s="34">
        <f t="shared" si="104"/>
        <v>108636</v>
      </c>
      <c r="G258" s="34">
        <f t="shared" si="104"/>
        <v>0</v>
      </c>
      <c r="H258" s="34">
        <f t="shared" si="104"/>
        <v>0</v>
      </c>
      <c r="I258" s="34">
        <f t="shared" si="104"/>
        <v>0</v>
      </c>
      <c r="J258" s="61">
        <f t="shared" si="104"/>
        <v>14568455</v>
      </c>
      <c r="K258" s="34">
        <f t="shared" si="104"/>
        <v>7086997</v>
      </c>
    </row>
    <row r="259" spans="1:11" x14ac:dyDescent="0.25">
      <c r="A259" s="300"/>
      <c r="B259" s="301"/>
      <c r="C259" s="35" t="s">
        <v>42</v>
      </c>
      <c r="D259" s="34">
        <f t="shared" ref="D259:K259" si="105">D212+D188+D172+D151+D128+D106+D72+D44</f>
        <v>2852000</v>
      </c>
      <c r="E259" s="34">
        <f t="shared" si="105"/>
        <v>2889440</v>
      </c>
      <c r="F259" s="34">
        <f t="shared" si="105"/>
        <v>0</v>
      </c>
      <c r="G259" s="34">
        <f t="shared" si="105"/>
        <v>0</v>
      </c>
      <c r="H259" s="34">
        <f t="shared" si="105"/>
        <v>0</v>
      </c>
      <c r="I259" s="34">
        <f t="shared" si="105"/>
        <v>0</v>
      </c>
      <c r="J259" s="34">
        <f t="shared" si="105"/>
        <v>2889440</v>
      </c>
      <c r="K259" s="34">
        <f t="shared" si="105"/>
        <v>1317378</v>
      </c>
    </row>
    <row r="260" spans="1:11" x14ac:dyDescent="0.25">
      <c r="A260" s="300"/>
      <c r="B260" s="301"/>
      <c r="C260" s="35" t="s">
        <v>43</v>
      </c>
      <c r="D260" s="34">
        <f t="shared" ref="D260:K260" si="106">D45+D73+D189</f>
        <v>290000</v>
      </c>
      <c r="E260" s="34">
        <f t="shared" si="106"/>
        <v>290000</v>
      </c>
      <c r="F260" s="34">
        <f t="shared" si="106"/>
        <v>0</v>
      </c>
      <c r="G260" s="34">
        <f t="shared" si="106"/>
        <v>0</v>
      </c>
      <c r="H260" s="34">
        <f t="shared" si="106"/>
        <v>0</v>
      </c>
      <c r="I260" s="34">
        <f t="shared" si="106"/>
        <v>0</v>
      </c>
      <c r="J260" s="34">
        <f t="shared" si="106"/>
        <v>290000</v>
      </c>
      <c r="K260" s="34">
        <f t="shared" si="106"/>
        <v>0</v>
      </c>
    </row>
    <row r="261" spans="1:11" x14ac:dyDescent="0.25">
      <c r="A261" s="300"/>
      <c r="B261" s="301"/>
      <c r="C261" s="33" t="s">
        <v>44</v>
      </c>
      <c r="D261" s="34">
        <f t="shared" ref="D261:K261" si="107">D213+D190+D173+D152+D129+D107+D74+D46</f>
        <v>7754652</v>
      </c>
      <c r="E261" s="34">
        <f t="shared" si="107"/>
        <v>5316093</v>
      </c>
      <c r="F261" s="34">
        <f t="shared" si="107"/>
        <v>0</v>
      </c>
      <c r="G261" s="34">
        <f t="shared" si="107"/>
        <v>0</v>
      </c>
      <c r="H261" s="34">
        <f t="shared" si="107"/>
        <v>0</v>
      </c>
      <c r="I261" s="34">
        <f t="shared" si="107"/>
        <v>0</v>
      </c>
      <c r="J261" s="34">
        <f t="shared" si="107"/>
        <v>5316093</v>
      </c>
      <c r="K261" s="34">
        <f t="shared" si="107"/>
        <v>2000428</v>
      </c>
    </row>
    <row r="262" spans="1:11" x14ac:dyDescent="0.25">
      <c r="A262" s="300"/>
      <c r="B262" s="301"/>
      <c r="C262" s="37" t="s">
        <v>45</v>
      </c>
      <c r="D262" s="34">
        <f t="shared" ref="D262:K262" si="108">D214+D191+D75+D47</f>
        <v>743011</v>
      </c>
      <c r="E262" s="34">
        <f t="shared" si="108"/>
        <v>743011</v>
      </c>
      <c r="F262" s="34">
        <f t="shared" si="108"/>
        <v>0</v>
      </c>
      <c r="G262" s="34">
        <f t="shared" si="108"/>
        <v>0</v>
      </c>
      <c r="H262" s="34">
        <f t="shared" si="108"/>
        <v>0</v>
      </c>
      <c r="I262" s="34">
        <f t="shared" si="108"/>
        <v>0</v>
      </c>
      <c r="J262" s="34">
        <f t="shared" si="108"/>
        <v>743011</v>
      </c>
      <c r="K262" s="34">
        <f t="shared" si="108"/>
        <v>301222</v>
      </c>
    </row>
    <row r="263" spans="1:11" x14ac:dyDescent="0.25">
      <c r="A263" s="300"/>
      <c r="B263" s="301"/>
      <c r="C263" s="65" t="s">
        <v>49</v>
      </c>
      <c r="D263" s="66">
        <f t="shared" ref="D263:K263" si="109">D215+D192+D174+D153+D130+D108+D76+D48</f>
        <v>62319790</v>
      </c>
      <c r="E263" s="66">
        <f t="shared" si="109"/>
        <v>47577240</v>
      </c>
      <c r="F263" s="66">
        <f t="shared" si="109"/>
        <v>0</v>
      </c>
      <c r="G263" s="66">
        <f t="shared" si="109"/>
        <v>0</v>
      </c>
      <c r="H263" s="66">
        <f t="shared" si="109"/>
        <v>0</v>
      </c>
      <c r="I263" s="66">
        <f t="shared" si="109"/>
        <v>0</v>
      </c>
      <c r="J263" s="66">
        <f t="shared" si="109"/>
        <v>47577240</v>
      </c>
      <c r="K263" s="66">
        <f t="shared" si="109"/>
        <v>13748942</v>
      </c>
    </row>
    <row r="264" spans="1:11" x14ac:dyDescent="0.25">
      <c r="A264" s="300"/>
      <c r="B264" s="301"/>
      <c r="C264" s="65" t="s">
        <v>100</v>
      </c>
      <c r="D264" s="66">
        <f>D197</f>
        <v>0</v>
      </c>
      <c r="E264" s="66">
        <f t="shared" ref="E264:K264" si="110">E197</f>
        <v>10500000</v>
      </c>
      <c r="F264" s="66">
        <f t="shared" si="110"/>
        <v>0</v>
      </c>
      <c r="G264" s="66">
        <f t="shared" si="110"/>
        <v>0</v>
      </c>
      <c r="H264" s="66">
        <f t="shared" si="110"/>
        <v>0</v>
      </c>
      <c r="I264" s="66">
        <f t="shared" si="110"/>
        <v>0</v>
      </c>
      <c r="J264" s="66">
        <f t="shared" si="110"/>
        <v>10500000</v>
      </c>
      <c r="K264" s="66">
        <f t="shared" si="110"/>
        <v>10500000</v>
      </c>
    </row>
    <row r="265" spans="1:11" x14ac:dyDescent="0.25">
      <c r="A265" s="300"/>
      <c r="B265" s="301"/>
      <c r="C265" s="38" t="s">
        <v>50</v>
      </c>
      <c r="D265" s="34">
        <f t="shared" ref="D265:K267" si="111">D194+D77+D49</f>
        <v>161220</v>
      </c>
      <c r="E265" s="34">
        <f t="shared" si="111"/>
        <v>161220</v>
      </c>
      <c r="F265" s="34">
        <f t="shared" si="111"/>
        <v>0</v>
      </c>
      <c r="G265" s="34">
        <f t="shared" si="111"/>
        <v>0</v>
      </c>
      <c r="H265" s="34">
        <f t="shared" si="111"/>
        <v>0</v>
      </c>
      <c r="I265" s="34">
        <f t="shared" si="111"/>
        <v>0</v>
      </c>
      <c r="J265" s="34">
        <f t="shared" si="111"/>
        <v>161220</v>
      </c>
      <c r="K265" s="34">
        <f t="shared" si="111"/>
        <v>0</v>
      </c>
    </row>
    <row r="266" spans="1:11" x14ac:dyDescent="0.25">
      <c r="A266" s="300"/>
      <c r="B266" s="301"/>
      <c r="C266" s="37" t="s">
        <v>51</v>
      </c>
      <c r="D266" s="34">
        <f t="shared" si="111"/>
        <v>43530</v>
      </c>
      <c r="E266" s="34">
        <f t="shared" si="111"/>
        <v>43530</v>
      </c>
      <c r="F266" s="34">
        <f t="shared" si="111"/>
        <v>0</v>
      </c>
      <c r="G266" s="34">
        <f t="shared" si="111"/>
        <v>0</v>
      </c>
      <c r="H266" s="34">
        <f t="shared" si="111"/>
        <v>0</v>
      </c>
      <c r="I266" s="34">
        <f t="shared" si="111"/>
        <v>0</v>
      </c>
      <c r="J266" s="34">
        <f t="shared" si="111"/>
        <v>43530</v>
      </c>
      <c r="K266" s="34">
        <f t="shared" si="111"/>
        <v>0</v>
      </c>
    </row>
    <row r="267" spans="1:11" x14ac:dyDescent="0.25">
      <c r="A267" s="300"/>
      <c r="B267" s="301"/>
      <c r="C267" s="65" t="s">
        <v>52</v>
      </c>
      <c r="D267" s="68">
        <f t="shared" si="111"/>
        <v>204750</v>
      </c>
      <c r="E267" s="68">
        <f t="shared" si="111"/>
        <v>204750</v>
      </c>
      <c r="F267" s="68">
        <f t="shared" si="111"/>
        <v>0</v>
      </c>
      <c r="G267" s="68">
        <f t="shared" si="111"/>
        <v>0</v>
      </c>
      <c r="H267" s="68">
        <f t="shared" si="111"/>
        <v>0</v>
      </c>
      <c r="I267" s="68">
        <f t="shared" si="111"/>
        <v>0</v>
      </c>
      <c r="J267" s="68">
        <f t="shared" si="111"/>
        <v>204750</v>
      </c>
      <c r="K267" s="66">
        <f t="shared" si="111"/>
        <v>0</v>
      </c>
    </row>
    <row r="268" spans="1:11" x14ac:dyDescent="0.25">
      <c r="A268" s="302"/>
      <c r="B268" s="303"/>
      <c r="C268" s="69" t="s">
        <v>88</v>
      </c>
      <c r="D268" s="70">
        <f>D219</f>
        <v>230443641</v>
      </c>
      <c r="E268" s="70">
        <f>E219</f>
        <v>231774916</v>
      </c>
      <c r="F268" s="70">
        <f t="shared" ref="F268:K268" si="112">F219</f>
        <v>0</v>
      </c>
      <c r="G268" s="70">
        <f t="shared" si="112"/>
        <v>0</v>
      </c>
      <c r="H268" s="70">
        <f t="shared" si="112"/>
        <v>0</v>
      </c>
      <c r="I268" s="70">
        <f t="shared" si="112"/>
        <v>86923</v>
      </c>
      <c r="J268" s="70">
        <f t="shared" si="112"/>
        <v>231861839</v>
      </c>
      <c r="K268" s="70">
        <f t="shared" si="112"/>
        <v>157018927</v>
      </c>
    </row>
    <row r="269" spans="1:11" x14ac:dyDescent="0.25">
      <c r="B269" s="5"/>
      <c r="E269" s="4"/>
      <c r="F269" s="4"/>
      <c r="G269" s="4"/>
      <c r="H269" s="4"/>
      <c r="I269" s="4"/>
      <c r="J269" s="4"/>
      <c r="K269" s="111"/>
    </row>
    <row r="270" spans="1:11" x14ac:dyDescent="0.25">
      <c r="B270" s="5"/>
      <c r="E270" s="4"/>
      <c r="F270" s="4"/>
      <c r="G270" s="4"/>
      <c r="H270" s="4"/>
      <c r="I270" s="4"/>
      <c r="J270" s="4"/>
      <c r="K270" s="111"/>
    </row>
  </sheetData>
  <mergeCells count="74">
    <mergeCell ref="A227:B268"/>
    <mergeCell ref="A179:C179"/>
    <mergeCell ref="A180:A197"/>
    <mergeCell ref="B180:B197"/>
    <mergeCell ref="A198:C198"/>
    <mergeCell ref="A199:A215"/>
    <mergeCell ref="B199:B215"/>
    <mergeCell ref="A216:A217"/>
    <mergeCell ref="B216:B217"/>
    <mergeCell ref="A218:C218"/>
    <mergeCell ref="A219:C219"/>
    <mergeCell ref="A226:K226"/>
    <mergeCell ref="A177:A178"/>
    <mergeCell ref="B177:B178"/>
    <mergeCell ref="A133:A134"/>
    <mergeCell ref="B133:B134"/>
    <mergeCell ref="A135:C135"/>
    <mergeCell ref="A136:A153"/>
    <mergeCell ref="B136:B153"/>
    <mergeCell ref="A154:A155"/>
    <mergeCell ref="B154:B155"/>
    <mergeCell ref="A156:C156"/>
    <mergeCell ref="A157:A174"/>
    <mergeCell ref="B157:B174"/>
    <mergeCell ref="A175:A176"/>
    <mergeCell ref="B175:B176"/>
    <mergeCell ref="A131:A132"/>
    <mergeCell ref="B131:B132"/>
    <mergeCell ref="A86:A87"/>
    <mergeCell ref="B86:B87"/>
    <mergeCell ref="A88:C88"/>
    <mergeCell ref="A89:A108"/>
    <mergeCell ref="B89:B108"/>
    <mergeCell ref="A109:A110"/>
    <mergeCell ref="B109:B110"/>
    <mergeCell ref="A111:A112"/>
    <mergeCell ref="B111:B112"/>
    <mergeCell ref="A113:C113"/>
    <mergeCell ref="A114:A130"/>
    <mergeCell ref="B114:B130"/>
    <mergeCell ref="A80:A81"/>
    <mergeCell ref="B80:B81"/>
    <mergeCell ref="A82:A83"/>
    <mergeCell ref="B82:B83"/>
    <mergeCell ref="A84:A85"/>
    <mergeCell ref="B84:B85"/>
    <mergeCell ref="A22:A23"/>
    <mergeCell ref="B22:B23"/>
    <mergeCell ref="A24:C24"/>
    <mergeCell ref="A25:A79"/>
    <mergeCell ref="B25:B51"/>
    <mergeCell ref="B52:B79"/>
    <mergeCell ref="A16:A17"/>
    <mergeCell ref="B16:B17"/>
    <mergeCell ref="A18:A19"/>
    <mergeCell ref="B18:B19"/>
    <mergeCell ref="A20:A21"/>
    <mergeCell ref="B20:B21"/>
    <mergeCell ref="A5:A13"/>
    <mergeCell ref="B5:B7"/>
    <mergeCell ref="B8:B11"/>
    <mergeCell ref="B12:B13"/>
    <mergeCell ref="A14:A15"/>
    <mergeCell ref="B14:B15"/>
    <mergeCell ref="A1:L1"/>
    <mergeCell ref="A3:A4"/>
    <mergeCell ref="B3:B4"/>
    <mergeCell ref="C3:C4"/>
    <mergeCell ref="D3:D4"/>
    <mergeCell ref="E3:E4"/>
    <mergeCell ref="F3:I3"/>
    <mergeCell ref="J3:J4"/>
    <mergeCell ref="K3:K4"/>
    <mergeCell ref="L3:L4"/>
  </mergeCells>
  <pageMargins left="0.7" right="0.7" top="0.75" bottom="0.75" header="0.3" footer="0.3"/>
  <pageSetup paperSize="9" scale="50" orientation="portrait" r:id="rId1"/>
  <rowBreaks count="2" manualBreakCount="2">
    <brk id="88" max="16383" man="1"/>
    <brk id="17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352"/>
  <sheetViews>
    <sheetView zoomScaleSheetLayoutView="100" workbookViewId="0">
      <pane xSplit="3" ySplit="4" topLeftCell="D332" activePane="bottomRight" state="frozen"/>
      <selection activeCell="D8" sqref="D8"/>
      <selection pane="topRight" activeCell="D8" sqref="D8"/>
      <selection pane="bottomLeft" activeCell="D8" sqref="D8"/>
      <selection pane="bottomRight" activeCell="D8" sqref="D8"/>
    </sheetView>
  </sheetViews>
  <sheetFormatPr defaultRowHeight="15" x14ac:dyDescent="0.25"/>
  <cols>
    <col min="1" max="1" width="37.85546875" customWidth="1"/>
    <col min="3" max="3" width="7.7109375" customWidth="1"/>
    <col min="4" max="5" width="13.7109375" customWidth="1"/>
    <col min="6" max="6" width="12.42578125" customWidth="1"/>
    <col min="7" max="9" width="11.7109375" customWidth="1"/>
    <col min="10" max="10" width="10.28515625" bestFit="1" customWidth="1"/>
    <col min="11" max="11" width="13.85546875" bestFit="1" customWidth="1"/>
    <col min="12" max="12" width="16.42578125" style="122" customWidth="1"/>
    <col min="13" max="13" width="13.85546875" customWidth="1"/>
    <col min="14" max="14" width="11.42578125" style="39" bestFit="1" customWidth="1"/>
  </cols>
  <sheetData>
    <row r="1" spans="1:14" ht="21" x14ac:dyDescent="0.25">
      <c r="A1" s="383" t="s">
        <v>0</v>
      </c>
      <c r="B1" s="383"/>
      <c r="C1" s="383"/>
      <c r="D1" s="383"/>
      <c r="E1" s="383"/>
      <c r="F1" s="383"/>
      <c r="G1" s="383"/>
      <c r="H1" s="383"/>
      <c r="I1" s="383"/>
      <c r="J1" s="383"/>
      <c r="K1" s="383"/>
      <c r="L1" s="383"/>
      <c r="M1" s="383"/>
    </row>
    <row r="2" spans="1:14" x14ac:dyDescent="0.25">
      <c r="B2" s="5"/>
      <c r="E2" s="4"/>
      <c r="F2" s="4"/>
      <c r="G2" s="4"/>
      <c r="H2" s="4"/>
      <c r="I2" s="4"/>
      <c r="J2" s="4"/>
      <c r="K2" s="4"/>
      <c r="L2" s="111"/>
    </row>
    <row r="3" spans="1:14" ht="15" customHeight="1" x14ac:dyDescent="0.25">
      <c r="A3" s="384" t="s">
        <v>104</v>
      </c>
      <c r="B3" s="386" t="s">
        <v>105</v>
      </c>
      <c r="C3" s="384" t="s">
        <v>3</v>
      </c>
      <c r="D3" s="384" t="s">
        <v>4</v>
      </c>
      <c r="E3" s="388" t="s">
        <v>119</v>
      </c>
      <c r="F3" s="390" t="s">
        <v>69</v>
      </c>
      <c r="G3" s="391"/>
      <c r="H3" s="391"/>
      <c r="I3" s="391"/>
      <c r="J3" s="392"/>
      <c r="K3" s="388" t="s">
        <v>164</v>
      </c>
      <c r="L3" s="393" t="s">
        <v>161</v>
      </c>
      <c r="M3" s="394" t="s">
        <v>120</v>
      </c>
    </row>
    <row r="4" spans="1:14" ht="45" x14ac:dyDescent="0.25">
      <c r="A4" s="385"/>
      <c r="B4" s="387"/>
      <c r="C4" s="385"/>
      <c r="D4" s="385"/>
      <c r="E4" s="389"/>
      <c r="F4" s="177" t="s">
        <v>70</v>
      </c>
      <c r="G4" s="178" t="s">
        <v>122</v>
      </c>
      <c r="H4" s="178" t="s">
        <v>167</v>
      </c>
      <c r="I4" s="178" t="s">
        <v>168</v>
      </c>
      <c r="J4" s="178" t="s">
        <v>165</v>
      </c>
      <c r="K4" s="389"/>
      <c r="L4" s="393"/>
      <c r="M4" s="394"/>
      <c r="N4" s="195"/>
    </row>
    <row r="5" spans="1:14" x14ac:dyDescent="0.25">
      <c r="A5" s="255" t="s">
        <v>6</v>
      </c>
      <c r="B5" s="268" t="s">
        <v>21</v>
      </c>
      <c r="C5" s="2" t="s">
        <v>16</v>
      </c>
      <c r="D5" s="3">
        <v>54810810</v>
      </c>
      <c r="E5" s="3">
        <v>52737886</v>
      </c>
      <c r="F5" s="3">
        <f>'2019.10.31.'!F5</f>
        <v>0</v>
      </c>
      <c r="G5" s="3"/>
      <c r="H5" s="3"/>
      <c r="I5" s="3"/>
      <c r="J5" s="3">
        <f>'2019.10.31.'!I5</f>
        <v>37372</v>
      </c>
      <c r="K5" s="20">
        <f>E5+F5+G5+I5+J5</f>
        <v>52775258</v>
      </c>
      <c r="L5" s="112">
        <v>39650289</v>
      </c>
      <c r="M5" s="3">
        <f>K5-L5</f>
        <v>13124969</v>
      </c>
    </row>
    <row r="6" spans="1:14" x14ac:dyDescent="0.25">
      <c r="A6" s="256"/>
      <c r="B6" s="268"/>
      <c r="C6" s="2" t="s">
        <v>17</v>
      </c>
      <c r="D6" s="3">
        <v>7273070</v>
      </c>
      <c r="E6" s="3">
        <v>7273070</v>
      </c>
      <c r="F6" s="3">
        <f>'2019.10.31.'!F6</f>
        <v>0</v>
      </c>
      <c r="G6" s="3"/>
      <c r="H6" s="3"/>
      <c r="I6" s="3"/>
      <c r="J6" s="3">
        <f>'2019.10.31.'!I6</f>
        <v>0</v>
      </c>
      <c r="K6" s="20">
        <f t="shared" ref="K6:K23" si="0">E6+F6+G6+I6+J6</f>
        <v>7273070</v>
      </c>
      <c r="L6" s="112">
        <v>7273070</v>
      </c>
      <c r="M6" s="3">
        <f t="shared" ref="M6:M23" si="1">K6-L6</f>
        <v>0</v>
      </c>
    </row>
    <row r="7" spans="1:14" x14ac:dyDescent="0.25">
      <c r="A7" s="256"/>
      <c r="B7" s="268"/>
      <c r="C7" s="2" t="s">
        <v>18</v>
      </c>
      <c r="D7" s="3">
        <v>96985672</v>
      </c>
      <c r="E7" s="3">
        <v>100329672</v>
      </c>
      <c r="F7" s="3">
        <f>'2019.10.31.'!F7</f>
        <v>0</v>
      </c>
      <c r="G7" s="3"/>
      <c r="H7" s="3">
        <v>-420313</v>
      </c>
      <c r="I7" s="3">
        <f>-1071771</f>
        <v>-1071771</v>
      </c>
      <c r="J7" s="3">
        <f>'2019.10.31.'!I7</f>
        <v>0</v>
      </c>
      <c r="K7" s="20">
        <f>E7+F7+G7+I7+J7+H7</f>
        <v>98837588</v>
      </c>
      <c r="L7" s="112">
        <v>77496655</v>
      </c>
      <c r="M7" s="3">
        <f t="shared" si="1"/>
        <v>21340933</v>
      </c>
    </row>
    <row r="8" spans="1:14" x14ac:dyDescent="0.25">
      <c r="A8" s="256"/>
      <c r="B8" s="268"/>
      <c r="C8" s="2" t="s">
        <v>22</v>
      </c>
      <c r="D8" s="3">
        <v>200000</v>
      </c>
      <c r="E8" s="3">
        <v>200000</v>
      </c>
      <c r="F8" s="3">
        <f>'2019.10.31.'!F8</f>
        <v>0</v>
      </c>
      <c r="G8" s="3"/>
      <c r="H8" s="3"/>
      <c r="I8" s="3"/>
      <c r="J8" s="3">
        <f>'2019.10.31.'!I8</f>
        <v>0</v>
      </c>
      <c r="K8" s="20">
        <f t="shared" si="0"/>
        <v>200000</v>
      </c>
      <c r="L8" s="112">
        <v>0</v>
      </c>
      <c r="M8" s="3">
        <f t="shared" si="1"/>
        <v>200000</v>
      </c>
    </row>
    <row r="9" spans="1:14" x14ac:dyDescent="0.25">
      <c r="A9" s="256"/>
      <c r="B9" s="268" t="s">
        <v>23</v>
      </c>
      <c r="C9" s="2" t="s">
        <v>19</v>
      </c>
      <c r="D9" s="3">
        <v>13200</v>
      </c>
      <c r="E9" s="3">
        <v>31926</v>
      </c>
      <c r="F9" s="3">
        <f>'2019.10.31.'!F9</f>
        <v>0</v>
      </c>
      <c r="G9" s="3"/>
      <c r="H9" s="3"/>
      <c r="I9" s="3"/>
      <c r="J9" s="3">
        <f>'2019.10.31.'!I9</f>
        <v>0</v>
      </c>
      <c r="K9" s="20">
        <f t="shared" si="0"/>
        <v>31926</v>
      </c>
      <c r="L9" s="112">
        <v>24072</v>
      </c>
      <c r="M9" s="60">
        <f t="shared" si="1"/>
        <v>7854</v>
      </c>
    </row>
    <row r="10" spans="1:14" x14ac:dyDescent="0.25">
      <c r="A10" s="256"/>
      <c r="B10" s="268"/>
      <c r="C10" s="2" t="s">
        <v>20</v>
      </c>
      <c r="D10" s="3">
        <v>500</v>
      </c>
      <c r="E10" s="3">
        <v>1152</v>
      </c>
      <c r="F10" s="60">
        <f>'2019.10.31.'!F10</f>
        <v>0</v>
      </c>
      <c r="G10" s="3"/>
      <c r="H10" s="3"/>
      <c r="I10" s="3"/>
      <c r="J10" s="3">
        <f>'2019.10.31.'!I10</f>
        <v>0</v>
      </c>
      <c r="K10" s="20">
        <f t="shared" si="0"/>
        <v>1152</v>
      </c>
      <c r="L10" s="112">
        <v>162</v>
      </c>
      <c r="M10" s="3">
        <f t="shared" si="1"/>
        <v>990</v>
      </c>
    </row>
    <row r="11" spans="1:14" x14ac:dyDescent="0.25">
      <c r="A11" s="256"/>
      <c r="B11" s="268"/>
      <c r="C11" s="2" t="s">
        <v>84</v>
      </c>
      <c r="D11" s="3">
        <v>0</v>
      </c>
      <c r="E11" s="3">
        <v>12948</v>
      </c>
      <c r="F11" s="60">
        <f>'2019.10.31.'!F11-1261</f>
        <v>-1261</v>
      </c>
      <c r="G11" s="3"/>
      <c r="H11" s="3"/>
      <c r="I11" s="3"/>
      <c r="J11" s="3">
        <f>'2019.10.31.'!I11</f>
        <v>0</v>
      </c>
      <c r="K11" s="20">
        <f t="shared" si="0"/>
        <v>11687</v>
      </c>
      <c r="L11" s="112">
        <v>4486</v>
      </c>
      <c r="M11" s="3">
        <f t="shared" si="1"/>
        <v>7201</v>
      </c>
    </row>
    <row r="12" spans="1:14" x14ac:dyDescent="0.25">
      <c r="A12" s="256"/>
      <c r="B12" s="252">
        <v>104043</v>
      </c>
      <c r="C12" s="2" t="s">
        <v>20</v>
      </c>
      <c r="D12" s="3">
        <v>500</v>
      </c>
      <c r="E12" s="3">
        <v>173</v>
      </c>
      <c r="F12" s="60">
        <f>'2019.10.31.'!F12</f>
        <v>0</v>
      </c>
      <c r="G12" s="3"/>
      <c r="H12" s="3"/>
      <c r="I12" s="3"/>
      <c r="J12" s="3">
        <f>'2019.10.31.'!I12</f>
        <v>0</v>
      </c>
      <c r="K12" s="20">
        <f t="shared" si="0"/>
        <v>173</v>
      </c>
      <c r="L12" s="112">
        <v>163</v>
      </c>
      <c r="M12" s="3">
        <f t="shared" si="1"/>
        <v>10</v>
      </c>
    </row>
    <row r="13" spans="1:14" x14ac:dyDescent="0.25">
      <c r="A13" s="257"/>
      <c r="B13" s="254"/>
      <c r="C13" s="2" t="s">
        <v>84</v>
      </c>
      <c r="D13" s="3">
        <v>0</v>
      </c>
      <c r="E13" s="3">
        <v>1</v>
      </c>
      <c r="F13" s="60">
        <f>'2019.10.31.'!F13+1261</f>
        <v>1261</v>
      </c>
      <c r="G13" s="3"/>
      <c r="H13" s="3"/>
      <c r="I13" s="3"/>
      <c r="J13" s="3">
        <f>'2019.10.31.'!I13</f>
        <v>0</v>
      </c>
      <c r="K13" s="20">
        <f t="shared" si="0"/>
        <v>1262</v>
      </c>
      <c r="L13" s="112">
        <v>1</v>
      </c>
      <c r="M13" s="3">
        <f t="shared" si="1"/>
        <v>1261</v>
      </c>
    </row>
    <row r="14" spans="1:14" x14ac:dyDescent="0.25">
      <c r="A14" s="258" t="s">
        <v>7</v>
      </c>
      <c r="B14" s="268" t="s">
        <v>21</v>
      </c>
      <c r="C14" s="2" t="s">
        <v>16</v>
      </c>
      <c r="D14" s="3">
        <v>245982</v>
      </c>
      <c r="E14" s="3">
        <v>245982</v>
      </c>
      <c r="F14" s="60">
        <f>'2019.10.31.'!F14</f>
        <v>0</v>
      </c>
      <c r="G14" s="3"/>
      <c r="H14" s="3"/>
      <c r="I14" s="3"/>
      <c r="J14" s="3">
        <f>'2019.10.31.'!I14</f>
        <v>21826</v>
      </c>
      <c r="K14" s="20">
        <f t="shared" si="0"/>
        <v>267808</v>
      </c>
      <c r="L14" s="112">
        <v>206315</v>
      </c>
      <c r="M14" s="3">
        <f t="shared" si="1"/>
        <v>61493</v>
      </c>
    </row>
    <row r="15" spans="1:14" x14ac:dyDescent="0.25">
      <c r="A15" s="258"/>
      <c r="B15" s="268"/>
      <c r="C15" s="2" t="s">
        <v>17</v>
      </c>
      <c r="D15" s="3">
        <v>1005557</v>
      </c>
      <c r="E15" s="3">
        <v>1005557</v>
      </c>
      <c r="F15" s="3">
        <f>'2019.10.31.'!F15</f>
        <v>0</v>
      </c>
      <c r="G15" s="3"/>
      <c r="H15" s="3"/>
      <c r="I15" s="3"/>
      <c r="J15" s="3">
        <f>'2019.10.31.'!I15</f>
        <v>0</v>
      </c>
      <c r="K15" s="20">
        <f t="shared" si="0"/>
        <v>1005557</v>
      </c>
      <c r="L15" s="112">
        <v>1005557</v>
      </c>
      <c r="M15" s="3">
        <f t="shared" si="1"/>
        <v>0</v>
      </c>
    </row>
    <row r="16" spans="1:14" x14ac:dyDescent="0.25">
      <c r="A16" s="258" t="s">
        <v>8</v>
      </c>
      <c r="B16" s="268" t="s">
        <v>21</v>
      </c>
      <c r="C16" s="2" t="s">
        <v>16</v>
      </c>
      <c r="D16" s="3">
        <v>3086953</v>
      </c>
      <c r="E16" s="3">
        <v>3103704</v>
      </c>
      <c r="F16" s="3">
        <f>'2019.10.31.'!F16</f>
        <v>0</v>
      </c>
      <c r="G16" s="3"/>
      <c r="H16" s="3"/>
      <c r="I16" s="3"/>
      <c r="J16" s="3">
        <f>'2019.10.31.'!I16</f>
        <v>16468</v>
      </c>
      <c r="K16" s="20">
        <f t="shared" si="0"/>
        <v>3120172</v>
      </c>
      <c r="L16" s="112">
        <v>2348434</v>
      </c>
      <c r="M16" s="3">
        <f t="shared" si="1"/>
        <v>771738</v>
      </c>
    </row>
    <row r="17" spans="1:13" x14ac:dyDescent="0.25">
      <c r="A17" s="258"/>
      <c r="B17" s="268"/>
      <c r="C17" s="2" t="s">
        <v>17</v>
      </c>
      <c r="D17" s="3">
        <v>440959</v>
      </c>
      <c r="E17" s="3">
        <v>440959</v>
      </c>
      <c r="F17" s="3">
        <f>'2019.10.31.'!F17</f>
        <v>0</v>
      </c>
      <c r="G17" s="3"/>
      <c r="H17" s="3"/>
      <c r="I17" s="3"/>
      <c r="J17" s="3">
        <f>'2019.10.31.'!I17</f>
        <v>0</v>
      </c>
      <c r="K17" s="20">
        <f t="shared" si="0"/>
        <v>440959</v>
      </c>
      <c r="L17" s="112">
        <v>440959</v>
      </c>
      <c r="M17" s="3">
        <f t="shared" si="1"/>
        <v>0</v>
      </c>
    </row>
    <row r="18" spans="1:13" x14ac:dyDescent="0.25">
      <c r="A18" s="258" t="s">
        <v>9</v>
      </c>
      <c r="B18" s="268" t="s">
        <v>21</v>
      </c>
      <c r="C18" s="2" t="s">
        <v>16</v>
      </c>
      <c r="D18" s="3">
        <v>1403439</v>
      </c>
      <c r="E18" s="3">
        <v>1414887</v>
      </c>
      <c r="F18" s="3">
        <f>'2019.10.31.'!F18</f>
        <v>0</v>
      </c>
      <c r="G18" s="3"/>
      <c r="H18" s="3"/>
      <c r="I18" s="3"/>
      <c r="J18" s="3">
        <f>'2019.10.31.'!I18</f>
        <v>11257</v>
      </c>
      <c r="K18" s="20">
        <f t="shared" si="0"/>
        <v>1426144</v>
      </c>
      <c r="L18" s="112">
        <v>1075285</v>
      </c>
      <c r="M18" s="3">
        <f t="shared" si="1"/>
        <v>350859</v>
      </c>
    </row>
    <row r="19" spans="1:13" x14ac:dyDescent="0.25">
      <c r="A19" s="258"/>
      <c r="B19" s="268"/>
      <c r="C19" s="2" t="s">
        <v>17</v>
      </c>
      <c r="D19" s="3">
        <v>599759</v>
      </c>
      <c r="E19" s="3">
        <v>599759</v>
      </c>
      <c r="F19" s="3">
        <f>'2019.10.31.'!F19</f>
        <v>0</v>
      </c>
      <c r="G19" s="3"/>
      <c r="H19" s="3"/>
      <c r="I19" s="3"/>
      <c r="J19" s="3">
        <f>'2019.10.31.'!I19</f>
        <v>0</v>
      </c>
      <c r="K19" s="20">
        <f t="shared" si="0"/>
        <v>599759</v>
      </c>
      <c r="L19" s="112">
        <v>599759</v>
      </c>
      <c r="M19" s="3">
        <f t="shared" si="1"/>
        <v>0</v>
      </c>
    </row>
    <row r="20" spans="1:13" x14ac:dyDescent="0.25">
      <c r="A20" s="255" t="s">
        <v>54</v>
      </c>
      <c r="B20" s="252" t="s">
        <v>21</v>
      </c>
      <c r="C20" s="2" t="s">
        <v>16</v>
      </c>
      <c r="D20" s="3">
        <v>4056383</v>
      </c>
      <c r="E20" s="3">
        <v>4056383</v>
      </c>
      <c r="F20" s="3">
        <f>'2019.10.31.'!F20</f>
        <v>0</v>
      </c>
      <c r="G20" s="3"/>
      <c r="H20" s="3"/>
      <c r="I20" s="3"/>
      <c r="J20" s="3">
        <f>'2019.10.31.'!I20</f>
        <v>0</v>
      </c>
      <c r="K20" s="20">
        <f t="shared" si="0"/>
        <v>4056383</v>
      </c>
      <c r="L20" s="112">
        <v>3042287</v>
      </c>
      <c r="M20" s="3">
        <f t="shared" si="1"/>
        <v>1014096</v>
      </c>
    </row>
    <row r="21" spans="1:13" x14ac:dyDescent="0.25">
      <c r="A21" s="257"/>
      <c r="B21" s="254"/>
      <c r="C21" s="2" t="s">
        <v>17</v>
      </c>
      <c r="D21" s="3">
        <v>226299</v>
      </c>
      <c r="E21" s="3">
        <v>226299</v>
      </c>
      <c r="F21" s="3">
        <f>'2019.10.31.'!F21</f>
        <v>0</v>
      </c>
      <c r="G21" s="3"/>
      <c r="H21" s="3"/>
      <c r="I21" s="3"/>
      <c r="J21" s="3">
        <f>'2019.10.31.'!I21</f>
        <v>0</v>
      </c>
      <c r="K21" s="20">
        <f t="shared" si="0"/>
        <v>226299</v>
      </c>
      <c r="L21" s="112">
        <v>226299</v>
      </c>
      <c r="M21" s="3">
        <f t="shared" si="1"/>
        <v>0</v>
      </c>
    </row>
    <row r="22" spans="1:13" x14ac:dyDescent="0.25">
      <c r="A22" s="258" t="s">
        <v>10</v>
      </c>
      <c r="B22" s="268" t="s">
        <v>21</v>
      </c>
      <c r="C22" s="2" t="s">
        <v>16</v>
      </c>
      <c r="D22" s="3">
        <v>53627392</v>
      </c>
      <c r="E22" s="3">
        <v>53627392</v>
      </c>
      <c r="F22" s="3">
        <f>'2019.10.31.'!F22</f>
        <v>0</v>
      </c>
      <c r="G22" s="3"/>
      <c r="H22" s="3"/>
      <c r="I22" s="3"/>
      <c r="J22" s="3">
        <f>'2019.10.31.'!I22</f>
        <v>0</v>
      </c>
      <c r="K22" s="20">
        <f t="shared" si="0"/>
        <v>53627392</v>
      </c>
      <c r="L22" s="112">
        <v>21324032</v>
      </c>
      <c r="M22" s="3">
        <f t="shared" si="1"/>
        <v>32303360</v>
      </c>
    </row>
    <row r="23" spans="1:13" x14ac:dyDescent="0.25">
      <c r="A23" s="258"/>
      <c r="B23" s="268"/>
      <c r="C23" s="2" t="s">
        <v>17</v>
      </c>
      <c r="D23" s="3">
        <v>6467166</v>
      </c>
      <c r="E23" s="3">
        <v>6467166</v>
      </c>
      <c r="F23" s="3">
        <f>'2019.10.31.'!F23</f>
        <v>0</v>
      </c>
      <c r="G23" s="3"/>
      <c r="H23" s="3"/>
      <c r="I23" s="3"/>
      <c r="J23" s="3">
        <f>'2019.10.31.'!I23</f>
        <v>0</v>
      </c>
      <c r="K23" s="20">
        <f t="shared" si="0"/>
        <v>6467166</v>
      </c>
      <c r="L23" s="112">
        <v>6467166</v>
      </c>
      <c r="M23" s="3">
        <f t="shared" si="1"/>
        <v>0</v>
      </c>
    </row>
    <row r="24" spans="1:13" ht="30" customHeight="1" x14ac:dyDescent="0.25">
      <c r="A24" s="395" t="s">
        <v>73</v>
      </c>
      <c r="B24" s="396"/>
      <c r="C24" s="397"/>
      <c r="D24" s="179">
        <f t="shared" ref="D24:M24" si="2">SUM(D5:D23)</f>
        <v>230443641</v>
      </c>
      <c r="E24" s="179">
        <f t="shared" si="2"/>
        <v>231774916</v>
      </c>
      <c r="F24" s="179">
        <f t="shared" si="2"/>
        <v>0</v>
      </c>
      <c r="G24" s="179">
        <f t="shared" si="2"/>
        <v>0</v>
      </c>
      <c r="H24" s="179">
        <f t="shared" si="2"/>
        <v>-420313</v>
      </c>
      <c r="I24" s="179">
        <f t="shared" si="2"/>
        <v>-1071771</v>
      </c>
      <c r="J24" s="179">
        <f t="shared" si="2"/>
        <v>86923</v>
      </c>
      <c r="K24" s="179">
        <f>SUM(K5:K23)</f>
        <v>230369755</v>
      </c>
      <c r="L24" s="180">
        <f t="shared" si="2"/>
        <v>161184991</v>
      </c>
      <c r="M24" s="179">
        <f t="shared" si="2"/>
        <v>69184764</v>
      </c>
    </row>
    <row r="25" spans="1:13" x14ac:dyDescent="0.25">
      <c r="A25" s="258" t="s">
        <v>11</v>
      </c>
      <c r="B25" s="252" t="s">
        <v>23</v>
      </c>
      <c r="C25" s="2" t="s">
        <v>24</v>
      </c>
      <c r="D25" s="3">
        <v>35883092</v>
      </c>
      <c r="E25" s="3">
        <v>35438980</v>
      </c>
      <c r="F25" s="3">
        <f>'2019.10.31.'!F25</f>
        <v>0</v>
      </c>
      <c r="G25" s="3"/>
      <c r="H25" s="3"/>
      <c r="I25" s="3"/>
      <c r="J25" s="3">
        <f>'2019.10.31.'!I25</f>
        <v>0</v>
      </c>
      <c r="K25" s="20">
        <f t="shared" ref="K25:K31" si="3">E25+F25+G25+I25+J25</f>
        <v>35438980</v>
      </c>
      <c r="L25" s="112">
        <v>27174704</v>
      </c>
      <c r="M25" s="3">
        <f t="shared" ref="M25:M31" si="4">K25-L25</f>
        <v>8264276</v>
      </c>
    </row>
    <row r="26" spans="1:13" x14ac:dyDescent="0.25">
      <c r="A26" s="258"/>
      <c r="B26" s="253"/>
      <c r="C26" s="2" t="s">
        <v>25</v>
      </c>
      <c r="D26" s="3">
        <v>1542000</v>
      </c>
      <c r="E26" s="3">
        <v>1542000</v>
      </c>
      <c r="F26" s="3">
        <f>'2019.10.31.'!F26</f>
        <v>0</v>
      </c>
      <c r="G26" s="3"/>
      <c r="H26" s="3"/>
      <c r="I26" s="3"/>
      <c r="J26" s="3">
        <f>'2019.10.31.'!I26</f>
        <v>0</v>
      </c>
      <c r="K26" s="20">
        <f t="shared" si="3"/>
        <v>1542000</v>
      </c>
      <c r="L26" s="112">
        <v>1425000</v>
      </c>
      <c r="M26" s="3">
        <f t="shared" si="4"/>
        <v>117000</v>
      </c>
    </row>
    <row r="27" spans="1:13" x14ac:dyDescent="0.25">
      <c r="A27" s="258"/>
      <c r="B27" s="253"/>
      <c r="C27" s="2" t="s">
        <v>26</v>
      </c>
      <c r="D27" s="3">
        <v>80000</v>
      </c>
      <c r="E27" s="3">
        <v>80000</v>
      </c>
      <c r="F27" s="3">
        <f>'2019.10.31.'!F27</f>
        <v>0</v>
      </c>
      <c r="G27" s="3"/>
      <c r="H27" s="3"/>
      <c r="I27" s="3"/>
      <c r="J27" s="3">
        <f>'2019.10.31.'!I27</f>
        <v>0</v>
      </c>
      <c r="K27" s="20">
        <f t="shared" si="3"/>
        <v>80000</v>
      </c>
      <c r="L27" s="112">
        <v>0</v>
      </c>
      <c r="M27" s="3">
        <f t="shared" si="4"/>
        <v>80000</v>
      </c>
    </row>
    <row r="28" spans="1:13" x14ac:dyDescent="0.25">
      <c r="A28" s="258"/>
      <c r="B28" s="253"/>
      <c r="C28" s="2" t="s">
        <v>27</v>
      </c>
      <c r="D28" s="3">
        <v>893400</v>
      </c>
      <c r="E28" s="3">
        <v>887586</v>
      </c>
      <c r="F28" s="3">
        <f>'2019.10.31.'!F28</f>
        <v>0</v>
      </c>
      <c r="G28" s="3"/>
      <c r="H28" s="3"/>
      <c r="I28" s="3"/>
      <c r="J28" s="3">
        <f>'2019.10.31.'!I28</f>
        <v>0</v>
      </c>
      <c r="K28" s="20">
        <f t="shared" si="3"/>
        <v>887586</v>
      </c>
      <c r="L28" s="112">
        <v>566364</v>
      </c>
      <c r="M28" s="3">
        <f t="shared" si="4"/>
        <v>321222</v>
      </c>
    </row>
    <row r="29" spans="1:13" x14ac:dyDescent="0.25">
      <c r="A29" s="258"/>
      <c r="B29" s="253"/>
      <c r="C29" s="2" t="s">
        <v>28</v>
      </c>
      <c r="D29" s="3">
        <v>190000</v>
      </c>
      <c r="E29" s="3">
        <v>190000</v>
      </c>
      <c r="F29" s="3">
        <f>'2019.10.31.'!F29</f>
        <v>0</v>
      </c>
      <c r="G29" s="3"/>
      <c r="H29" s="3"/>
      <c r="I29" s="3"/>
      <c r="J29" s="3">
        <f>'2019.10.31.'!I29</f>
        <v>0</v>
      </c>
      <c r="K29" s="20">
        <f t="shared" si="3"/>
        <v>190000</v>
      </c>
      <c r="L29" s="112">
        <v>93000</v>
      </c>
      <c r="M29" s="3">
        <f t="shared" si="4"/>
        <v>97000</v>
      </c>
    </row>
    <row r="30" spans="1:13" x14ac:dyDescent="0.25">
      <c r="A30" s="258"/>
      <c r="B30" s="253"/>
      <c r="C30" s="2" t="s">
        <v>29</v>
      </c>
      <c r="D30" s="3">
        <v>1086500</v>
      </c>
      <c r="E30" s="3">
        <v>1484179</v>
      </c>
      <c r="F30" s="3">
        <f>'2019.10.31.'!F30</f>
        <v>-69236</v>
      </c>
      <c r="G30" s="3"/>
      <c r="H30" s="3"/>
      <c r="I30" s="3"/>
      <c r="J30" s="3">
        <f>'2019.10.31.'!I30</f>
        <v>0</v>
      </c>
      <c r="K30" s="20">
        <f t="shared" si="3"/>
        <v>1414943</v>
      </c>
      <c r="L30" s="112">
        <v>703331</v>
      </c>
      <c r="M30" s="3">
        <f t="shared" si="4"/>
        <v>711612</v>
      </c>
    </row>
    <row r="31" spans="1:13" x14ac:dyDescent="0.25">
      <c r="A31" s="258"/>
      <c r="B31" s="253"/>
      <c r="C31" s="2" t="s">
        <v>30</v>
      </c>
      <c r="D31" s="3">
        <v>100000</v>
      </c>
      <c r="E31" s="3">
        <v>100000</v>
      </c>
      <c r="F31" s="3">
        <f>'2019.10.31.'!F31</f>
        <v>0</v>
      </c>
      <c r="G31" s="3"/>
      <c r="H31" s="3"/>
      <c r="I31" s="3"/>
      <c r="J31" s="3">
        <f>'2019.10.31.'!I31</f>
        <v>0</v>
      </c>
      <c r="K31" s="20">
        <f t="shared" si="3"/>
        <v>100000</v>
      </c>
      <c r="L31" s="112">
        <v>19652</v>
      </c>
      <c r="M31" s="3">
        <f t="shared" si="4"/>
        <v>80348</v>
      </c>
    </row>
    <row r="32" spans="1:13" x14ac:dyDescent="0.25">
      <c r="A32" s="258"/>
      <c r="B32" s="253"/>
      <c r="C32" s="6" t="s">
        <v>53</v>
      </c>
      <c r="D32" s="7">
        <f>SUM(D25:D31)</f>
        <v>39774992</v>
      </c>
      <c r="E32" s="7">
        <f t="shared" ref="E32:M32" si="5">SUM(E25:E31)</f>
        <v>39722745</v>
      </c>
      <c r="F32" s="7">
        <f t="shared" si="5"/>
        <v>-69236</v>
      </c>
      <c r="G32" s="7">
        <f t="shared" si="5"/>
        <v>0</v>
      </c>
      <c r="H32" s="7">
        <f t="shared" si="5"/>
        <v>0</v>
      </c>
      <c r="I32" s="7">
        <f t="shared" si="5"/>
        <v>0</v>
      </c>
      <c r="J32" s="7">
        <f t="shared" si="5"/>
        <v>0</v>
      </c>
      <c r="K32" s="7">
        <f t="shared" si="5"/>
        <v>39653509</v>
      </c>
      <c r="L32" s="114">
        <f t="shared" si="5"/>
        <v>29982051</v>
      </c>
      <c r="M32" s="7">
        <f t="shared" si="5"/>
        <v>9671458</v>
      </c>
    </row>
    <row r="33" spans="1:13" x14ac:dyDescent="0.25">
      <c r="A33" s="258"/>
      <c r="B33" s="253"/>
      <c r="C33" s="86" t="s">
        <v>31</v>
      </c>
      <c r="D33" s="87">
        <v>7793417</v>
      </c>
      <c r="E33" s="87">
        <v>7795732</v>
      </c>
      <c r="F33" s="89">
        <f>'2019.10.31.'!F33</f>
        <v>0</v>
      </c>
      <c r="G33" s="89"/>
      <c r="H33" s="89"/>
      <c r="I33" s="89"/>
      <c r="J33" s="89">
        <f>'2019.10.31.'!I33</f>
        <v>0</v>
      </c>
      <c r="K33" s="88">
        <f t="shared" ref="K33:K47" si="6">E33+F33+G33+I33+J33</f>
        <v>7795732</v>
      </c>
      <c r="L33" s="115">
        <v>6110791</v>
      </c>
      <c r="M33" s="89">
        <f t="shared" ref="M33:M47" si="7">K33-L33</f>
        <v>1684941</v>
      </c>
    </row>
    <row r="34" spans="1:13" x14ac:dyDescent="0.25">
      <c r="A34" s="258"/>
      <c r="B34" s="253"/>
      <c r="C34" s="2" t="s">
        <v>32</v>
      </c>
      <c r="D34" s="3">
        <v>105000</v>
      </c>
      <c r="E34" s="3">
        <v>115000</v>
      </c>
      <c r="F34" s="60">
        <f>'2019.10.31.'!F34</f>
        <v>0</v>
      </c>
      <c r="G34" s="60"/>
      <c r="H34" s="60"/>
      <c r="I34" s="60"/>
      <c r="J34" s="60">
        <f>'2019.10.31.'!I34</f>
        <v>0</v>
      </c>
      <c r="K34" s="20">
        <f t="shared" si="6"/>
        <v>115000</v>
      </c>
      <c r="L34" s="112">
        <v>24818</v>
      </c>
      <c r="M34" s="3">
        <f t="shared" si="7"/>
        <v>90182</v>
      </c>
    </row>
    <row r="35" spans="1:13" x14ac:dyDescent="0.25">
      <c r="A35" s="258"/>
      <c r="B35" s="253"/>
      <c r="C35" s="2" t="s">
        <v>33</v>
      </c>
      <c r="D35" s="3">
        <v>500000</v>
      </c>
      <c r="E35" s="3">
        <v>500000</v>
      </c>
      <c r="F35" s="60">
        <f>'2019.10.31.'!F35</f>
        <v>0</v>
      </c>
      <c r="G35" s="60"/>
      <c r="H35" s="60"/>
      <c r="I35" s="60"/>
      <c r="J35" s="60">
        <f>'2019.10.31.'!I35</f>
        <v>0</v>
      </c>
      <c r="K35" s="20">
        <f t="shared" si="6"/>
        <v>500000</v>
      </c>
      <c r="L35" s="112">
        <v>1922</v>
      </c>
      <c r="M35" s="3">
        <f t="shared" si="7"/>
        <v>498078</v>
      </c>
    </row>
    <row r="36" spans="1:13" x14ac:dyDescent="0.25">
      <c r="A36" s="258"/>
      <c r="B36" s="253"/>
      <c r="C36" s="2" t="s">
        <v>34</v>
      </c>
      <c r="D36" s="3">
        <v>213000</v>
      </c>
      <c r="E36" s="3">
        <v>213000</v>
      </c>
      <c r="F36" s="60">
        <f>'2019.10.31.'!F36</f>
        <v>0</v>
      </c>
      <c r="G36" s="60"/>
      <c r="H36" s="60"/>
      <c r="I36" s="60"/>
      <c r="J36" s="60">
        <f>'2019.10.31.'!I36</f>
        <v>0</v>
      </c>
      <c r="K36" s="20">
        <f t="shared" si="6"/>
        <v>213000</v>
      </c>
      <c r="L36" s="112">
        <v>95487</v>
      </c>
      <c r="M36" s="3">
        <f t="shared" si="7"/>
        <v>117513</v>
      </c>
    </row>
    <row r="37" spans="1:13" x14ac:dyDescent="0.25">
      <c r="A37" s="258"/>
      <c r="B37" s="253"/>
      <c r="C37" s="2" t="s">
        <v>35</v>
      </c>
      <c r="D37" s="3">
        <v>162000</v>
      </c>
      <c r="E37" s="3">
        <v>162000</v>
      </c>
      <c r="F37" s="60">
        <f>'2019.10.31.'!F37</f>
        <v>0</v>
      </c>
      <c r="G37" s="60"/>
      <c r="H37" s="60"/>
      <c r="I37" s="60"/>
      <c r="J37" s="60">
        <f>'2019.10.31.'!I37</f>
        <v>0</v>
      </c>
      <c r="K37" s="20">
        <f t="shared" si="6"/>
        <v>162000</v>
      </c>
      <c r="L37" s="112">
        <v>56715</v>
      </c>
      <c r="M37" s="3">
        <f t="shared" si="7"/>
        <v>105285</v>
      </c>
    </row>
    <row r="38" spans="1:13" x14ac:dyDescent="0.25">
      <c r="A38" s="258"/>
      <c r="B38" s="253"/>
      <c r="C38" s="2" t="s">
        <v>36</v>
      </c>
      <c r="D38" s="3">
        <v>569540</v>
      </c>
      <c r="E38" s="3">
        <v>569540</v>
      </c>
      <c r="F38" s="60">
        <f>'2019.10.31.'!F38</f>
        <v>0</v>
      </c>
      <c r="G38" s="60"/>
      <c r="H38" s="60"/>
      <c r="I38" s="60"/>
      <c r="J38" s="60">
        <f>'2019.10.31.'!I38</f>
        <v>0</v>
      </c>
      <c r="K38" s="20">
        <f t="shared" si="6"/>
        <v>569540</v>
      </c>
      <c r="L38" s="112">
        <v>388149</v>
      </c>
      <c r="M38" s="3">
        <f t="shared" si="7"/>
        <v>181391</v>
      </c>
    </row>
    <row r="39" spans="1:13" x14ac:dyDescent="0.25">
      <c r="A39" s="258"/>
      <c r="B39" s="253"/>
      <c r="C39" s="2" t="s">
        <v>37</v>
      </c>
      <c r="D39" s="3">
        <v>3000</v>
      </c>
      <c r="E39" s="3">
        <v>3000</v>
      </c>
      <c r="F39" s="60">
        <f>'2019.10.31.'!F39</f>
        <v>0</v>
      </c>
      <c r="G39" s="60"/>
      <c r="H39" s="60"/>
      <c r="I39" s="60"/>
      <c r="J39" s="60">
        <f>'2019.10.31.'!I39</f>
        <v>0</v>
      </c>
      <c r="K39" s="20">
        <f t="shared" si="6"/>
        <v>3000</v>
      </c>
      <c r="L39" s="112">
        <v>0</v>
      </c>
      <c r="M39" s="3">
        <f t="shared" si="7"/>
        <v>3000</v>
      </c>
    </row>
    <row r="40" spans="1:13" x14ac:dyDescent="0.25">
      <c r="A40" s="258"/>
      <c r="B40" s="253"/>
      <c r="C40" s="2" t="s">
        <v>38</v>
      </c>
      <c r="D40" s="3">
        <v>460000</v>
      </c>
      <c r="E40" s="3">
        <v>456500</v>
      </c>
      <c r="F40" s="60">
        <f>'2019.10.31.'!F40</f>
        <v>0</v>
      </c>
      <c r="G40" s="60"/>
      <c r="H40" s="60"/>
      <c r="I40" s="60"/>
      <c r="J40" s="60">
        <f>'2019.10.31.'!I40</f>
        <v>0</v>
      </c>
      <c r="K40" s="20">
        <f t="shared" si="6"/>
        <v>456500</v>
      </c>
      <c r="L40" s="112">
        <v>189040</v>
      </c>
      <c r="M40" s="3">
        <f t="shared" si="7"/>
        <v>267460</v>
      </c>
    </row>
    <row r="41" spans="1:13" x14ac:dyDescent="0.25">
      <c r="A41" s="258"/>
      <c r="B41" s="253"/>
      <c r="C41" s="2" t="s">
        <v>39</v>
      </c>
      <c r="D41" s="3">
        <v>13200</v>
      </c>
      <c r="E41" s="3">
        <v>31926</v>
      </c>
      <c r="F41" s="60">
        <f>'2019.10.31.'!F41</f>
        <v>0</v>
      </c>
      <c r="G41" s="60"/>
      <c r="H41" s="60"/>
      <c r="I41" s="60"/>
      <c r="J41" s="60">
        <f>'2019.10.31.'!I41</f>
        <v>0</v>
      </c>
      <c r="K41" s="20">
        <f t="shared" si="6"/>
        <v>31926</v>
      </c>
      <c r="L41" s="112">
        <v>24072</v>
      </c>
      <c r="M41" s="60">
        <f t="shared" si="7"/>
        <v>7854</v>
      </c>
    </row>
    <row r="42" spans="1:13" x14ac:dyDescent="0.25">
      <c r="A42" s="258"/>
      <c r="B42" s="253"/>
      <c r="C42" s="2" t="s">
        <v>40</v>
      </c>
      <c r="D42" s="3">
        <v>137800</v>
      </c>
      <c r="E42" s="3">
        <v>62800</v>
      </c>
      <c r="F42" s="60">
        <f>'2019.10.31.'!F42</f>
        <v>0</v>
      </c>
      <c r="G42" s="60"/>
      <c r="H42" s="60"/>
      <c r="I42" s="60"/>
      <c r="J42" s="60">
        <f>'2019.10.31.'!I42</f>
        <v>0</v>
      </c>
      <c r="K42" s="20">
        <f t="shared" si="6"/>
        <v>62800</v>
      </c>
      <c r="L42" s="112">
        <v>53500</v>
      </c>
      <c r="M42" s="3">
        <f t="shared" si="7"/>
        <v>9300</v>
      </c>
    </row>
    <row r="43" spans="1:13" x14ac:dyDescent="0.25">
      <c r="A43" s="258"/>
      <c r="B43" s="253"/>
      <c r="C43" s="2" t="s">
        <v>41</v>
      </c>
      <c r="D43" s="3">
        <v>582236</v>
      </c>
      <c r="E43" s="3">
        <v>578510</v>
      </c>
      <c r="F43" s="60">
        <f>'2019.10.31.'!F43+30000</f>
        <v>30000</v>
      </c>
      <c r="G43" s="60"/>
      <c r="H43" s="60"/>
      <c r="I43" s="60"/>
      <c r="J43" s="60">
        <f>'2019.10.31.'!I43</f>
        <v>0</v>
      </c>
      <c r="K43" s="20">
        <f t="shared" si="6"/>
        <v>608510</v>
      </c>
      <c r="L43" s="112">
        <v>503727</v>
      </c>
      <c r="M43" s="3">
        <f t="shared" si="7"/>
        <v>104783</v>
      </c>
    </row>
    <row r="44" spans="1:13" x14ac:dyDescent="0.25">
      <c r="A44" s="258"/>
      <c r="B44" s="253"/>
      <c r="C44" s="2" t="s">
        <v>42</v>
      </c>
      <c r="D44" s="3">
        <v>552000</v>
      </c>
      <c r="E44" s="3">
        <v>534045</v>
      </c>
      <c r="F44" s="60">
        <f>'2019.10.31.'!F44-30000</f>
        <v>-30000</v>
      </c>
      <c r="G44" s="60"/>
      <c r="H44" s="60"/>
      <c r="I44" s="60"/>
      <c r="J44" s="60">
        <f>'2019.10.31.'!I44</f>
        <v>0</v>
      </c>
      <c r="K44" s="20">
        <f t="shared" si="6"/>
        <v>504045</v>
      </c>
      <c r="L44" s="112">
        <v>322040</v>
      </c>
      <c r="M44" s="3">
        <f t="shared" si="7"/>
        <v>182005</v>
      </c>
    </row>
    <row r="45" spans="1:13" x14ac:dyDescent="0.25">
      <c r="A45" s="258"/>
      <c r="B45" s="253"/>
      <c r="C45" s="2" t="s">
        <v>43</v>
      </c>
      <c r="D45" s="3">
        <v>30000</v>
      </c>
      <c r="E45" s="3">
        <v>30000</v>
      </c>
      <c r="F45" s="60">
        <f>'2019.10.31.'!F45</f>
        <v>0</v>
      </c>
      <c r="G45" s="60"/>
      <c r="H45" s="60"/>
      <c r="I45" s="60"/>
      <c r="J45" s="60">
        <f>'2019.10.31.'!I45</f>
        <v>0</v>
      </c>
      <c r="K45" s="20">
        <f t="shared" si="6"/>
        <v>30000</v>
      </c>
      <c r="L45" s="112">
        <v>0</v>
      </c>
      <c r="M45" s="3">
        <f t="shared" si="7"/>
        <v>30000</v>
      </c>
    </row>
    <row r="46" spans="1:13" x14ac:dyDescent="0.25">
      <c r="A46" s="258"/>
      <c r="B46" s="253"/>
      <c r="C46" s="2" t="s">
        <v>44</v>
      </c>
      <c r="D46" s="3">
        <v>455834</v>
      </c>
      <c r="E46" s="3">
        <v>218435</v>
      </c>
      <c r="F46" s="60">
        <f>'2019.10.31.'!F46</f>
        <v>0</v>
      </c>
      <c r="G46" s="60"/>
      <c r="H46" s="60"/>
      <c r="I46" s="60"/>
      <c r="J46" s="60">
        <f>'2019.10.31.'!I46</f>
        <v>0</v>
      </c>
      <c r="K46" s="20">
        <f t="shared" si="6"/>
        <v>218435</v>
      </c>
      <c r="L46" s="112">
        <v>132970</v>
      </c>
      <c r="M46" s="3">
        <f t="shared" si="7"/>
        <v>85465</v>
      </c>
    </row>
    <row r="47" spans="1:13" x14ac:dyDescent="0.25">
      <c r="A47" s="258"/>
      <c r="B47" s="253"/>
      <c r="C47" s="2" t="s">
        <v>45</v>
      </c>
      <c r="D47" s="3">
        <v>80000</v>
      </c>
      <c r="E47" s="3">
        <v>75764</v>
      </c>
      <c r="F47" s="60">
        <f>'2019.10.31.'!F47</f>
        <v>0</v>
      </c>
      <c r="G47" s="60"/>
      <c r="H47" s="60"/>
      <c r="I47" s="60"/>
      <c r="J47" s="60">
        <f>'2019.10.31.'!I47</f>
        <v>0</v>
      </c>
      <c r="K47" s="20">
        <f t="shared" si="6"/>
        <v>75764</v>
      </c>
      <c r="L47" s="112">
        <v>63943</v>
      </c>
      <c r="M47" s="3">
        <f t="shared" si="7"/>
        <v>11821</v>
      </c>
    </row>
    <row r="48" spans="1:13" x14ac:dyDescent="0.25">
      <c r="A48" s="258"/>
      <c r="B48" s="253"/>
      <c r="C48" s="6" t="s">
        <v>49</v>
      </c>
      <c r="D48" s="7">
        <f>SUM(D34:D47)</f>
        <v>3863610</v>
      </c>
      <c r="E48" s="7">
        <v>3550520</v>
      </c>
      <c r="F48" s="7">
        <f t="shared" ref="F48:M48" si="8">SUM(F34:F47)</f>
        <v>0</v>
      </c>
      <c r="G48" s="7">
        <f t="shared" si="8"/>
        <v>0</v>
      </c>
      <c r="H48" s="7">
        <f t="shared" si="8"/>
        <v>0</v>
      </c>
      <c r="I48" s="7">
        <f t="shared" si="8"/>
        <v>0</v>
      </c>
      <c r="J48" s="7">
        <f t="shared" si="8"/>
        <v>0</v>
      </c>
      <c r="K48" s="7">
        <f t="shared" si="8"/>
        <v>3550520</v>
      </c>
      <c r="L48" s="114">
        <f t="shared" si="8"/>
        <v>1856383</v>
      </c>
      <c r="M48" s="7">
        <f t="shared" si="8"/>
        <v>1694137</v>
      </c>
    </row>
    <row r="49" spans="1:13" x14ac:dyDescent="0.25">
      <c r="A49" s="258"/>
      <c r="B49" s="253"/>
      <c r="C49" s="2" t="s">
        <v>50</v>
      </c>
      <c r="D49" s="3">
        <v>78740</v>
      </c>
      <c r="E49" s="3">
        <v>78740</v>
      </c>
      <c r="F49" s="60">
        <f>'2019.10.31.'!F49</f>
        <v>0</v>
      </c>
      <c r="G49" s="60"/>
      <c r="H49" s="60"/>
      <c r="I49" s="60"/>
      <c r="J49" s="60">
        <f>'2019.10.31.'!I49</f>
        <v>0</v>
      </c>
      <c r="K49" s="20">
        <f t="shared" ref="K49:K50" si="9">E49+F49+G49+I49+J49</f>
        <v>78740</v>
      </c>
      <c r="L49" s="112">
        <v>0</v>
      </c>
      <c r="M49" s="3">
        <f t="shared" ref="M49:M50" si="10">K49-L49</f>
        <v>78740</v>
      </c>
    </row>
    <row r="50" spans="1:13" x14ac:dyDescent="0.25">
      <c r="A50" s="258"/>
      <c r="B50" s="253"/>
      <c r="C50" s="2" t="s">
        <v>51</v>
      </c>
      <c r="D50" s="3">
        <v>21260</v>
      </c>
      <c r="E50" s="3">
        <v>21260</v>
      </c>
      <c r="F50" s="60">
        <f>'2019.10.31.'!F50</f>
        <v>0</v>
      </c>
      <c r="G50" s="60"/>
      <c r="H50" s="60"/>
      <c r="I50" s="60"/>
      <c r="J50" s="60">
        <f>'2019.10.31.'!I50</f>
        <v>0</v>
      </c>
      <c r="K50" s="20">
        <f t="shared" si="9"/>
        <v>21260</v>
      </c>
      <c r="L50" s="112">
        <v>0</v>
      </c>
      <c r="M50" s="3">
        <f t="shared" si="10"/>
        <v>21260</v>
      </c>
    </row>
    <row r="51" spans="1:13" x14ac:dyDescent="0.25">
      <c r="A51" s="258"/>
      <c r="B51" s="254"/>
      <c r="C51" s="6" t="s">
        <v>52</v>
      </c>
      <c r="D51" s="7">
        <f>SUM(D49:D50)</f>
        <v>100000</v>
      </c>
      <c r="E51" s="7">
        <v>100000</v>
      </c>
      <c r="F51" s="7">
        <f t="shared" ref="F51:M51" si="11">SUM(F49:F50)</f>
        <v>0</v>
      </c>
      <c r="G51" s="7">
        <f t="shared" si="11"/>
        <v>0</v>
      </c>
      <c r="H51" s="7">
        <f t="shared" si="11"/>
        <v>0</v>
      </c>
      <c r="I51" s="7">
        <f t="shared" si="11"/>
        <v>0</v>
      </c>
      <c r="J51" s="7">
        <f t="shared" si="11"/>
        <v>0</v>
      </c>
      <c r="K51" s="7">
        <f t="shared" si="11"/>
        <v>100000</v>
      </c>
      <c r="L51" s="114">
        <f t="shared" si="11"/>
        <v>0</v>
      </c>
      <c r="M51" s="7">
        <f t="shared" si="11"/>
        <v>100000</v>
      </c>
    </row>
    <row r="52" spans="1:13" x14ac:dyDescent="0.25">
      <c r="A52" s="258"/>
      <c r="B52" s="268" t="s">
        <v>46</v>
      </c>
      <c r="C52" s="2" t="s">
        <v>24</v>
      </c>
      <c r="D52" s="3">
        <v>25123345</v>
      </c>
      <c r="E52" s="3">
        <v>25143281</v>
      </c>
      <c r="F52" s="60">
        <f>'2019.10.31.'!F52-50381-375000</f>
        <v>-425381</v>
      </c>
      <c r="G52" s="60"/>
      <c r="H52" s="60"/>
      <c r="I52" s="60"/>
      <c r="J52" s="60">
        <f>'2019.10.31.'!I52</f>
        <v>31806</v>
      </c>
      <c r="K52" s="20">
        <f t="shared" ref="K52:K60" si="12">E52+F52+G52+I52+J52</f>
        <v>24749706</v>
      </c>
      <c r="L52" s="112">
        <v>18827037</v>
      </c>
      <c r="M52" s="3">
        <f t="shared" ref="M52:M60" si="13">K52-L52</f>
        <v>5922669</v>
      </c>
    </row>
    <row r="53" spans="1:13" x14ac:dyDescent="0.25">
      <c r="A53" s="258"/>
      <c r="B53" s="268"/>
      <c r="C53" s="2" t="s">
        <v>47</v>
      </c>
      <c r="D53" s="3">
        <v>2040480</v>
      </c>
      <c r="E53" s="3">
        <v>2040480</v>
      </c>
      <c r="F53" s="60">
        <f>'2019.10.31.'!F53</f>
        <v>0</v>
      </c>
      <c r="G53" s="60"/>
      <c r="H53" s="60"/>
      <c r="I53" s="60"/>
      <c r="J53" s="60">
        <f>'2019.10.31.'!I53</f>
        <v>0</v>
      </c>
      <c r="K53" s="20">
        <f t="shared" si="12"/>
        <v>2040480</v>
      </c>
      <c r="L53" s="112">
        <v>1595194</v>
      </c>
      <c r="M53" s="3">
        <f t="shared" si="13"/>
        <v>445286</v>
      </c>
    </row>
    <row r="54" spans="1:13" x14ac:dyDescent="0.25">
      <c r="A54" s="258"/>
      <c r="B54" s="268"/>
      <c r="C54" s="2" t="s">
        <v>48</v>
      </c>
      <c r="D54" s="3">
        <v>0</v>
      </c>
      <c r="E54" s="3">
        <v>0</v>
      </c>
      <c r="F54" s="60">
        <f>'2019.10.31.'!F54</f>
        <v>0</v>
      </c>
      <c r="G54" s="60"/>
      <c r="H54" s="60"/>
      <c r="I54" s="60"/>
      <c r="J54" s="60">
        <f>'2019.10.31.'!I54</f>
        <v>0</v>
      </c>
      <c r="K54" s="20">
        <f t="shared" si="12"/>
        <v>0</v>
      </c>
      <c r="L54" s="112">
        <v>0</v>
      </c>
      <c r="M54" s="3">
        <f t="shared" si="13"/>
        <v>0</v>
      </c>
    </row>
    <row r="55" spans="1:13" x14ac:dyDescent="0.25">
      <c r="A55" s="258"/>
      <c r="B55" s="268"/>
      <c r="C55" s="2" t="s">
        <v>25</v>
      </c>
      <c r="D55" s="3">
        <v>1025000</v>
      </c>
      <c r="E55" s="3">
        <v>1025000</v>
      </c>
      <c r="F55" s="60">
        <f>'2019.10.31.'!F55</f>
        <v>0</v>
      </c>
      <c r="G55" s="60"/>
      <c r="H55" s="60"/>
      <c r="I55" s="60"/>
      <c r="J55" s="60">
        <f>'2019.10.31.'!I55</f>
        <v>0</v>
      </c>
      <c r="K55" s="20">
        <f t="shared" si="12"/>
        <v>1025000</v>
      </c>
      <c r="L55" s="112">
        <v>925000</v>
      </c>
      <c r="M55" s="3">
        <f t="shared" si="13"/>
        <v>100000</v>
      </c>
    </row>
    <row r="56" spans="1:13" x14ac:dyDescent="0.25">
      <c r="A56" s="258"/>
      <c r="B56" s="268"/>
      <c r="C56" s="2" t="s">
        <v>26</v>
      </c>
      <c r="D56" s="3">
        <v>60000</v>
      </c>
      <c r="E56" s="3">
        <v>60000</v>
      </c>
      <c r="F56" s="60">
        <f>'2019.10.31.'!F56</f>
        <v>0</v>
      </c>
      <c r="G56" s="60"/>
      <c r="H56" s="60"/>
      <c r="I56" s="60"/>
      <c r="J56" s="60">
        <f>'2019.10.31.'!I56</f>
        <v>0</v>
      </c>
      <c r="K56" s="20">
        <f t="shared" si="12"/>
        <v>60000</v>
      </c>
      <c r="L56" s="112">
        <v>0</v>
      </c>
      <c r="M56" s="3">
        <f t="shared" si="13"/>
        <v>60000</v>
      </c>
    </row>
    <row r="57" spans="1:13" x14ac:dyDescent="0.25">
      <c r="A57" s="258"/>
      <c r="B57" s="268"/>
      <c r="C57" s="2" t="s">
        <v>27</v>
      </c>
      <c r="D57" s="3">
        <v>240000</v>
      </c>
      <c r="E57" s="3">
        <v>229902</v>
      </c>
      <c r="F57" s="60">
        <f>'2019.10.31.'!F57</f>
        <v>0</v>
      </c>
      <c r="G57" s="60"/>
      <c r="H57" s="60"/>
      <c r="I57" s="60"/>
      <c r="J57" s="60">
        <f>'2019.10.31.'!I57</f>
        <v>0</v>
      </c>
      <c r="K57" s="20">
        <f t="shared" si="12"/>
        <v>229902</v>
      </c>
      <c r="L57" s="112">
        <v>129870</v>
      </c>
      <c r="M57" s="3">
        <f t="shared" si="13"/>
        <v>100032</v>
      </c>
    </row>
    <row r="58" spans="1:13" x14ac:dyDescent="0.25">
      <c r="A58" s="258"/>
      <c r="B58" s="268"/>
      <c r="C58" s="2" t="s">
        <v>28</v>
      </c>
      <c r="D58" s="3">
        <v>147000</v>
      </c>
      <c r="E58" s="3">
        <v>147000</v>
      </c>
      <c r="F58" s="60">
        <f>'2019.10.31.'!F58</f>
        <v>0</v>
      </c>
      <c r="G58" s="60"/>
      <c r="H58" s="60"/>
      <c r="I58" s="60"/>
      <c r="J58" s="60">
        <f>'2019.10.31.'!I58</f>
        <v>0</v>
      </c>
      <c r="K58" s="20">
        <f t="shared" si="12"/>
        <v>147000</v>
      </c>
      <c r="L58" s="112">
        <v>57000</v>
      </c>
      <c r="M58" s="3">
        <f t="shared" si="13"/>
        <v>90000</v>
      </c>
    </row>
    <row r="59" spans="1:13" x14ac:dyDescent="0.25">
      <c r="A59" s="258"/>
      <c r="B59" s="268"/>
      <c r="C59" s="2" t="s">
        <v>29</v>
      </c>
      <c r="D59" s="3">
        <v>553500</v>
      </c>
      <c r="E59" s="3">
        <v>523080</v>
      </c>
      <c r="F59" s="60">
        <f>'2019.10.31.'!F59+50381+375000</f>
        <v>494617</v>
      </c>
      <c r="G59" s="60"/>
      <c r="H59" s="60"/>
      <c r="I59" s="60"/>
      <c r="J59" s="60">
        <f>'2019.10.31.'!I59</f>
        <v>0</v>
      </c>
      <c r="K59" s="20">
        <f t="shared" si="12"/>
        <v>1017697</v>
      </c>
      <c r="L59" s="112">
        <v>592316</v>
      </c>
      <c r="M59" s="3">
        <f t="shared" si="13"/>
        <v>425381</v>
      </c>
    </row>
    <row r="60" spans="1:13" x14ac:dyDescent="0.25">
      <c r="A60" s="258"/>
      <c r="B60" s="268"/>
      <c r="C60" s="2" t="s">
        <v>30</v>
      </c>
      <c r="D60" s="3">
        <v>100000</v>
      </c>
      <c r="E60" s="3">
        <v>100000</v>
      </c>
      <c r="F60" s="60">
        <f>'2019.10.31.'!F60</f>
        <v>0</v>
      </c>
      <c r="G60" s="60"/>
      <c r="H60" s="60"/>
      <c r="I60" s="60"/>
      <c r="J60" s="60">
        <f>'2019.10.31.'!I60</f>
        <v>0</v>
      </c>
      <c r="K60" s="20">
        <f t="shared" si="12"/>
        <v>100000</v>
      </c>
      <c r="L60" s="112">
        <v>19652</v>
      </c>
      <c r="M60" s="3">
        <f t="shared" si="13"/>
        <v>80348</v>
      </c>
    </row>
    <row r="61" spans="1:13" x14ac:dyDescent="0.25">
      <c r="A61" s="258"/>
      <c r="B61" s="268"/>
      <c r="C61" s="6" t="s">
        <v>53</v>
      </c>
      <c r="D61" s="7">
        <f>SUM(D52:D60)</f>
        <v>29289325</v>
      </c>
      <c r="E61" s="7">
        <v>29268743</v>
      </c>
      <c r="F61" s="7">
        <f t="shared" ref="F61:M61" si="14">SUM(F52:F60)</f>
        <v>69236</v>
      </c>
      <c r="G61" s="7">
        <f t="shared" si="14"/>
        <v>0</v>
      </c>
      <c r="H61" s="7">
        <f t="shared" si="14"/>
        <v>0</v>
      </c>
      <c r="I61" s="7">
        <f t="shared" si="14"/>
        <v>0</v>
      </c>
      <c r="J61" s="7">
        <f t="shared" si="14"/>
        <v>31806</v>
      </c>
      <c r="K61" s="7">
        <f t="shared" si="14"/>
        <v>29369785</v>
      </c>
      <c r="L61" s="114">
        <f t="shared" si="14"/>
        <v>22146069</v>
      </c>
      <c r="M61" s="7">
        <f t="shared" si="14"/>
        <v>7223716</v>
      </c>
    </row>
    <row r="62" spans="1:13" x14ac:dyDescent="0.25">
      <c r="A62" s="258"/>
      <c r="B62" s="268"/>
      <c r="C62" s="86" t="s">
        <v>31</v>
      </c>
      <c r="D62" s="87">
        <v>5849797</v>
      </c>
      <c r="E62" s="87">
        <v>5853685</v>
      </c>
      <c r="F62" s="89">
        <f>'2019.10.31.'!F62</f>
        <v>0</v>
      </c>
      <c r="G62" s="89"/>
      <c r="H62" s="89"/>
      <c r="I62" s="89"/>
      <c r="J62" s="89">
        <f>'2019.10.31.'!I62</f>
        <v>5566</v>
      </c>
      <c r="K62" s="88">
        <f t="shared" ref="K62:K75" si="15">E62+F62+G62+I62+J62</f>
        <v>5859251</v>
      </c>
      <c r="L62" s="115">
        <v>4688239</v>
      </c>
      <c r="M62" s="89">
        <f t="shared" ref="M62:M75" si="16">K62-L62</f>
        <v>1171012</v>
      </c>
    </row>
    <row r="63" spans="1:13" x14ac:dyDescent="0.25">
      <c r="A63" s="258"/>
      <c r="B63" s="268"/>
      <c r="C63" s="2" t="s">
        <v>32</v>
      </c>
      <c r="D63" s="3">
        <v>105000</v>
      </c>
      <c r="E63" s="3">
        <v>105000</v>
      </c>
      <c r="F63" s="60">
        <f>'2019.10.31.'!F63</f>
        <v>-13514</v>
      </c>
      <c r="G63" s="60"/>
      <c r="H63" s="60"/>
      <c r="I63" s="60"/>
      <c r="J63" s="60">
        <f>'2019.10.31.'!I63</f>
        <v>0</v>
      </c>
      <c r="K63" s="20">
        <f t="shared" si="15"/>
        <v>91486</v>
      </c>
      <c r="L63" s="112">
        <v>24820</v>
      </c>
      <c r="M63" s="3">
        <f t="shared" si="16"/>
        <v>66666</v>
      </c>
    </row>
    <row r="64" spans="1:13" x14ac:dyDescent="0.25">
      <c r="A64" s="258"/>
      <c r="B64" s="268"/>
      <c r="C64" s="2" t="s">
        <v>33</v>
      </c>
      <c r="D64" s="3">
        <v>700000</v>
      </c>
      <c r="E64" s="3">
        <v>700000</v>
      </c>
      <c r="F64" s="60">
        <f>'2019.10.31.'!F64-500000</f>
        <v>-500000</v>
      </c>
      <c r="G64" s="3"/>
      <c r="H64" s="3"/>
      <c r="I64" s="3"/>
      <c r="J64" s="60">
        <f>'2019.10.31.'!I64</f>
        <v>0</v>
      </c>
      <c r="K64" s="20">
        <f t="shared" si="15"/>
        <v>200000</v>
      </c>
      <c r="L64" s="112">
        <v>43894</v>
      </c>
      <c r="M64" s="3">
        <f t="shared" si="16"/>
        <v>156106</v>
      </c>
    </row>
    <row r="65" spans="1:13" x14ac:dyDescent="0.25">
      <c r="A65" s="258"/>
      <c r="B65" s="268"/>
      <c r="C65" s="2" t="s">
        <v>34</v>
      </c>
      <c r="D65" s="3">
        <v>213000</v>
      </c>
      <c r="E65" s="3">
        <v>213000</v>
      </c>
      <c r="F65" s="60">
        <f>'2019.10.31.'!F65</f>
        <v>0</v>
      </c>
      <c r="G65" s="3"/>
      <c r="H65" s="3"/>
      <c r="I65" s="3"/>
      <c r="J65" s="60">
        <f>'2019.10.31.'!I65</f>
        <v>0</v>
      </c>
      <c r="K65" s="20">
        <f t="shared" si="15"/>
        <v>213000</v>
      </c>
      <c r="L65" s="112">
        <v>87869</v>
      </c>
      <c r="M65" s="3">
        <f t="shared" si="16"/>
        <v>125131</v>
      </c>
    </row>
    <row r="66" spans="1:13" x14ac:dyDescent="0.25">
      <c r="A66" s="258"/>
      <c r="B66" s="268"/>
      <c r="C66" s="2" t="s">
        <v>35</v>
      </c>
      <c r="D66" s="3">
        <v>288000</v>
      </c>
      <c r="E66" s="3">
        <v>122200</v>
      </c>
      <c r="F66" s="60">
        <f>'2019.10.31.'!F66</f>
        <v>0</v>
      </c>
      <c r="G66" s="3"/>
      <c r="H66" s="3"/>
      <c r="I66" s="3"/>
      <c r="J66" s="60">
        <f>'2019.10.31.'!I66</f>
        <v>0</v>
      </c>
      <c r="K66" s="20">
        <f t="shared" si="15"/>
        <v>122200</v>
      </c>
      <c r="L66" s="112">
        <v>93967</v>
      </c>
      <c r="M66" s="3">
        <f t="shared" si="16"/>
        <v>28233</v>
      </c>
    </row>
    <row r="67" spans="1:13" x14ac:dyDescent="0.25">
      <c r="A67" s="258"/>
      <c r="B67" s="268"/>
      <c r="C67" s="2" t="s">
        <v>36</v>
      </c>
      <c r="D67" s="3">
        <v>669540</v>
      </c>
      <c r="E67" s="3">
        <v>669540</v>
      </c>
      <c r="F67" s="60">
        <f>'2019.10.31.'!F67</f>
        <v>0</v>
      </c>
      <c r="G67" s="3"/>
      <c r="H67" s="3"/>
      <c r="I67" s="3"/>
      <c r="J67" s="60">
        <f>'2019.10.31.'!I67</f>
        <v>0</v>
      </c>
      <c r="K67" s="20">
        <f t="shared" si="15"/>
        <v>669540</v>
      </c>
      <c r="L67" s="112">
        <v>467977</v>
      </c>
      <c r="M67" s="3">
        <f t="shared" si="16"/>
        <v>201563</v>
      </c>
    </row>
    <row r="68" spans="1:13" x14ac:dyDescent="0.25">
      <c r="A68" s="258"/>
      <c r="B68" s="268"/>
      <c r="C68" s="2" t="s">
        <v>37</v>
      </c>
      <c r="D68" s="3">
        <v>123000</v>
      </c>
      <c r="E68" s="3">
        <v>123000</v>
      </c>
      <c r="F68" s="60">
        <f>'2019.10.31.'!F68</f>
        <v>0</v>
      </c>
      <c r="G68" s="3"/>
      <c r="H68" s="3"/>
      <c r="I68" s="3"/>
      <c r="J68" s="60">
        <f>'2019.10.31.'!I68</f>
        <v>0</v>
      </c>
      <c r="K68" s="20">
        <f t="shared" si="15"/>
        <v>123000</v>
      </c>
      <c r="L68" s="112">
        <v>0</v>
      </c>
      <c r="M68" s="3">
        <f t="shared" si="16"/>
        <v>123000</v>
      </c>
    </row>
    <row r="69" spans="1:13" x14ac:dyDescent="0.25">
      <c r="A69" s="258"/>
      <c r="B69" s="268"/>
      <c r="C69" s="2" t="s">
        <v>38</v>
      </c>
      <c r="D69" s="3">
        <v>460000</v>
      </c>
      <c r="E69" s="3">
        <v>460000</v>
      </c>
      <c r="F69" s="60">
        <f>'2019.10.31.'!F69</f>
        <v>0</v>
      </c>
      <c r="G69" s="3"/>
      <c r="H69" s="3"/>
      <c r="I69" s="3"/>
      <c r="J69" s="60">
        <f>'2019.10.31.'!I69</f>
        <v>0</v>
      </c>
      <c r="K69" s="20">
        <f t="shared" si="15"/>
        <v>460000</v>
      </c>
      <c r="L69" s="112">
        <v>193540</v>
      </c>
      <c r="M69" s="3">
        <f t="shared" si="16"/>
        <v>266460</v>
      </c>
    </row>
    <row r="70" spans="1:13" x14ac:dyDescent="0.25">
      <c r="A70" s="258"/>
      <c r="B70" s="268"/>
      <c r="C70" s="2" t="s">
        <v>40</v>
      </c>
      <c r="D70" s="3">
        <v>1361904</v>
      </c>
      <c r="E70" s="3">
        <v>1361904</v>
      </c>
      <c r="F70" s="60">
        <f>'2019.10.31.'!F70</f>
        <v>-108636</v>
      </c>
      <c r="G70" s="3"/>
      <c r="H70" s="3"/>
      <c r="I70" s="3"/>
      <c r="J70" s="60">
        <f>'2019.10.31.'!I70</f>
        <v>0</v>
      </c>
      <c r="K70" s="20">
        <f t="shared" si="15"/>
        <v>1253268</v>
      </c>
      <c r="L70" s="112">
        <v>544586</v>
      </c>
      <c r="M70" s="3">
        <f t="shared" si="16"/>
        <v>708682</v>
      </c>
    </row>
    <row r="71" spans="1:13" x14ac:dyDescent="0.25">
      <c r="A71" s="258"/>
      <c r="B71" s="268"/>
      <c r="C71" s="2" t="s">
        <v>41</v>
      </c>
      <c r="D71" s="3">
        <v>982236</v>
      </c>
      <c r="E71" s="3">
        <v>980551</v>
      </c>
      <c r="F71" s="60">
        <f>'2019.10.31.'!F71+500000-240000+240000</f>
        <v>608636</v>
      </c>
      <c r="G71" s="3"/>
      <c r="H71" s="3"/>
      <c r="I71" s="3"/>
      <c r="J71" s="60">
        <f>'2019.10.31.'!I71</f>
        <v>0</v>
      </c>
      <c r="K71" s="20">
        <f t="shared" si="15"/>
        <v>1589187</v>
      </c>
      <c r="L71" s="112">
        <v>1027227</v>
      </c>
      <c r="M71" s="3">
        <f t="shared" si="16"/>
        <v>561960</v>
      </c>
    </row>
    <row r="72" spans="1:13" x14ac:dyDescent="0.25">
      <c r="A72" s="258"/>
      <c r="B72" s="268"/>
      <c r="C72" s="2" t="s">
        <v>42</v>
      </c>
      <c r="D72" s="3">
        <v>1200000</v>
      </c>
      <c r="E72" s="3">
        <v>1139045</v>
      </c>
      <c r="F72" s="60">
        <f>'2019.10.31.'!F72-240000</f>
        <v>-240000</v>
      </c>
      <c r="G72" s="3"/>
      <c r="H72" s="3"/>
      <c r="I72" s="3"/>
      <c r="J72" s="60">
        <f>'2019.10.31.'!I72</f>
        <v>0</v>
      </c>
      <c r="K72" s="20">
        <f t="shared" si="15"/>
        <v>899045</v>
      </c>
      <c r="L72" s="112">
        <v>281975</v>
      </c>
      <c r="M72" s="3">
        <f t="shared" si="16"/>
        <v>617070</v>
      </c>
    </row>
    <row r="73" spans="1:13" x14ac:dyDescent="0.25">
      <c r="A73" s="258"/>
      <c r="B73" s="268"/>
      <c r="C73" s="2" t="s">
        <v>43</v>
      </c>
      <c r="D73" s="3">
        <v>30000</v>
      </c>
      <c r="E73" s="3">
        <v>30000</v>
      </c>
      <c r="F73" s="60">
        <f>'2019.10.31.'!F73</f>
        <v>0</v>
      </c>
      <c r="G73" s="3"/>
      <c r="H73" s="3"/>
      <c r="I73" s="3"/>
      <c r="J73" s="60">
        <f>'2019.10.31.'!I73</f>
        <v>0</v>
      </c>
      <c r="K73" s="20">
        <f t="shared" si="15"/>
        <v>30000</v>
      </c>
      <c r="L73" s="112">
        <v>0</v>
      </c>
      <c r="M73" s="3">
        <f t="shared" si="16"/>
        <v>30000</v>
      </c>
    </row>
    <row r="74" spans="1:13" x14ac:dyDescent="0.25">
      <c r="A74" s="258"/>
      <c r="B74" s="268"/>
      <c r="C74" s="2" t="s">
        <v>44</v>
      </c>
      <c r="D74" s="3">
        <v>1041508</v>
      </c>
      <c r="E74" s="3">
        <v>980423</v>
      </c>
      <c r="F74" s="60">
        <f>'2019.10.31.'!F74-1295</f>
        <v>-2280</v>
      </c>
      <c r="G74" s="3"/>
      <c r="H74" s="3"/>
      <c r="I74" s="3"/>
      <c r="J74" s="60">
        <f>'2019.10.31.'!I74</f>
        <v>0</v>
      </c>
      <c r="K74" s="20">
        <f t="shared" si="15"/>
        <v>978143</v>
      </c>
      <c r="L74" s="112">
        <v>271977</v>
      </c>
      <c r="M74" s="3">
        <f t="shared" si="16"/>
        <v>706166</v>
      </c>
    </row>
    <row r="75" spans="1:13" x14ac:dyDescent="0.25">
      <c r="A75" s="258"/>
      <c r="B75" s="268"/>
      <c r="C75" s="2" t="s">
        <v>45</v>
      </c>
      <c r="D75" s="3">
        <v>433021</v>
      </c>
      <c r="E75" s="3">
        <v>134003</v>
      </c>
      <c r="F75" s="60">
        <f>'2019.10.31.'!F75</f>
        <v>-26400</v>
      </c>
      <c r="G75" s="3"/>
      <c r="H75" s="3"/>
      <c r="I75" s="3"/>
      <c r="J75" s="60">
        <f>'2019.10.31.'!I75</f>
        <v>0</v>
      </c>
      <c r="K75" s="20">
        <f t="shared" si="15"/>
        <v>107603</v>
      </c>
      <c r="L75" s="112">
        <v>0</v>
      </c>
      <c r="M75" s="3">
        <f t="shared" si="16"/>
        <v>107603</v>
      </c>
    </row>
    <row r="76" spans="1:13" x14ac:dyDescent="0.25">
      <c r="A76" s="258"/>
      <c r="B76" s="268"/>
      <c r="C76" s="6" t="s">
        <v>49</v>
      </c>
      <c r="D76" s="7">
        <f>SUM(D63:D75)</f>
        <v>7607209</v>
      </c>
      <c r="E76" s="7">
        <v>7018666</v>
      </c>
      <c r="F76" s="7">
        <f t="shared" ref="F76:M76" si="17">SUM(F63:F75)</f>
        <v>-282194</v>
      </c>
      <c r="G76" s="7">
        <f t="shared" si="17"/>
        <v>0</v>
      </c>
      <c r="H76" s="7">
        <f t="shared" si="17"/>
        <v>0</v>
      </c>
      <c r="I76" s="7">
        <f t="shared" si="17"/>
        <v>0</v>
      </c>
      <c r="J76" s="7">
        <f t="shared" si="17"/>
        <v>0</v>
      </c>
      <c r="K76" s="7">
        <f t="shared" si="17"/>
        <v>6736472</v>
      </c>
      <c r="L76" s="114">
        <f t="shared" si="17"/>
        <v>3037832</v>
      </c>
      <c r="M76" s="7">
        <f t="shared" si="17"/>
        <v>3698640</v>
      </c>
    </row>
    <row r="77" spans="1:13" x14ac:dyDescent="0.25">
      <c r="A77" s="258"/>
      <c r="B77" s="268"/>
      <c r="C77" s="2" t="s">
        <v>50</v>
      </c>
      <c r="D77" s="3">
        <v>78740</v>
      </c>
      <c r="E77" s="3">
        <v>78740</v>
      </c>
      <c r="F77" s="60">
        <f>'2019.10.31.'!F77</f>
        <v>0</v>
      </c>
      <c r="G77" s="60"/>
      <c r="H77" s="60"/>
      <c r="I77" s="60"/>
      <c r="J77" s="60">
        <f>'2019.10.31.'!I77</f>
        <v>0</v>
      </c>
      <c r="K77" s="20">
        <f t="shared" ref="K77:K78" si="18">E77+F77+G77+I77+J77</f>
        <v>78740</v>
      </c>
      <c r="L77" s="112">
        <v>0</v>
      </c>
      <c r="M77" s="3">
        <f t="shared" ref="M77:M78" si="19">K77-L77</f>
        <v>78740</v>
      </c>
    </row>
    <row r="78" spans="1:13" x14ac:dyDescent="0.25">
      <c r="A78" s="258"/>
      <c r="B78" s="268"/>
      <c r="C78" s="2" t="s">
        <v>51</v>
      </c>
      <c r="D78" s="3">
        <v>21260</v>
      </c>
      <c r="E78" s="3">
        <v>21260</v>
      </c>
      <c r="F78" s="60">
        <f>'2019.10.31.'!F78</f>
        <v>0</v>
      </c>
      <c r="G78" s="3"/>
      <c r="H78" s="3"/>
      <c r="I78" s="3"/>
      <c r="J78" s="60">
        <f>'2019.10.31.'!I78</f>
        <v>0</v>
      </c>
      <c r="K78" s="20">
        <f t="shared" si="18"/>
        <v>21260</v>
      </c>
      <c r="L78" s="112">
        <v>0</v>
      </c>
      <c r="M78" s="3">
        <f t="shared" si="19"/>
        <v>21260</v>
      </c>
    </row>
    <row r="79" spans="1:13" x14ac:dyDescent="0.25">
      <c r="A79" s="258"/>
      <c r="B79" s="268"/>
      <c r="C79" s="6" t="s">
        <v>52</v>
      </c>
      <c r="D79" s="7">
        <f>SUM(D77:D78)</f>
        <v>100000</v>
      </c>
      <c r="E79" s="7">
        <v>100000</v>
      </c>
      <c r="F79" s="7">
        <f t="shared" ref="F79:M79" si="20">SUM(F77:F78)</f>
        <v>0</v>
      </c>
      <c r="G79" s="7">
        <f t="shared" si="20"/>
        <v>0</v>
      </c>
      <c r="H79" s="7">
        <f t="shared" si="20"/>
        <v>0</v>
      </c>
      <c r="I79" s="7">
        <f t="shared" si="20"/>
        <v>0</v>
      </c>
      <c r="J79" s="7">
        <f t="shared" si="20"/>
        <v>0</v>
      </c>
      <c r="K79" s="7">
        <f t="shared" si="20"/>
        <v>100000</v>
      </c>
      <c r="L79" s="114">
        <f t="shared" si="20"/>
        <v>0</v>
      </c>
      <c r="M79" s="7">
        <f t="shared" si="20"/>
        <v>100000</v>
      </c>
    </row>
    <row r="80" spans="1:13" x14ac:dyDescent="0.25">
      <c r="A80" s="259" t="s">
        <v>58</v>
      </c>
      <c r="B80" s="261" t="s">
        <v>46</v>
      </c>
      <c r="C80" s="15" t="s">
        <v>29</v>
      </c>
      <c r="D80" s="24">
        <v>410400</v>
      </c>
      <c r="E80" s="24">
        <v>410400</v>
      </c>
      <c r="F80" s="60">
        <f>'2019.10.31.'!F80</f>
        <v>0</v>
      </c>
      <c r="G80" s="60"/>
      <c r="H80" s="60">
        <v>36400</v>
      </c>
      <c r="I80" s="60"/>
      <c r="J80" s="60">
        <f>'2019.10.31.'!I80</f>
        <v>0</v>
      </c>
      <c r="K80" s="20">
        <f>E80+F80+G80+I80+J80+H80</f>
        <v>446800</v>
      </c>
      <c r="L80" s="112">
        <v>359400</v>
      </c>
      <c r="M80" s="3">
        <f t="shared" ref="M80:M87" si="21">K80-L80</f>
        <v>87400</v>
      </c>
    </row>
    <row r="81" spans="1:13" x14ac:dyDescent="0.25">
      <c r="A81" s="260"/>
      <c r="B81" s="262"/>
      <c r="C81" s="15" t="s">
        <v>31</v>
      </c>
      <c r="D81" s="24">
        <v>76266</v>
      </c>
      <c r="E81" s="24">
        <v>76266</v>
      </c>
      <c r="F81" s="60">
        <f>'2019.10.31.'!F81</f>
        <v>0</v>
      </c>
      <c r="G81" s="3"/>
      <c r="H81" s="3">
        <v>6928</v>
      </c>
      <c r="I81" s="3"/>
      <c r="J81" s="60">
        <f>'2019.10.31.'!I81</f>
        <v>0</v>
      </c>
      <c r="K81" s="20">
        <f t="shared" ref="K81:K83" si="22">E81+F81+G81+I81+J81+H81</f>
        <v>83194</v>
      </c>
      <c r="L81" s="112">
        <v>67900</v>
      </c>
      <c r="M81" s="3">
        <f t="shared" si="21"/>
        <v>15294</v>
      </c>
    </row>
    <row r="82" spans="1:13" x14ac:dyDescent="0.25">
      <c r="A82" s="259" t="s">
        <v>59</v>
      </c>
      <c r="B82" s="261" t="s">
        <v>23</v>
      </c>
      <c r="C82" s="15" t="s">
        <v>29</v>
      </c>
      <c r="D82" s="24">
        <v>603600</v>
      </c>
      <c r="E82" s="24">
        <v>603600</v>
      </c>
      <c r="F82" s="60">
        <f>'2019.10.31.'!F82</f>
        <v>0</v>
      </c>
      <c r="G82" s="3"/>
      <c r="H82" s="3">
        <v>-261800</v>
      </c>
      <c r="I82" s="3"/>
      <c r="J82" s="60">
        <f>'2019.10.31.'!I82</f>
        <v>0</v>
      </c>
      <c r="K82" s="20">
        <f t="shared" si="22"/>
        <v>341800</v>
      </c>
      <c r="L82" s="112">
        <v>288800</v>
      </c>
      <c r="M82" s="3">
        <f t="shared" si="21"/>
        <v>53000</v>
      </c>
    </row>
    <row r="83" spans="1:13" x14ac:dyDescent="0.25">
      <c r="A83" s="260"/>
      <c r="B83" s="262"/>
      <c r="C83" s="15" t="s">
        <v>31</v>
      </c>
      <c r="D83" s="24">
        <v>112169</v>
      </c>
      <c r="E83" s="24">
        <v>112169</v>
      </c>
      <c r="F83" s="60">
        <f>'2019.10.31.'!F83</f>
        <v>0</v>
      </c>
      <c r="G83" s="3"/>
      <c r="H83" s="3">
        <v>-48166</v>
      </c>
      <c r="I83" s="3"/>
      <c r="J83" s="60">
        <f>'2019.10.31.'!I83</f>
        <v>0</v>
      </c>
      <c r="K83" s="20">
        <f t="shared" si="22"/>
        <v>64003</v>
      </c>
      <c r="L83" s="112">
        <v>54729</v>
      </c>
      <c r="M83" s="3">
        <f t="shared" si="21"/>
        <v>9274</v>
      </c>
    </row>
    <row r="84" spans="1:13" x14ac:dyDescent="0.25">
      <c r="A84" s="259" t="s">
        <v>60</v>
      </c>
      <c r="B84" s="261" t="s">
        <v>23</v>
      </c>
      <c r="C84" s="15" t="s">
        <v>24</v>
      </c>
      <c r="D84" s="24">
        <v>10676226</v>
      </c>
      <c r="E84" s="24">
        <v>10676226</v>
      </c>
      <c r="F84" s="60">
        <f>'2019.10.31.'!F84</f>
        <v>0</v>
      </c>
      <c r="G84" s="3"/>
      <c r="H84" s="3"/>
      <c r="I84" s="3">
        <v>-303175</v>
      </c>
      <c r="J84" s="60">
        <f>'2019.10.31.'!I84</f>
        <v>0</v>
      </c>
      <c r="K84" s="20">
        <f t="shared" ref="K84:K87" si="23">E84+F84+G84+I84+J84</f>
        <v>10373051</v>
      </c>
      <c r="L84" s="112">
        <v>8615160</v>
      </c>
      <c r="M84" s="3">
        <f t="shared" si="21"/>
        <v>1757891</v>
      </c>
    </row>
    <row r="85" spans="1:13" x14ac:dyDescent="0.25">
      <c r="A85" s="260"/>
      <c r="B85" s="262"/>
      <c r="C85" s="15" t="s">
        <v>31</v>
      </c>
      <c r="D85" s="24">
        <v>1989265</v>
      </c>
      <c r="E85" s="24">
        <v>1989265</v>
      </c>
      <c r="F85" s="60">
        <f>'2019.10.31.'!F85</f>
        <v>0</v>
      </c>
      <c r="G85" s="3"/>
      <c r="H85" s="3"/>
      <c r="I85" s="3">
        <v>-53750</v>
      </c>
      <c r="J85" s="60">
        <f>'2019.10.31.'!I85</f>
        <v>0</v>
      </c>
      <c r="K85" s="20">
        <f t="shared" si="23"/>
        <v>1935515</v>
      </c>
      <c r="L85" s="112">
        <v>1627886</v>
      </c>
      <c r="M85" s="3">
        <f t="shared" si="21"/>
        <v>307629</v>
      </c>
    </row>
    <row r="86" spans="1:13" x14ac:dyDescent="0.25">
      <c r="A86" s="259" t="s">
        <v>61</v>
      </c>
      <c r="B86" s="261" t="s">
        <v>46</v>
      </c>
      <c r="C86" s="15" t="s">
        <v>24</v>
      </c>
      <c r="D86" s="24">
        <v>8397674</v>
      </c>
      <c r="E86" s="24">
        <v>8397674</v>
      </c>
      <c r="F86" s="60">
        <f>'2019.10.31.'!F86</f>
        <v>0</v>
      </c>
      <c r="G86" s="3"/>
      <c r="H86" s="3"/>
      <c r="I86" s="3">
        <v>-685857</v>
      </c>
      <c r="J86" s="60">
        <f>'2019.10.31.'!I86</f>
        <v>0</v>
      </c>
      <c r="K86" s="20">
        <f t="shared" si="23"/>
        <v>7711817</v>
      </c>
      <c r="L86" s="112">
        <v>6324311</v>
      </c>
      <c r="M86" s="3">
        <f t="shared" si="21"/>
        <v>1387506</v>
      </c>
    </row>
    <row r="87" spans="1:13" x14ac:dyDescent="0.25">
      <c r="A87" s="260"/>
      <c r="B87" s="262"/>
      <c r="C87" s="15" t="s">
        <v>31</v>
      </c>
      <c r="D87" s="24">
        <v>1563353</v>
      </c>
      <c r="E87" s="24">
        <v>1563353</v>
      </c>
      <c r="F87" s="60">
        <f>'2019.10.31.'!F87</f>
        <v>0</v>
      </c>
      <c r="G87" s="3"/>
      <c r="H87" s="3"/>
      <c r="I87" s="3">
        <v>-125527</v>
      </c>
      <c r="J87" s="60">
        <f>'2019.10.31.'!I87</f>
        <v>0</v>
      </c>
      <c r="K87" s="20">
        <f t="shared" si="23"/>
        <v>1437826</v>
      </c>
      <c r="L87" s="112">
        <v>1195009</v>
      </c>
      <c r="M87" s="3">
        <f t="shared" si="21"/>
        <v>242817</v>
      </c>
    </row>
    <row r="88" spans="1:13" x14ac:dyDescent="0.25">
      <c r="A88" s="304" t="s">
        <v>76</v>
      </c>
      <c r="B88" s="305"/>
      <c r="C88" s="306"/>
      <c r="D88" s="84">
        <f t="shared" ref="D88:M88" si="24">SUM(D32+D33+D48+D51+D61+D62+D76+D79+D80+D81+D82+D83+D84+D85+D86+D87)</f>
        <v>118207303</v>
      </c>
      <c r="E88" s="84">
        <f t="shared" si="24"/>
        <v>117239044</v>
      </c>
      <c r="F88" s="84">
        <f t="shared" si="24"/>
        <v>-282194</v>
      </c>
      <c r="G88" s="84">
        <f t="shared" si="24"/>
        <v>0</v>
      </c>
      <c r="H88" s="84">
        <f t="shared" si="24"/>
        <v>-266638</v>
      </c>
      <c r="I88" s="84">
        <f t="shared" si="24"/>
        <v>-1168309</v>
      </c>
      <c r="J88" s="84">
        <f t="shared" si="24"/>
        <v>37372</v>
      </c>
      <c r="K88" s="84">
        <f t="shared" si="24"/>
        <v>115559275</v>
      </c>
      <c r="L88" s="84">
        <f t="shared" si="24"/>
        <v>86354560</v>
      </c>
      <c r="M88" s="84">
        <f t="shared" si="24"/>
        <v>29204715</v>
      </c>
    </row>
    <row r="89" spans="1:13" x14ac:dyDescent="0.25">
      <c r="A89" s="258" t="s">
        <v>12</v>
      </c>
      <c r="B89" s="268" t="s">
        <v>23</v>
      </c>
      <c r="C89" s="2" t="s">
        <v>24</v>
      </c>
      <c r="D89" s="3">
        <v>4811583</v>
      </c>
      <c r="E89" s="3">
        <v>4902465</v>
      </c>
      <c r="F89" s="60">
        <f>'2019.10.31.'!F89-6878</f>
        <v>-6878</v>
      </c>
      <c r="G89" s="60"/>
      <c r="H89" s="60"/>
      <c r="I89" s="60"/>
      <c r="J89" s="60">
        <f>'2019.10.31.'!I89</f>
        <v>18575</v>
      </c>
      <c r="K89" s="20">
        <f t="shared" ref="K89:K95" si="25">E89+F89+G89+I89+J89</f>
        <v>4914162</v>
      </c>
      <c r="L89" s="112">
        <v>3758552</v>
      </c>
      <c r="M89" s="3">
        <f t="shared" ref="M89:M95" si="26">K89-L89</f>
        <v>1155610</v>
      </c>
    </row>
    <row r="90" spans="1:13" x14ac:dyDescent="0.25">
      <c r="A90" s="258"/>
      <c r="B90" s="268"/>
      <c r="C90" s="2" t="s">
        <v>25</v>
      </c>
      <c r="D90" s="3">
        <v>200000</v>
      </c>
      <c r="E90" s="3">
        <v>200000</v>
      </c>
      <c r="F90" s="60">
        <f>'2019.10.31.'!F90</f>
        <v>0</v>
      </c>
      <c r="G90" s="3"/>
      <c r="H90" s="3"/>
      <c r="I90" s="3"/>
      <c r="J90" s="60">
        <f>'2019.10.31.'!I90</f>
        <v>0</v>
      </c>
      <c r="K90" s="20">
        <f t="shared" si="25"/>
        <v>200000</v>
      </c>
      <c r="L90" s="112">
        <v>200000</v>
      </c>
      <c r="M90" s="3">
        <f t="shared" si="26"/>
        <v>0</v>
      </c>
    </row>
    <row r="91" spans="1:13" x14ac:dyDescent="0.25">
      <c r="A91" s="258"/>
      <c r="B91" s="268"/>
      <c r="C91" s="2" t="s">
        <v>26</v>
      </c>
      <c r="D91" s="3">
        <v>10000</v>
      </c>
      <c r="E91" s="3">
        <v>10000</v>
      </c>
      <c r="F91" s="60">
        <f>'2019.10.31.'!F91</f>
        <v>0</v>
      </c>
      <c r="G91" s="3"/>
      <c r="H91" s="3"/>
      <c r="I91" s="3"/>
      <c r="J91" s="60">
        <f>'2019.10.31.'!I91</f>
        <v>0</v>
      </c>
      <c r="K91" s="20">
        <f t="shared" si="25"/>
        <v>10000</v>
      </c>
      <c r="L91" s="112">
        <v>0</v>
      </c>
      <c r="M91" s="3">
        <f t="shared" si="26"/>
        <v>10000</v>
      </c>
    </row>
    <row r="92" spans="1:13" x14ac:dyDescent="0.25">
      <c r="A92" s="258"/>
      <c r="B92" s="268"/>
      <c r="C92" s="2" t="s">
        <v>27</v>
      </c>
      <c r="D92" s="3">
        <v>198000</v>
      </c>
      <c r="E92" s="3">
        <v>198000</v>
      </c>
      <c r="F92" s="60">
        <f>'2019.10.31.'!F92</f>
        <v>0</v>
      </c>
      <c r="G92" s="3"/>
      <c r="H92" s="3"/>
      <c r="I92" s="3"/>
      <c r="J92" s="60">
        <f>'2019.10.31.'!I92</f>
        <v>0</v>
      </c>
      <c r="K92" s="20">
        <f t="shared" si="25"/>
        <v>198000</v>
      </c>
      <c r="L92" s="112">
        <v>121500</v>
      </c>
      <c r="M92" s="3">
        <f t="shared" si="26"/>
        <v>76500</v>
      </c>
    </row>
    <row r="93" spans="1:13" x14ac:dyDescent="0.25">
      <c r="A93" s="258"/>
      <c r="B93" s="268"/>
      <c r="C93" s="2" t="s">
        <v>28</v>
      </c>
      <c r="D93" s="3">
        <v>24000</v>
      </c>
      <c r="E93" s="3">
        <v>24000</v>
      </c>
      <c r="F93" s="60">
        <f>'2019.10.31.'!F93</f>
        <v>0</v>
      </c>
      <c r="G93" s="3"/>
      <c r="H93" s="3"/>
      <c r="I93" s="3"/>
      <c r="J93" s="60">
        <f>'2019.10.31.'!I93</f>
        <v>0</v>
      </c>
      <c r="K93" s="20">
        <f t="shared" si="25"/>
        <v>24000</v>
      </c>
      <c r="L93" s="112">
        <v>12000</v>
      </c>
      <c r="M93" s="3">
        <f t="shared" si="26"/>
        <v>12000</v>
      </c>
    </row>
    <row r="94" spans="1:13" x14ac:dyDescent="0.25">
      <c r="A94" s="258"/>
      <c r="B94" s="268"/>
      <c r="C94" s="2" t="s">
        <v>29</v>
      </c>
      <c r="D94" s="3">
        <v>75000</v>
      </c>
      <c r="E94" s="3">
        <v>253715</v>
      </c>
      <c r="F94" s="60">
        <f>'2019.10.31.'!F94</f>
        <v>0</v>
      </c>
      <c r="G94" s="3"/>
      <c r="H94" s="3"/>
      <c r="I94" s="3"/>
      <c r="J94" s="60">
        <f>'2019.10.31.'!I94</f>
        <v>0</v>
      </c>
      <c r="K94" s="20">
        <f t="shared" si="25"/>
        <v>253715</v>
      </c>
      <c r="L94" s="112">
        <v>82715</v>
      </c>
      <c r="M94" s="3">
        <f t="shared" si="26"/>
        <v>171000</v>
      </c>
    </row>
    <row r="95" spans="1:13" x14ac:dyDescent="0.25">
      <c r="A95" s="258"/>
      <c r="B95" s="268"/>
      <c r="C95" s="2" t="s">
        <v>30</v>
      </c>
      <c r="D95" s="3">
        <v>0</v>
      </c>
      <c r="E95" s="3">
        <v>0</v>
      </c>
      <c r="F95" s="60">
        <f>'2019.10.31.'!F95+6878</f>
        <v>6878</v>
      </c>
      <c r="G95" s="3"/>
      <c r="H95" s="3"/>
      <c r="I95" s="3"/>
      <c r="J95" s="60">
        <f>'2019.10.31.'!I95</f>
        <v>0</v>
      </c>
      <c r="K95" s="20">
        <f t="shared" si="25"/>
        <v>6878</v>
      </c>
      <c r="L95" s="112">
        <v>0</v>
      </c>
      <c r="M95" s="3">
        <f t="shared" si="26"/>
        <v>6878</v>
      </c>
    </row>
    <row r="96" spans="1:13" x14ac:dyDescent="0.25">
      <c r="A96" s="258"/>
      <c r="B96" s="268"/>
      <c r="C96" s="6" t="s">
        <v>53</v>
      </c>
      <c r="D96" s="7">
        <f>SUM(D89:D95)</f>
        <v>5318583</v>
      </c>
      <c r="E96" s="7">
        <v>5588180</v>
      </c>
      <c r="F96" s="7">
        <f t="shared" ref="F96:M96" si="27">SUM(F89:F95)</f>
        <v>0</v>
      </c>
      <c r="G96" s="7">
        <f t="shared" si="27"/>
        <v>0</v>
      </c>
      <c r="H96" s="7">
        <f t="shared" si="27"/>
        <v>0</v>
      </c>
      <c r="I96" s="7">
        <f t="shared" si="27"/>
        <v>0</v>
      </c>
      <c r="J96" s="7">
        <f t="shared" si="27"/>
        <v>18575</v>
      </c>
      <c r="K96" s="7">
        <f t="shared" si="27"/>
        <v>5606755</v>
      </c>
      <c r="L96" s="114">
        <f t="shared" si="27"/>
        <v>4174767</v>
      </c>
      <c r="M96" s="7">
        <f t="shared" si="27"/>
        <v>1431988</v>
      </c>
    </row>
    <row r="97" spans="1:13" x14ac:dyDescent="0.25">
      <c r="A97" s="258"/>
      <c r="B97" s="268"/>
      <c r="C97" s="86" t="s">
        <v>31</v>
      </c>
      <c r="D97" s="87">
        <v>1035556</v>
      </c>
      <c r="E97" s="87">
        <v>1088127</v>
      </c>
      <c r="F97" s="89">
        <f>'2019.10.31.'!F97</f>
        <v>0</v>
      </c>
      <c r="G97" s="89"/>
      <c r="H97" s="89"/>
      <c r="I97" s="89"/>
      <c r="J97" s="89">
        <f>'2019.10.31.'!I97</f>
        <v>3251</v>
      </c>
      <c r="K97" s="88">
        <f t="shared" ref="K97:K107" si="28">E97+F97+G97+I97+J97</f>
        <v>1091378</v>
      </c>
      <c r="L97" s="115">
        <v>850400</v>
      </c>
      <c r="M97" s="89">
        <f t="shared" ref="M97:M107" si="29">K97-L97</f>
        <v>240978</v>
      </c>
    </row>
    <row r="98" spans="1:13" x14ac:dyDescent="0.25">
      <c r="A98" s="258"/>
      <c r="B98" s="268"/>
      <c r="C98" s="2" t="s">
        <v>32</v>
      </c>
      <c r="D98" s="3">
        <v>100000</v>
      </c>
      <c r="E98" s="3">
        <v>100000</v>
      </c>
      <c r="F98" s="60">
        <f>'2019.10.31.'!F98+204254</f>
        <v>204254</v>
      </c>
      <c r="G98" s="60"/>
      <c r="H98" s="60"/>
      <c r="I98" s="60"/>
      <c r="J98" s="60">
        <f>'2019.10.31.'!I98</f>
        <v>0</v>
      </c>
      <c r="K98" s="20">
        <f t="shared" si="28"/>
        <v>304254</v>
      </c>
      <c r="L98" s="112">
        <v>0</v>
      </c>
      <c r="M98" s="3">
        <f t="shared" si="29"/>
        <v>304254</v>
      </c>
    </row>
    <row r="99" spans="1:13" x14ac:dyDescent="0.25">
      <c r="A99" s="258"/>
      <c r="B99" s="268"/>
      <c r="C99" s="2" t="s">
        <v>33</v>
      </c>
      <c r="D99" s="3">
        <v>100000</v>
      </c>
      <c r="E99" s="3">
        <v>70000</v>
      </c>
      <c r="F99" s="60">
        <f>'2019.10.31.'!F99+18697+138788</f>
        <v>157485</v>
      </c>
      <c r="G99" s="3"/>
      <c r="H99" s="3"/>
      <c r="I99" s="3"/>
      <c r="J99" s="60">
        <f>'2019.10.31.'!I99</f>
        <v>0</v>
      </c>
      <c r="K99" s="20">
        <f t="shared" si="28"/>
        <v>227485</v>
      </c>
      <c r="L99" s="112">
        <v>0</v>
      </c>
      <c r="M99" s="3">
        <f t="shared" si="29"/>
        <v>227485</v>
      </c>
    </row>
    <row r="100" spans="1:13" x14ac:dyDescent="0.25">
      <c r="A100" s="258"/>
      <c r="B100" s="268"/>
      <c r="C100" s="2" t="s">
        <v>34</v>
      </c>
      <c r="D100" s="3">
        <v>210000</v>
      </c>
      <c r="E100" s="3">
        <v>210000</v>
      </c>
      <c r="F100" s="60">
        <f>'2019.10.31.'!F100-18697-191303</f>
        <v>-210000</v>
      </c>
      <c r="G100" s="3"/>
      <c r="H100" s="3"/>
      <c r="I100" s="3"/>
      <c r="J100" s="60">
        <f>'2019.10.31.'!I100</f>
        <v>0</v>
      </c>
      <c r="K100" s="20">
        <f t="shared" si="28"/>
        <v>0</v>
      </c>
      <c r="L100" s="112">
        <v>0</v>
      </c>
      <c r="M100" s="3">
        <f t="shared" si="29"/>
        <v>0</v>
      </c>
    </row>
    <row r="101" spans="1:13" x14ac:dyDescent="0.25">
      <c r="A101" s="258"/>
      <c r="B101" s="268"/>
      <c r="C101" s="2" t="s">
        <v>35</v>
      </c>
      <c r="D101" s="3">
        <v>110000</v>
      </c>
      <c r="E101" s="3">
        <v>110000</v>
      </c>
      <c r="F101" s="60">
        <f>'2019.10.31.'!F101-110000</f>
        <v>-110000</v>
      </c>
      <c r="G101" s="3"/>
      <c r="H101" s="3"/>
      <c r="I101" s="3"/>
      <c r="J101" s="60">
        <f>'2019.10.31.'!I101</f>
        <v>0</v>
      </c>
      <c r="K101" s="20">
        <f t="shared" si="28"/>
        <v>0</v>
      </c>
      <c r="L101" s="112">
        <v>0</v>
      </c>
      <c r="M101" s="3">
        <f t="shared" si="29"/>
        <v>0</v>
      </c>
    </row>
    <row r="102" spans="1:13" x14ac:dyDescent="0.25">
      <c r="A102" s="258"/>
      <c r="B102" s="268"/>
      <c r="C102" s="2" t="s">
        <v>36</v>
      </c>
      <c r="D102" s="3">
        <v>500000</v>
      </c>
      <c r="E102" s="3">
        <v>499100</v>
      </c>
      <c r="F102" s="60">
        <f>'2019.10.31.'!F102</f>
        <v>0</v>
      </c>
      <c r="G102" s="3"/>
      <c r="H102" s="3"/>
      <c r="I102" s="3"/>
      <c r="J102" s="60">
        <f>'2019.10.31.'!I102</f>
        <v>0</v>
      </c>
      <c r="K102" s="20">
        <f t="shared" si="28"/>
        <v>499100</v>
      </c>
      <c r="L102" s="112">
        <v>353510</v>
      </c>
      <c r="M102" s="3">
        <f t="shared" si="29"/>
        <v>145590</v>
      </c>
    </row>
    <row r="103" spans="1:13" x14ac:dyDescent="0.25">
      <c r="A103" s="258"/>
      <c r="B103" s="268"/>
      <c r="C103" s="2" t="s">
        <v>38</v>
      </c>
      <c r="D103" s="3">
        <v>140000</v>
      </c>
      <c r="E103" s="3">
        <v>135380</v>
      </c>
      <c r="F103" s="60">
        <f>'2019.10.31.'!F103-41739</f>
        <v>-41739</v>
      </c>
      <c r="G103" s="3"/>
      <c r="H103" s="3"/>
      <c r="I103" s="3"/>
      <c r="J103" s="60">
        <f>'2019.10.31.'!I103</f>
        <v>0</v>
      </c>
      <c r="K103" s="20">
        <f t="shared" si="28"/>
        <v>93641</v>
      </c>
      <c r="L103" s="112">
        <v>0</v>
      </c>
      <c r="M103" s="3">
        <f t="shared" si="29"/>
        <v>93641</v>
      </c>
    </row>
    <row r="104" spans="1:13" x14ac:dyDescent="0.25">
      <c r="A104" s="258"/>
      <c r="B104" s="268"/>
      <c r="C104" s="2" t="s">
        <v>40</v>
      </c>
      <c r="D104" s="3">
        <v>16800</v>
      </c>
      <c r="E104" s="3">
        <v>20200</v>
      </c>
      <c r="F104" s="60">
        <f>'2019.10.31.'!F104</f>
        <v>0</v>
      </c>
      <c r="G104" s="3"/>
      <c r="H104" s="3"/>
      <c r="I104" s="3"/>
      <c r="J104" s="60">
        <f>'2019.10.31.'!I104</f>
        <v>0</v>
      </c>
      <c r="K104" s="20">
        <f t="shared" si="28"/>
        <v>20200</v>
      </c>
      <c r="L104" s="112">
        <v>6800</v>
      </c>
      <c r="M104" s="3">
        <f t="shared" si="29"/>
        <v>13400</v>
      </c>
    </row>
    <row r="105" spans="1:13" x14ac:dyDescent="0.25">
      <c r="A105" s="258"/>
      <c r="B105" s="268"/>
      <c r="C105" s="2" t="s">
        <v>41</v>
      </c>
      <c r="D105" s="3">
        <v>80000</v>
      </c>
      <c r="E105" s="3">
        <v>117280</v>
      </c>
      <c r="F105" s="60">
        <f>'2019.10.31.'!F105</f>
        <v>0</v>
      </c>
      <c r="G105" s="3"/>
      <c r="H105" s="3"/>
      <c r="I105" s="3"/>
      <c r="J105" s="60">
        <f>'2019.10.31.'!I105</f>
        <v>0</v>
      </c>
      <c r="K105" s="20">
        <f t="shared" si="28"/>
        <v>117280</v>
      </c>
      <c r="L105" s="112">
        <v>87860</v>
      </c>
      <c r="M105" s="60">
        <f t="shared" si="29"/>
        <v>29420</v>
      </c>
    </row>
    <row r="106" spans="1:13" x14ac:dyDescent="0.25">
      <c r="A106" s="258"/>
      <c r="B106" s="268"/>
      <c r="C106" s="2" t="s">
        <v>42</v>
      </c>
      <c r="D106" s="3">
        <v>240000</v>
      </c>
      <c r="E106" s="3">
        <v>240000</v>
      </c>
      <c r="F106" s="60">
        <f>'2019.10.31.'!F106</f>
        <v>0</v>
      </c>
      <c r="G106" s="3"/>
      <c r="H106" s="3"/>
      <c r="I106" s="3"/>
      <c r="J106" s="60">
        <f>'2019.10.31.'!I106</f>
        <v>0</v>
      </c>
      <c r="K106" s="20">
        <f t="shared" si="28"/>
        <v>240000</v>
      </c>
      <c r="L106" s="112">
        <v>147455</v>
      </c>
      <c r="M106" s="3">
        <f t="shared" si="29"/>
        <v>92545</v>
      </c>
    </row>
    <row r="107" spans="1:13" x14ac:dyDescent="0.25">
      <c r="A107" s="258"/>
      <c r="B107" s="268"/>
      <c r="C107" s="2" t="s">
        <v>44</v>
      </c>
      <c r="D107" s="3">
        <v>200600</v>
      </c>
      <c r="E107" s="3">
        <v>195440</v>
      </c>
      <c r="F107" s="60">
        <f>'2019.10.31.'!F107</f>
        <v>0</v>
      </c>
      <c r="G107" s="3"/>
      <c r="H107" s="3"/>
      <c r="I107" s="3"/>
      <c r="J107" s="60">
        <f>'2019.10.31.'!I107</f>
        <v>0</v>
      </c>
      <c r="K107" s="20">
        <f t="shared" si="28"/>
        <v>195440</v>
      </c>
      <c r="L107" s="112">
        <v>28706</v>
      </c>
      <c r="M107" s="3">
        <f t="shared" si="29"/>
        <v>166734</v>
      </c>
    </row>
    <row r="108" spans="1:13" x14ac:dyDescent="0.25">
      <c r="A108" s="258"/>
      <c r="B108" s="268"/>
      <c r="C108" s="6" t="s">
        <v>49</v>
      </c>
      <c r="D108" s="7">
        <f>SUM(D98:D107)</f>
        <v>1697400</v>
      </c>
      <c r="E108" s="7">
        <v>1697400</v>
      </c>
      <c r="F108" s="7">
        <f t="shared" ref="F108:M108" si="30">SUM(F98:F107)</f>
        <v>0</v>
      </c>
      <c r="G108" s="7">
        <f t="shared" si="30"/>
        <v>0</v>
      </c>
      <c r="H108" s="7">
        <f t="shared" si="30"/>
        <v>0</v>
      </c>
      <c r="I108" s="7">
        <f t="shared" si="30"/>
        <v>0</v>
      </c>
      <c r="J108" s="7">
        <f t="shared" si="30"/>
        <v>0</v>
      </c>
      <c r="K108" s="7">
        <f t="shared" si="30"/>
        <v>1697400</v>
      </c>
      <c r="L108" s="114">
        <f t="shared" si="30"/>
        <v>624331</v>
      </c>
      <c r="M108" s="7">
        <f t="shared" si="30"/>
        <v>1073069</v>
      </c>
    </row>
    <row r="109" spans="1:13" x14ac:dyDescent="0.25">
      <c r="A109" s="255" t="s">
        <v>62</v>
      </c>
      <c r="B109" s="252" t="s">
        <v>23</v>
      </c>
      <c r="C109" s="15" t="s">
        <v>29</v>
      </c>
      <c r="D109" s="24">
        <v>111600</v>
      </c>
      <c r="E109" s="24">
        <v>111600</v>
      </c>
      <c r="F109" s="60">
        <f>'2019.10.31.'!F109</f>
        <v>0</v>
      </c>
      <c r="G109" s="60"/>
      <c r="H109" s="60">
        <v>-44000</v>
      </c>
      <c r="I109" s="60"/>
      <c r="J109" s="60">
        <f>'2019.10.31.'!I109</f>
        <v>0</v>
      </c>
      <c r="K109" s="20">
        <f>E109+F109+G109+I109+J109+H109</f>
        <v>67600</v>
      </c>
      <c r="L109" s="112">
        <v>57000</v>
      </c>
      <c r="M109" s="3">
        <f t="shared" ref="M109:M112" si="31">K109-L109</f>
        <v>10600</v>
      </c>
    </row>
    <row r="110" spans="1:13" x14ac:dyDescent="0.25">
      <c r="A110" s="257"/>
      <c r="B110" s="254"/>
      <c r="C110" s="15" t="s">
        <v>31</v>
      </c>
      <c r="D110" s="24">
        <v>20739</v>
      </c>
      <c r="E110" s="24">
        <v>20739</v>
      </c>
      <c r="F110" s="60">
        <f>'2019.10.31.'!F110</f>
        <v>0</v>
      </c>
      <c r="G110" s="3"/>
      <c r="H110" s="3">
        <v>-8089</v>
      </c>
      <c r="I110" s="3"/>
      <c r="J110" s="60">
        <f>'2019.10.31.'!I110</f>
        <v>0</v>
      </c>
      <c r="K110" s="20">
        <f>E110+F110+G110+I110+J110+H110</f>
        <v>12650</v>
      </c>
      <c r="L110" s="112">
        <v>10794</v>
      </c>
      <c r="M110" s="3">
        <f t="shared" si="31"/>
        <v>1856</v>
      </c>
    </row>
    <row r="111" spans="1:13" x14ac:dyDescent="0.25">
      <c r="A111" s="255" t="s">
        <v>63</v>
      </c>
      <c r="B111" s="252" t="s">
        <v>23</v>
      </c>
      <c r="C111" s="15" t="s">
        <v>24</v>
      </c>
      <c r="D111" s="24">
        <v>1460272</v>
      </c>
      <c r="E111" s="24">
        <v>1460272</v>
      </c>
      <c r="F111" s="60">
        <f>'2019.10.31.'!F111</f>
        <v>0</v>
      </c>
      <c r="G111" s="3"/>
      <c r="H111" s="3"/>
      <c r="I111" s="3">
        <v>43958</v>
      </c>
      <c r="J111" s="60">
        <f>'2019.10.31.'!I111</f>
        <v>0</v>
      </c>
      <c r="K111" s="20">
        <f t="shared" ref="K111:K112" si="32">E111+F111+G111+I111+J111</f>
        <v>1504230</v>
      </c>
      <c r="L111" s="112">
        <v>1252536</v>
      </c>
      <c r="M111" s="3">
        <f t="shared" si="31"/>
        <v>251694</v>
      </c>
    </row>
    <row r="112" spans="1:13" x14ac:dyDescent="0.25">
      <c r="A112" s="257"/>
      <c r="B112" s="254"/>
      <c r="C112" s="15" t="s">
        <v>31</v>
      </c>
      <c r="D112" s="24">
        <v>272168</v>
      </c>
      <c r="E112" s="24">
        <v>272168</v>
      </c>
      <c r="F112" s="60">
        <f>'2019.10.31.'!F112</f>
        <v>0</v>
      </c>
      <c r="G112" s="3"/>
      <c r="H112" s="3"/>
      <c r="I112" s="3">
        <v>8572</v>
      </c>
      <c r="J112" s="60">
        <f>'2019.10.31.'!I112</f>
        <v>0</v>
      </c>
      <c r="K112" s="20">
        <f t="shared" si="32"/>
        <v>280740</v>
      </c>
      <c r="L112" s="112">
        <v>236693</v>
      </c>
      <c r="M112" s="3">
        <f t="shared" si="31"/>
        <v>44047</v>
      </c>
    </row>
    <row r="113" spans="1:13" x14ac:dyDescent="0.25">
      <c r="A113" s="304" t="s">
        <v>77</v>
      </c>
      <c r="B113" s="305"/>
      <c r="C113" s="306"/>
      <c r="D113" s="84">
        <f>SUM(D96+D97+D108+D109+D110+D111+D112)</f>
        <v>9916318</v>
      </c>
      <c r="E113" s="84">
        <f t="shared" ref="E113:M113" si="33">SUM(E96+E97+E108+E109+E110+E111+E112)</f>
        <v>10238486</v>
      </c>
      <c r="F113" s="84">
        <f t="shared" si="33"/>
        <v>0</v>
      </c>
      <c r="G113" s="84">
        <f t="shared" si="33"/>
        <v>0</v>
      </c>
      <c r="H113" s="84">
        <f t="shared" si="33"/>
        <v>-52089</v>
      </c>
      <c r="I113" s="84">
        <f t="shared" si="33"/>
        <v>52530</v>
      </c>
      <c r="J113" s="84">
        <f t="shared" si="33"/>
        <v>21826</v>
      </c>
      <c r="K113" s="84">
        <f t="shared" si="33"/>
        <v>10260753</v>
      </c>
      <c r="L113" s="116">
        <f t="shared" si="33"/>
        <v>7206521</v>
      </c>
      <c r="M113" s="84">
        <f t="shared" si="33"/>
        <v>3054232</v>
      </c>
    </row>
    <row r="114" spans="1:13" x14ac:dyDescent="0.25">
      <c r="A114" s="258" t="s">
        <v>13</v>
      </c>
      <c r="B114" s="268" t="s">
        <v>23</v>
      </c>
      <c r="C114" s="2" t="s">
        <v>24</v>
      </c>
      <c r="D114" s="3">
        <v>4871210</v>
      </c>
      <c r="E114" s="3">
        <v>5000280</v>
      </c>
      <c r="F114" s="60">
        <f>'2019.10.31.'!F114-63016-6886</f>
        <v>-69902</v>
      </c>
      <c r="G114" s="60"/>
      <c r="H114" s="60"/>
      <c r="I114" s="60"/>
      <c r="J114" s="60">
        <f>'2019.10.31.'!I114</f>
        <v>14016</v>
      </c>
      <c r="K114" s="20">
        <f t="shared" ref="K114:K119" si="34">E114+F114+G114+I114+J114</f>
        <v>4944394</v>
      </c>
      <c r="L114" s="112">
        <v>3926900</v>
      </c>
      <c r="M114" s="3">
        <f t="shared" ref="M114:M119" si="35">K114-L114</f>
        <v>1017494</v>
      </c>
    </row>
    <row r="115" spans="1:13" x14ac:dyDescent="0.25">
      <c r="A115" s="258"/>
      <c r="B115" s="268"/>
      <c r="C115" s="2" t="s">
        <v>25</v>
      </c>
      <c r="D115" s="3">
        <v>200000</v>
      </c>
      <c r="E115" s="3">
        <v>200000</v>
      </c>
      <c r="F115" s="60">
        <f>'2019.10.31.'!F115</f>
        <v>0</v>
      </c>
      <c r="G115" s="3"/>
      <c r="H115" s="3"/>
      <c r="I115" s="3"/>
      <c r="J115" s="60">
        <f>'2019.10.31.'!I115</f>
        <v>0</v>
      </c>
      <c r="K115" s="20">
        <f t="shared" si="34"/>
        <v>200000</v>
      </c>
      <c r="L115" s="112">
        <v>200000</v>
      </c>
      <c r="M115" s="3">
        <f t="shared" si="35"/>
        <v>0</v>
      </c>
    </row>
    <row r="116" spans="1:13" x14ac:dyDescent="0.25">
      <c r="A116" s="258"/>
      <c r="B116" s="268"/>
      <c r="C116" s="2" t="s">
        <v>26</v>
      </c>
      <c r="D116" s="3">
        <v>10000</v>
      </c>
      <c r="E116" s="3">
        <v>10000</v>
      </c>
      <c r="F116" s="60">
        <f>'2019.10.31.'!F116</f>
        <v>0</v>
      </c>
      <c r="G116" s="3"/>
      <c r="H116" s="3"/>
      <c r="I116" s="3"/>
      <c r="J116" s="60">
        <f>'2019.10.31.'!I116</f>
        <v>0</v>
      </c>
      <c r="K116" s="20">
        <f t="shared" si="34"/>
        <v>10000</v>
      </c>
      <c r="L116" s="112">
        <v>0</v>
      </c>
      <c r="M116" s="3">
        <f t="shared" si="35"/>
        <v>10000</v>
      </c>
    </row>
    <row r="117" spans="1:13" x14ac:dyDescent="0.25">
      <c r="A117" s="258"/>
      <c r="B117" s="268"/>
      <c r="C117" s="2" t="s">
        <v>28</v>
      </c>
      <c r="D117" s="3">
        <v>24000</v>
      </c>
      <c r="E117" s="3">
        <v>24000</v>
      </c>
      <c r="F117" s="60">
        <f>'2019.10.31.'!F117</f>
        <v>0</v>
      </c>
      <c r="G117" s="3"/>
      <c r="H117" s="3"/>
      <c r="I117" s="3"/>
      <c r="J117" s="60">
        <f>'2019.10.31.'!I117</f>
        <v>0</v>
      </c>
      <c r="K117" s="20">
        <f t="shared" si="34"/>
        <v>24000</v>
      </c>
      <c r="L117" s="112">
        <v>12000</v>
      </c>
      <c r="M117" s="3">
        <f t="shared" si="35"/>
        <v>12000</v>
      </c>
    </row>
    <row r="118" spans="1:13" x14ac:dyDescent="0.25">
      <c r="A118" s="258"/>
      <c r="B118" s="268"/>
      <c r="C118" s="2" t="s">
        <v>29</v>
      </c>
      <c r="D118" s="3">
        <v>75000</v>
      </c>
      <c r="E118" s="3">
        <v>133601</v>
      </c>
      <c r="F118" s="60">
        <f>'2019.10.31.'!F118+63016</f>
        <v>63016</v>
      </c>
      <c r="G118" s="3"/>
      <c r="H118" s="3"/>
      <c r="I118" s="3"/>
      <c r="J118" s="60">
        <f>'2019.10.31.'!I118</f>
        <v>0</v>
      </c>
      <c r="K118" s="20">
        <f t="shared" si="34"/>
        <v>196617</v>
      </c>
      <c r="L118" s="112">
        <v>32601</v>
      </c>
      <c r="M118" s="3">
        <f t="shared" si="35"/>
        <v>164016</v>
      </c>
    </row>
    <row r="119" spans="1:13" x14ac:dyDescent="0.25">
      <c r="A119" s="258"/>
      <c r="B119" s="268"/>
      <c r="C119" s="2" t="s">
        <v>30</v>
      </c>
      <c r="D119" s="3">
        <v>0</v>
      </c>
      <c r="E119" s="3">
        <v>0</v>
      </c>
      <c r="F119" s="60">
        <f>'2019.10.31.'!F119+6886</f>
        <v>6886</v>
      </c>
      <c r="G119" s="3"/>
      <c r="H119" s="3"/>
      <c r="I119" s="3"/>
      <c r="J119" s="60">
        <f>'2019.10.31.'!I119</f>
        <v>0</v>
      </c>
      <c r="K119" s="20">
        <f t="shared" si="34"/>
        <v>6886</v>
      </c>
      <c r="L119" s="112">
        <v>0</v>
      </c>
      <c r="M119" s="3">
        <f t="shared" si="35"/>
        <v>6886</v>
      </c>
    </row>
    <row r="120" spans="1:13" x14ac:dyDescent="0.25">
      <c r="A120" s="258"/>
      <c r="B120" s="268"/>
      <c r="C120" s="6" t="s">
        <v>53</v>
      </c>
      <c r="D120" s="7">
        <f>SUM(D114:D119)</f>
        <v>5180210</v>
      </c>
      <c r="E120" s="7">
        <v>5367881</v>
      </c>
      <c r="F120" s="7">
        <f t="shared" ref="F120:M120" si="36">SUM(F114:F119)</f>
        <v>0</v>
      </c>
      <c r="G120" s="7">
        <f t="shared" si="36"/>
        <v>0</v>
      </c>
      <c r="H120" s="7">
        <f t="shared" si="36"/>
        <v>0</v>
      </c>
      <c r="I120" s="7">
        <f t="shared" si="36"/>
        <v>0</v>
      </c>
      <c r="J120" s="7">
        <f t="shared" si="36"/>
        <v>14016</v>
      </c>
      <c r="K120" s="7">
        <f t="shared" si="36"/>
        <v>5381897</v>
      </c>
      <c r="L120" s="114">
        <f t="shared" si="36"/>
        <v>4171501</v>
      </c>
      <c r="M120" s="7">
        <f t="shared" si="36"/>
        <v>1210396</v>
      </c>
    </row>
    <row r="121" spans="1:13" x14ac:dyDescent="0.25">
      <c r="A121" s="258"/>
      <c r="B121" s="268"/>
      <c r="C121" s="86" t="s">
        <v>31</v>
      </c>
      <c r="D121" s="87">
        <v>1046402</v>
      </c>
      <c r="E121" s="87">
        <v>1082997</v>
      </c>
      <c r="F121" s="89">
        <f>'2019.10.31.'!F121</f>
        <v>0</v>
      </c>
      <c r="G121" s="89"/>
      <c r="H121" s="89"/>
      <c r="I121" s="89"/>
      <c r="J121" s="89">
        <f>'2019.10.31.'!I121</f>
        <v>2452</v>
      </c>
      <c r="K121" s="88">
        <f t="shared" ref="K121:K129" si="37">E121+F121+G121+I121+J121</f>
        <v>1085449</v>
      </c>
      <c r="L121" s="115">
        <v>873037</v>
      </c>
      <c r="M121" s="89">
        <f t="shared" ref="M121:M129" si="38">K121-L121</f>
        <v>212412</v>
      </c>
    </row>
    <row r="122" spans="1:13" x14ac:dyDescent="0.25">
      <c r="A122" s="258"/>
      <c r="B122" s="268"/>
      <c r="C122" s="2" t="s">
        <v>32</v>
      </c>
      <c r="D122" s="3">
        <v>50000</v>
      </c>
      <c r="E122" s="3">
        <v>50000</v>
      </c>
      <c r="F122" s="60">
        <f>'2019.10.31.'!F122</f>
        <v>0</v>
      </c>
      <c r="G122" s="60"/>
      <c r="H122" s="60"/>
      <c r="I122" s="60"/>
      <c r="J122" s="60">
        <f>'2019.10.31.'!I122</f>
        <v>0</v>
      </c>
      <c r="K122" s="20">
        <f t="shared" si="37"/>
        <v>50000</v>
      </c>
      <c r="L122" s="112">
        <v>0</v>
      </c>
      <c r="M122" s="3">
        <f t="shared" si="38"/>
        <v>50000</v>
      </c>
    </row>
    <row r="123" spans="1:13" x14ac:dyDescent="0.25">
      <c r="A123" s="258"/>
      <c r="B123" s="268"/>
      <c r="C123" s="2" t="s">
        <v>33</v>
      </c>
      <c r="D123" s="3">
        <v>100000</v>
      </c>
      <c r="E123" s="3">
        <v>70000</v>
      </c>
      <c r="F123" s="60">
        <f>'2019.10.31.'!F123</f>
        <v>0</v>
      </c>
      <c r="G123" s="3"/>
      <c r="H123" s="3"/>
      <c r="I123" s="3"/>
      <c r="J123" s="60">
        <f>'2019.10.31.'!I123</f>
        <v>0</v>
      </c>
      <c r="K123" s="20">
        <f t="shared" si="37"/>
        <v>70000</v>
      </c>
      <c r="L123" s="112">
        <v>0</v>
      </c>
      <c r="M123" s="3">
        <f t="shared" si="38"/>
        <v>70000</v>
      </c>
    </row>
    <row r="124" spans="1:13" x14ac:dyDescent="0.25">
      <c r="A124" s="258"/>
      <c r="B124" s="268"/>
      <c r="C124" s="2" t="s">
        <v>34</v>
      </c>
      <c r="D124" s="3">
        <v>150000</v>
      </c>
      <c r="E124" s="3">
        <v>116000</v>
      </c>
      <c r="F124" s="60">
        <f>'2019.10.31.'!F124</f>
        <v>0</v>
      </c>
      <c r="G124" s="3"/>
      <c r="H124" s="3"/>
      <c r="I124" s="3"/>
      <c r="J124" s="60">
        <f>'2019.10.31.'!I124</f>
        <v>0</v>
      </c>
      <c r="K124" s="20">
        <f t="shared" si="37"/>
        <v>116000</v>
      </c>
      <c r="L124" s="112">
        <v>0</v>
      </c>
      <c r="M124" s="3">
        <f t="shared" si="38"/>
        <v>116000</v>
      </c>
    </row>
    <row r="125" spans="1:13" x14ac:dyDescent="0.25">
      <c r="A125" s="258"/>
      <c r="B125" s="268"/>
      <c r="C125" s="2" t="s">
        <v>38</v>
      </c>
      <c r="D125" s="3">
        <v>50000</v>
      </c>
      <c r="E125" s="3">
        <v>46600</v>
      </c>
      <c r="F125" s="60">
        <f>'2019.10.31.'!F125</f>
        <v>0</v>
      </c>
      <c r="G125" s="3"/>
      <c r="H125" s="3"/>
      <c r="I125" s="3"/>
      <c r="J125" s="60">
        <f>'2019.10.31.'!I125</f>
        <v>0</v>
      </c>
      <c r="K125" s="20">
        <f t="shared" si="37"/>
        <v>46600</v>
      </c>
      <c r="L125" s="112">
        <v>0</v>
      </c>
      <c r="M125" s="3">
        <f t="shared" si="38"/>
        <v>46600</v>
      </c>
    </row>
    <row r="126" spans="1:13" x14ac:dyDescent="0.25">
      <c r="A126" s="258"/>
      <c r="B126" s="268"/>
      <c r="C126" s="2" t="s">
        <v>40</v>
      </c>
      <c r="D126" s="3">
        <v>16800</v>
      </c>
      <c r="E126" s="3">
        <v>20200</v>
      </c>
      <c r="F126" s="60">
        <f>'2019.10.31.'!F126</f>
        <v>0</v>
      </c>
      <c r="G126" s="3"/>
      <c r="H126" s="3"/>
      <c r="I126" s="3"/>
      <c r="J126" s="60">
        <f>'2019.10.31.'!I126</f>
        <v>0</v>
      </c>
      <c r="K126" s="20">
        <f t="shared" si="37"/>
        <v>20200</v>
      </c>
      <c r="L126" s="112">
        <v>6800</v>
      </c>
      <c r="M126" s="3">
        <f t="shared" si="38"/>
        <v>13400</v>
      </c>
    </row>
    <row r="127" spans="1:13" x14ac:dyDescent="0.25">
      <c r="A127" s="258"/>
      <c r="B127" s="268"/>
      <c r="C127" s="2" t="s">
        <v>41</v>
      </c>
      <c r="D127" s="3">
        <v>0</v>
      </c>
      <c r="E127" s="3">
        <v>70280</v>
      </c>
      <c r="F127" s="60">
        <f>'2019.10.31.'!F127</f>
        <v>0</v>
      </c>
      <c r="G127" s="3"/>
      <c r="H127" s="3"/>
      <c r="I127" s="3"/>
      <c r="J127" s="60">
        <f>'2019.10.31.'!I127</f>
        <v>0</v>
      </c>
      <c r="K127" s="20">
        <f t="shared" si="37"/>
        <v>70280</v>
      </c>
      <c r="L127" s="112">
        <v>40860</v>
      </c>
      <c r="M127" s="3">
        <f t="shared" si="38"/>
        <v>29420</v>
      </c>
    </row>
    <row r="128" spans="1:13" x14ac:dyDescent="0.25">
      <c r="A128" s="258"/>
      <c r="B128" s="268"/>
      <c r="C128" s="2" t="s">
        <v>42</v>
      </c>
      <c r="D128" s="3">
        <v>240000</v>
      </c>
      <c r="E128" s="3">
        <v>233720</v>
      </c>
      <c r="F128" s="60">
        <f>'2019.10.31.'!F128</f>
        <v>0</v>
      </c>
      <c r="G128" s="3"/>
      <c r="H128" s="3"/>
      <c r="I128" s="3"/>
      <c r="J128" s="60">
        <f>'2019.10.31.'!I128</f>
        <v>0</v>
      </c>
      <c r="K128" s="20">
        <f t="shared" si="37"/>
        <v>233720</v>
      </c>
      <c r="L128" s="112">
        <v>119445</v>
      </c>
      <c r="M128" s="3">
        <f t="shared" si="38"/>
        <v>114275</v>
      </c>
    </row>
    <row r="129" spans="1:13" x14ac:dyDescent="0.25">
      <c r="A129" s="258"/>
      <c r="B129" s="268"/>
      <c r="C129" s="2" t="s">
        <v>44</v>
      </c>
      <c r="D129" s="3">
        <v>94500</v>
      </c>
      <c r="E129" s="3">
        <v>94500</v>
      </c>
      <c r="F129" s="60">
        <f>'2019.10.31.'!F129</f>
        <v>0</v>
      </c>
      <c r="G129" s="3"/>
      <c r="H129" s="3"/>
      <c r="I129" s="3"/>
      <c r="J129" s="60">
        <f>'2019.10.31.'!I129</f>
        <v>0</v>
      </c>
      <c r="K129" s="20">
        <f t="shared" si="37"/>
        <v>94500</v>
      </c>
      <c r="L129" s="112">
        <v>11031</v>
      </c>
      <c r="M129" s="3">
        <f t="shared" si="38"/>
        <v>83469</v>
      </c>
    </row>
    <row r="130" spans="1:13" x14ac:dyDescent="0.25">
      <c r="A130" s="258"/>
      <c r="B130" s="268"/>
      <c r="C130" s="6" t="s">
        <v>49</v>
      </c>
      <c r="D130" s="7">
        <f>SUM(D122:D129)</f>
        <v>701300</v>
      </c>
      <c r="E130" s="7">
        <v>701300</v>
      </c>
      <c r="F130" s="7">
        <f t="shared" ref="F130:M130" si="39">SUM(F122:F129)</f>
        <v>0</v>
      </c>
      <c r="G130" s="7">
        <f t="shared" si="39"/>
        <v>0</v>
      </c>
      <c r="H130" s="7">
        <f t="shared" si="39"/>
        <v>0</v>
      </c>
      <c r="I130" s="7">
        <f t="shared" si="39"/>
        <v>0</v>
      </c>
      <c r="J130" s="7">
        <f t="shared" si="39"/>
        <v>0</v>
      </c>
      <c r="K130" s="7">
        <f t="shared" si="39"/>
        <v>701300</v>
      </c>
      <c r="L130" s="114">
        <f t="shared" si="39"/>
        <v>178136</v>
      </c>
      <c r="M130" s="7">
        <f t="shared" si="39"/>
        <v>523164</v>
      </c>
    </row>
    <row r="131" spans="1:13" x14ac:dyDescent="0.25">
      <c r="A131" s="255" t="s">
        <v>64</v>
      </c>
      <c r="B131" s="252" t="s">
        <v>23</v>
      </c>
      <c r="C131" s="15" t="s">
        <v>29</v>
      </c>
      <c r="D131" s="24">
        <v>39600</v>
      </c>
      <c r="E131" s="24">
        <v>39600</v>
      </c>
      <c r="F131" s="60">
        <f>'2019.10.31.'!F131</f>
        <v>0</v>
      </c>
      <c r="G131" s="60"/>
      <c r="H131" s="60">
        <f>-1+1</f>
        <v>0</v>
      </c>
      <c r="I131" s="60"/>
      <c r="J131" s="60">
        <f>'2019.10.31.'!I131</f>
        <v>0</v>
      </c>
      <c r="K131" s="20">
        <f>E131+F131+G131+I131+J131+H131</f>
        <v>39600</v>
      </c>
      <c r="L131" s="112">
        <v>33000</v>
      </c>
      <c r="M131" s="3">
        <f t="shared" ref="M131:M134" si="40">K131-L131</f>
        <v>6600</v>
      </c>
    </row>
    <row r="132" spans="1:13" x14ac:dyDescent="0.25">
      <c r="A132" s="257"/>
      <c r="B132" s="254"/>
      <c r="C132" s="15" t="s">
        <v>31</v>
      </c>
      <c r="D132" s="24">
        <v>7359</v>
      </c>
      <c r="E132" s="24">
        <v>7359</v>
      </c>
      <c r="F132" s="60">
        <f>'2019.10.31.'!F132</f>
        <v>0</v>
      </c>
      <c r="G132" s="3"/>
      <c r="H132" s="3">
        <f>33-1</f>
        <v>32</v>
      </c>
      <c r="I132" s="3"/>
      <c r="J132" s="60">
        <f>'2019.10.31.'!I132</f>
        <v>0</v>
      </c>
      <c r="K132" s="20">
        <f>E132+F132+G132+I132+J132+H132</f>
        <v>7391</v>
      </c>
      <c r="L132" s="112">
        <v>6238</v>
      </c>
      <c r="M132" s="3">
        <f t="shared" si="40"/>
        <v>1153</v>
      </c>
    </row>
    <row r="133" spans="1:13" x14ac:dyDescent="0.25">
      <c r="A133" s="255" t="s">
        <v>65</v>
      </c>
      <c r="B133" s="252" t="s">
        <v>23</v>
      </c>
      <c r="C133" s="15" t="s">
        <v>24</v>
      </c>
      <c r="D133" s="24">
        <v>1357158</v>
      </c>
      <c r="E133" s="24">
        <v>1357158</v>
      </c>
      <c r="F133" s="60">
        <f>'2019.10.31.'!F133</f>
        <v>0</v>
      </c>
      <c r="G133" s="3"/>
      <c r="H133" s="3"/>
      <c r="I133" s="3">
        <v>1075</v>
      </c>
      <c r="J133" s="60">
        <f>'2019.10.31.'!I133</f>
        <v>0</v>
      </c>
      <c r="K133" s="20">
        <f t="shared" ref="K133:K134" si="41">E133+F133+G133+I133+J133</f>
        <v>1358233</v>
      </c>
      <c r="L133" s="112">
        <v>1131860</v>
      </c>
      <c r="M133" s="3">
        <f t="shared" si="40"/>
        <v>226373</v>
      </c>
    </row>
    <row r="134" spans="1:13" x14ac:dyDescent="0.25">
      <c r="A134" s="257"/>
      <c r="B134" s="254"/>
      <c r="C134" s="15" t="s">
        <v>31</v>
      </c>
      <c r="D134" s="24">
        <v>253327</v>
      </c>
      <c r="E134" s="24">
        <v>253327</v>
      </c>
      <c r="F134" s="60">
        <f>'2019.10.31.'!F134</f>
        <v>0</v>
      </c>
      <c r="G134" s="3"/>
      <c r="H134" s="3"/>
      <c r="I134" s="3">
        <v>206</v>
      </c>
      <c r="J134" s="60">
        <f>'2019.10.31.'!I134</f>
        <v>0</v>
      </c>
      <c r="K134" s="20">
        <f t="shared" si="41"/>
        <v>253533</v>
      </c>
      <c r="L134" s="112">
        <v>213917</v>
      </c>
      <c r="M134" s="3">
        <f t="shared" si="40"/>
        <v>39616</v>
      </c>
    </row>
    <row r="135" spans="1:13" x14ac:dyDescent="0.25">
      <c r="A135" s="304" t="s">
        <v>78</v>
      </c>
      <c r="B135" s="305"/>
      <c r="C135" s="306"/>
      <c r="D135" s="84">
        <f>SUM(D120+D121+D130+D131+D132+D133+D134)</f>
        <v>8585356</v>
      </c>
      <c r="E135" s="84">
        <f t="shared" ref="E135:M135" si="42">SUM(E120+E121+E130+E131+E132+E133+E134)</f>
        <v>8809622</v>
      </c>
      <c r="F135" s="84">
        <f t="shared" si="42"/>
        <v>0</v>
      </c>
      <c r="G135" s="84">
        <f t="shared" si="42"/>
        <v>0</v>
      </c>
      <c r="H135" s="84">
        <f t="shared" si="42"/>
        <v>32</v>
      </c>
      <c r="I135" s="84">
        <f t="shared" si="42"/>
        <v>1281</v>
      </c>
      <c r="J135" s="84">
        <f t="shared" si="42"/>
        <v>16468</v>
      </c>
      <c r="K135" s="84">
        <f t="shared" si="42"/>
        <v>8827403</v>
      </c>
      <c r="L135" s="116">
        <f t="shared" si="42"/>
        <v>6607689</v>
      </c>
      <c r="M135" s="84">
        <f t="shared" si="42"/>
        <v>2219714</v>
      </c>
    </row>
    <row r="136" spans="1:13" x14ac:dyDescent="0.25">
      <c r="A136" s="258" t="s">
        <v>14</v>
      </c>
      <c r="B136" s="268" t="s">
        <v>23</v>
      </c>
      <c r="C136" s="2" t="s">
        <v>24</v>
      </c>
      <c r="D136" s="3">
        <v>4756797</v>
      </c>
      <c r="E136" s="3">
        <v>4957079</v>
      </c>
      <c r="F136" s="60">
        <f>'2019.10.31.'!F136-6878</f>
        <v>-6878</v>
      </c>
      <c r="G136" s="60"/>
      <c r="H136" s="60"/>
      <c r="I136" s="60"/>
      <c r="J136" s="60">
        <f>'2019.10.31.'!I136</f>
        <v>9580</v>
      </c>
      <c r="K136" s="20">
        <f t="shared" ref="K136:K142" si="43">E136+F136+G136+I136+J136</f>
        <v>4959781</v>
      </c>
      <c r="L136" s="112">
        <v>3751578</v>
      </c>
      <c r="M136" s="3">
        <f t="shared" ref="M136:M142" si="44">K136-L136</f>
        <v>1208203</v>
      </c>
    </row>
    <row r="137" spans="1:13" x14ac:dyDescent="0.25">
      <c r="A137" s="258"/>
      <c r="B137" s="268"/>
      <c r="C137" s="2" t="s">
        <v>25</v>
      </c>
      <c r="D137" s="3">
        <v>200000</v>
      </c>
      <c r="E137" s="3">
        <v>200000</v>
      </c>
      <c r="F137" s="60">
        <f>'2019.10.31.'!F137</f>
        <v>0</v>
      </c>
      <c r="G137" s="3"/>
      <c r="H137" s="3"/>
      <c r="I137" s="3"/>
      <c r="J137" s="60">
        <f>'2019.10.31.'!I137</f>
        <v>0</v>
      </c>
      <c r="K137" s="20">
        <f t="shared" si="43"/>
        <v>200000</v>
      </c>
      <c r="L137" s="112">
        <v>200000</v>
      </c>
      <c r="M137" s="3">
        <f t="shared" si="44"/>
        <v>0</v>
      </c>
    </row>
    <row r="138" spans="1:13" x14ac:dyDescent="0.25">
      <c r="A138" s="258"/>
      <c r="B138" s="268"/>
      <c r="C138" s="2" t="s">
        <v>26</v>
      </c>
      <c r="D138" s="3">
        <v>10000</v>
      </c>
      <c r="E138" s="3">
        <v>10000</v>
      </c>
      <c r="F138" s="60">
        <f>'2019.10.31.'!F138</f>
        <v>0</v>
      </c>
      <c r="G138" s="3"/>
      <c r="H138" s="3"/>
      <c r="I138" s="3"/>
      <c r="J138" s="60">
        <f>'2019.10.31.'!I138</f>
        <v>0</v>
      </c>
      <c r="K138" s="20">
        <f t="shared" si="43"/>
        <v>10000</v>
      </c>
      <c r="L138" s="112">
        <v>0</v>
      </c>
      <c r="M138" s="3">
        <f t="shared" si="44"/>
        <v>10000</v>
      </c>
    </row>
    <row r="139" spans="1:13" x14ac:dyDescent="0.25">
      <c r="A139" s="258"/>
      <c r="B139" s="268"/>
      <c r="C139" s="2" t="s">
        <v>27</v>
      </c>
      <c r="D139" s="3">
        <v>255000</v>
      </c>
      <c r="E139" s="3">
        <v>255000</v>
      </c>
      <c r="F139" s="60">
        <f>'2019.10.31.'!F139</f>
        <v>0</v>
      </c>
      <c r="G139" s="3"/>
      <c r="H139" s="3"/>
      <c r="I139" s="3"/>
      <c r="J139" s="60">
        <f>'2019.10.31.'!I139</f>
        <v>0</v>
      </c>
      <c r="K139" s="20">
        <f t="shared" si="43"/>
        <v>255000</v>
      </c>
      <c r="L139" s="112">
        <v>170406</v>
      </c>
      <c r="M139" s="3">
        <f t="shared" si="44"/>
        <v>84594</v>
      </c>
    </row>
    <row r="140" spans="1:13" x14ac:dyDescent="0.25">
      <c r="A140" s="258"/>
      <c r="B140" s="268"/>
      <c r="C140" s="2" t="s">
        <v>28</v>
      </c>
      <c r="D140" s="3">
        <v>24000</v>
      </c>
      <c r="E140" s="3">
        <v>24000</v>
      </c>
      <c r="F140" s="60">
        <f>'2019.10.31.'!F140</f>
        <v>0</v>
      </c>
      <c r="G140" s="3"/>
      <c r="H140" s="3"/>
      <c r="I140" s="3"/>
      <c r="J140" s="60">
        <f>'2019.10.31.'!I140</f>
        <v>0</v>
      </c>
      <c r="K140" s="20">
        <f t="shared" si="43"/>
        <v>24000</v>
      </c>
      <c r="L140" s="112">
        <v>12000</v>
      </c>
      <c r="M140" s="3">
        <f t="shared" si="44"/>
        <v>12000</v>
      </c>
    </row>
    <row r="141" spans="1:13" x14ac:dyDescent="0.25">
      <c r="A141" s="258"/>
      <c r="B141" s="268"/>
      <c r="C141" s="2" t="s">
        <v>29</v>
      </c>
      <c r="D141" s="3">
        <v>0</v>
      </c>
      <c r="E141" s="3">
        <v>128307</v>
      </c>
      <c r="F141" s="60">
        <f>'2019.10.31.'!F141</f>
        <v>0</v>
      </c>
      <c r="G141" s="3"/>
      <c r="H141" s="3"/>
      <c r="I141" s="3"/>
      <c r="J141" s="60">
        <f>'2019.10.31.'!I141</f>
        <v>0</v>
      </c>
      <c r="K141" s="20">
        <f t="shared" si="43"/>
        <v>128307</v>
      </c>
      <c r="L141" s="112">
        <v>102307</v>
      </c>
      <c r="M141" s="3">
        <f t="shared" si="44"/>
        <v>26000</v>
      </c>
    </row>
    <row r="142" spans="1:13" x14ac:dyDescent="0.25">
      <c r="A142" s="258"/>
      <c r="B142" s="268"/>
      <c r="C142" s="2" t="s">
        <v>30</v>
      </c>
      <c r="D142" s="3">
        <v>0</v>
      </c>
      <c r="E142" s="3">
        <v>0</v>
      </c>
      <c r="F142" s="60">
        <f>'2019.10.31.'!F142+6878</f>
        <v>6878</v>
      </c>
      <c r="G142" s="3"/>
      <c r="H142" s="3"/>
      <c r="I142" s="3"/>
      <c r="J142" s="60">
        <f>'2019.10.31.'!I142</f>
        <v>0</v>
      </c>
      <c r="K142" s="20">
        <f t="shared" si="43"/>
        <v>6878</v>
      </c>
      <c r="L142" s="112">
        <v>0</v>
      </c>
      <c r="M142" s="3">
        <f t="shared" si="44"/>
        <v>6878</v>
      </c>
    </row>
    <row r="143" spans="1:13" x14ac:dyDescent="0.25">
      <c r="A143" s="258"/>
      <c r="B143" s="268"/>
      <c r="C143" s="6" t="s">
        <v>53</v>
      </c>
      <c r="D143" s="7">
        <f>SUM(D136:D142)</f>
        <v>5245797</v>
      </c>
      <c r="E143" s="7">
        <v>5574386</v>
      </c>
      <c r="F143" s="7">
        <f t="shared" ref="F143:M143" si="45">SUM(F136:F142)</f>
        <v>0</v>
      </c>
      <c r="G143" s="7">
        <f t="shared" si="45"/>
        <v>0</v>
      </c>
      <c r="H143" s="7">
        <f t="shared" si="45"/>
        <v>0</v>
      </c>
      <c r="I143" s="7">
        <f t="shared" si="45"/>
        <v>0</v>
      </c>
      <c r="J143" s="7">
        <f t="shared" si="45"/>
        <v>9580</v>
      </c>
      <c r="K143" s="7">
        <f t="shared" si="45"/>
        <v>5583966</v>
      </c>
      <c r="L143" s="114">
        <f t="shared" si="45"/>
        <v>4236291</v>
      </c>
      <c r="M143" s="7">
        <f t="shared" si="45"/>
        <v>1347675</v>
      </c>
    </row>
    <row r="144" spans="1:13" x14ac:dyDescent="0.25">
      <c r="A144" s="258"/>
      <c r="B144" s="268"/>
      <c r="C144" s="86" t="s">
        <v>31</v>
      </c>
      <c r="D144" s="87">
        <v>1025121</v>
      </c>
      <c r="E144" s="87">
        <v>1089196</v>
      </c>
      <c r="F144" s="89">
        <f>'2019.10.31.'!F144</f>
        <v>0</v>
      </c>
      <c r="G144" s="89"/>
      <c r="H144" s="89"/>
      <c r="I144" s="89"/>
      <c r="J144" s="89">
        <f>'2019.10.31.'!I144</f>
        <v>1677</v>
      </c>
      <c r="K144" s="88">
        <f t="shared" ref="K144:K152" si="46">E144+F144+G144+I144+J144</f>
        <v>1090873</v>
      </c>
      <c r="L144" s="115">
        <v>852858</v>
      </c>
      <c r="M144" s="89">
        <f t="shared" ref="M144:M152" si="47">K144-L144</f>
        <v>238015</v>
      </c>
    </row>
    <row r="145" spans="1:13" x14ac:dyDescent="0.25">
      <c r="A145" s="258"/>
      <c r="B145" s="268"/>
      <c r="C145" s="2" t="s">
        <v>32</v>
      </c>
      <c r="D145" s="3">
        <v>80000</v>
      </c>
      <c r="E145" s="3">
        <v>80000</v>
      </c>
      <c r="F145" s="60">
        <f>'2019.10.31.'!F145</f>
        <v>0</v>
      </c>
      <c r="G145" s="60"/>
      <c r="H145" s="60"/>
      <c r="I145" s="60"/>
      <c r="J145" s="60">
        <f>'2019.10.31.'!I145</f>
        <v>0</v>
      </c>
      <c r="K145" s="20">
        <f t="shared" si="46"/>
        <v>80000</v>
      </c>
      <c r="L145" s="112">
        <v>0</v>
      </c>
      <c r="M145" s="3">
        <f t="shared" si="47"/>
        <v>80000</v>
      </c>
    </row>
    <row r="146" spans="1:13" x14ac:dyDescent="0.25">
      <c r="A146" s="258"/>
      <c r="B146" s="268"/>
      <c r="C146" s="2" t="s">
        <v>33</v>
      </c>
      <c r="D146" s="3">
        <v>110000</v>
      </c>
      <c r="E146" s="3">
        <v>50000</v>
      </c>
      <c r="F146" s="60">
        <f>'2019.10.31.'!F146+50000</f>
        <v>50000</v>
      </c>
      <c r="G146" s="3"/>
      <c r="H146" s="3"/>
      <c r="I146" s="3"/>
      <c r="J146" s="60">
        <f>'2019.10.31.'!I146</f>
        <v>0</v>
      </c>
      <c r="K146" s="20">
        <f t="shared" si="46"/>
        <v>100000</v>
      </c>
      <c r="L146" s="112">
        <v>0</v>
      </c>
      <c r="M146" s="3">
        <f t="shared" si="47"/>
        <v>100000</v>
      </c>
    </row>
    <row r="147" spans="1:13" x14ac:dyDescent="0.25">
      <c r="A147" s="258"/>
      <c r="B147" s="268"/>
      <c r="C147" s="2" t="s">
        <v>34</v>
      </c>
      <c r="D147" s="3">
        <v>150000</v>
      </c>
      <c r="E147" s="3">
        <v>136000</v>
      </c>
      <c r="F147" s="60">
        <f>'2019.10.31.'!F147-50000</f>
        <v>-50000</v>
      </c>
      <c r="G147" s="3"/>
      <c r="H147" s="3"/>
      <c r="I147" s="3"/>
      <c r="J147" s="60">
        <f>'2019.10.31.'!I147</f>
        <v>0</v>
      </c>
      <c r="K147" s="20">
        <f t="shared" si="46"/>
        <v>86000</v>
      </c>
      <c r="L147" s="112">
        <v>0</v>
      </c>
      <c r="M147" s="3">
        <f t="shared" si="47"/>
        <v>86000</v>
      </c>
    </row>
    <row r="148" spans="1:13" x14ac:dyDescent="0.25">
      <c r="A148" s="258"/>
      <c r="B148" s="268"/>
      <c r="C148" s="2" t="s">
        <v>38</v>
      </c>
      <c r="D148" s="3">
        <v>144000</v>
      </c>
      <c r="E148" s="3">
        <v>140600</v>
      </c>
      <c r="F148" s="60">
        <f>'2019.10.31.'!F148</f>
        <v>0</v>
      </c>
      <c r="G148" s="3"/>
      <c r="H148" s="3"/>
      <c r="I148" s="3"/>
      <c r="J148" s="60">
        <f>'2019.10.31.'!I148</f>
        <v>0</v>
      </c>
      <c r="K148" s="20">
        <f t="shared" si="46"/>
        <v>140600</v>
      </c>
      <c r="L148" s="112">
        <v>0</v>
      </c>
      <c r="M148" s="3">
        <f t="shared" si="47"/>
        <v>140600</v>
      </c>
    </row>
    <row r="149" spans="1:13" x14ac:dyDescent="0.25">
      <c r="A149" s="258"/>
      <c r="B149" s="268"/>
      <c r="C149" s="2" t="s">
        <v>40</v>
      </c>
      <c r="D149" s="3">
        <v>16800</v>
      </c>
      <c r="E149" s="3">
        <v>20200</v>
      </c>
      <c r="F149" s="60">
        <f>'2019.10.31.'!F149</f>
        <v>0</v>
      </c>
      <c r="G149" s="3"/>
      <c r="H149" s="3"/>
      <c r="I149" s="3"/>
      <c r="J149" s="60">
        <f>'2019.10.31.'!I149</f>
        <v>0</v>
      </c>
      <c r="K149" s="20">
        <f t="shared" si="46"/>
        <v>20200</v>
      </c>
      <c r="L149" s="112">
        <v>6800</v>
      </c>
      <c r="M149" s="3">
        <f t="shared" si="47"/>
        <v>13400</v>
      </c>
    </row>
    <row r="150" spans="1:13" x14ac:dyDescent="0.25">
      <c r="A150" s="258"/>
      <c r="B150" s="268"/>
      <c r="C150" s="2" t="s">
        <v>41</v>
      </c>
      <c r="D150" s="3">
        <v>40000</v>
      </c>
      <c r="E150" s="3">
        <v>120280</v>
      </c>
      <c r="F150" s="60">
        <f>'2019.10.31.'!F150</f>
        <v>0</v>
      </c>
      <c r="G150" s="3"/>
      <c r="H150" s="3"/>
      <c r="I150" s="3"/>
      <c r="J150" s="60">
        <f>'2019.10.31.'!I150</f>
        <v>0</v>
      </c>
      <c r="K150" s="20">
        <f t="shared" si="46"/>
        <v>120280</v>
      </c>
      <c r="L150" s="112">
        <v>80860</v>
      </c>
      <c r="M150" s="3">
        <f t="shared" si="47"/>
        <v>39420</v>
      </c>
    </row>
    <row r="151" spans="1:13" x14ac:dyDescent="0.25">
      <c r="A151" s="258"/>
      <c r="B151" s="268"/>
      <c r="C151" s="2" t="s">
        <v>42</v>
      </c>
      <c r="D151" s="3">
        <v>150000</v>
      </c>
      <c r="E151" s="3">
        <v>143720</v>
      </c>
      <c r="F151" s="60">
        <f>'2019.10.31.'!F151</f>
        <v>0</v>
      </c>
      <c r="G151" s="3"/>
      <c r="H151" s="3"/>
      <c r="I151" s="3"/>
      <c r="J151" s="60">
        <f>'2019.10.31.'!I151</f>
        <v>0</v>
      </c>
      <c r="K151" s="20">
        <f t="shared" si="46"/>
        <v>143720</v>
      </c>
      <c r="L151" s="112">
        <v>90600</v>
      </c>
      <c r="M151" s="3">
        <f t="shared" si="47"/>
        <v>53120</v>
      </c>
    </row>
    <row r="152" spans="1:13" x14ac:dyDescent="0.25">
      <c r="A152" s="258"/>
      <c r="B152" s="268"/>
      <c r="C152" s="2" t="s">
        <v>44</v>
      </c>
      <c r="D152" s="3">
        <v>141480</v>
      </c>
      <c r="E152" s="3">
        <v>141480</v>
      </c>
      <c r="F152" s="60">
        <f>'2019.10.31.'!F152</f>
        <v>0</v>
      </c>
      <c r="G152" s="3"/>
      <c r="H152" s="3"/>
      <c r="I152" s="3"/>
      <c r="J152" s="60">
        <f>'2019.10.31.'!I152</f>
        <v>0</v>
      </c>
      <c r="K152" s="20">
        <f t="shared" si="46"/>
        <v>141480</v>
      </c>
      <c r="L152" s="112">
        <v>11033</v>
      </c>
      <c r="M152" s="3">
        <f t="shared" si="47"/>
        <v>130447</v>
      </c>
    </row>
    <row r="153" spans="1:13" x14ac:dyDescent="0.25">
      <c r="A153" s="258"/>
      <c r="B153" s="268"/>
      <c r="C153" s="6" t="s">
        <v>49</v>
      </c>
      <c r="D153" s="7">
        <f>SUM(D145:D152)</f>
        <v>832280</v>
      </c>
      <c r="E153" s="7">
        <v>832280</v>
      </c>
      <c r="F153" s="7">
        <f t="shared" ref="F153:M153" si="48">SUM(F145:F152)</f>
        <v>0</v>
      </c>
      <c r="G153" s="7">
        <f t="shared" si="48"/>
        <v>0</v>
      </c>
      <c r="H153" s="7">
        <f t="shared" si="48"/>
        <v>0</v>
      </c>
      <c r="I153" s="7">
        <f t="shared" si="48"/>
        <v>0</v>
      </c>
      <c r="J153" s="7">
        <f t="shared" si="48"/>
        <v>0</v>
      </c>
      <c r="K153" s="7">
        <f t="shared" si="48"/>
        <v>832280</v>
      </c>
      <c r="L153" s="114">
        <f t="shared" si="48"/>
        <v>189293</v>
      </c>
      <c r="M153" s="7">
        <f t="shared" si="48"/>
        <v>642987</v>
      </c>
    </row>
    <row r="154" spans="1:13" x14ac:dyDescent="0.25">
      <c r="A154" s="255" t="s">
        <v>66</v>
      </c>
      <c r="B154" s="252" t="s">
        <v>23</v>
      </c>
      <c r="C154" s="15" t="s">
        <v>24</v>
      </c>
      <c r="D154" s="24">
        <v>832628</v>
      </c>
      <c r="E154" s="24">
        <v>832628</v>
      </c>
      <c r="F154" s="60">
        <f>'2019.10.31.'!F154</f>
        <v>0</v>
      </c>
      <c r="G154" s="60"/>
      <c r="H154" s="60"/>
      <c r="I154" s="60">
        <v>-10559</v>
      </c>
      <c r="J154" s="60">
        <f>'2019.10.31.'!I154</f>
        <v>0</v>
      </c>
      <c r="K154" s="20">
        <f t="shared" ref="K154:K155" si="49">E154+F154+G154+I154+J154</f>
        <v>822069</v>
      </c>
      <c r="L154" s="112">
        <v>683020</v>
      </c>
      <c r="M154" s="3">
        <f t="shared" ref="M154:M155" si="50">K154-L154</f>
        <v>139049</v>
      </c>
    </row>
    <row r="155" spans="1:13" x14ac:dyDescent="0.25">
      <c r="A155" s="257"/>
      <c r="B155" s="254"/>
      <c r="C155" s="15" t="s">
        <v>31</v>
      </c>
      <c r="D155" s="24">
        <v>155410</v>
      </c>
      <c r="E155" s="24">
        <v>155410</v>
      </c>
      <c r="F155" s="60">
        <f>'2019.10.31.'!F155</f>
        <v>0</v>
      </c>
      <c r="G155" s="3"/>
      <c r="H155" s="3"/>
      <c r="I155" s="3">
        <v>-2059</v>
      </c>
      <c r="J155" s="60">
        <f>'2019.10.31.'!I155</f>
        <v>0</v>
      </c>
      <c r="K155" s="20">
        <f t="shared" si="49"/>
        <v>153351</v>
      </c>
      <c r="L155" s="112">
        <v>129018</v>
      </c>
      <c r="M155" s="3">
        <f t="shared" si="50"/>
        <v>24333</v>
      </c>
    </row>
    <row r="156" spans="1:13" x14ac:dyDescent="0.25">
      <c r="A156" s="304" t="s">
        <v>79</v>
      </c>
      <c r="B156" s="305"/>
      <c r="C156" s="306"/>
      <c r="D156" s="84">
        <f>SUM(D143+D144+D153+D154+D155)</f>
        <v>8091236</v>
      </c>
      <c r="E156" s="84">
        <f t="shared" ref="E156:M156" si="51">SUM(E143+E144+E153+E154+E155)</f>
        <v>8483900</v>
      </c>
      <c r="F156" s="84">
        <f t="shared" si="51"/>
        <v>0</v>
      </c>
      <c r="G156" s="84">
        <f t="shared" si="51"/>
        <v>0</v>
      </c>
      <c r="H156" s="84">
        <f t="shared" si="51"/>
        <v>0</v>
      </c>
      <c r="I156" s="84">
        <f t="shared" si="51"/>
        <v>-12618</v>
      </c>
      <c r="J156" s="84">
        <f t="shared" si="51"/>
        <v>11257</v>
      </c>
      <c r="K156" s="84">
        <f t="shared" si="51"/>
        <v>8482539</v>
      </c>
      <c r="L156" s="116">
        <f t="shared" si="51"/>
        <v>6090480</v>
      </c>
      <c r="M156" s="84">
        <f t="shared" si="51"/>
        <v>2392059</v>
      </c>
    </row>
    <row r="157" spans="1:13" x14ac:dyDescent="0.25">
      <c r="A157" s="258" t="s">
        <v>55</v>
      </c>
      <c r="B157" s="268" t="s">
        <v>23</v>
      </c>
      <c r="C157" s="10" t="s">
        <v>24</v>
      </c>
      <c r="D157" s="24">
        <v>5055869</v>
      </c>
      <c r="E157" s="24">
        <v>5275466</v>
      </c>
      <c r="F157" s="60">
        <f>'2019.10.31.'!F157-40301-6878</f>
        <v>-47179</v>
      </c>
      <c r="G157" s="60"/>
      <c r="H157" s="60"/>
      <c r="I157" s="60"/>
      <c r="J157" s="60">
        <f>'2019.10.31.'!I157</f>
        <v>0</v>
      </c>
      <c r="K157" s="20">
        <f t="shared" ref="K157:K162" si="52">E157+F157+G157+I157+J157</f>
        <v>5228287</v>
      </c>
      <c r="L157" s="112">
        <v>4070996</v>
      </c>
      <c r="M157" s="3">
        <f t="shared" ref="M157:M162" si="53">K157-L157</f>
        <v>1157291</v>
      </c>
    </row>
    <row r="158" spans="1:13" x14ac:dyDescent="0.25">
      <c r="A158" s="258"/>
      <c r="B158" s="268"/>
      <c r="C158" s="10" t="s">
        <v>25</v>
      </c>
      <c r="D158" s="24">
        <v>425000</v>
      </c>
      <c r="E158" s="24">
        <v>425000</v>
      </c>
      <c r="F158" s="60">
        <f>'2019.10.31.'!F158</f>
        <v>0</v>
      </c>
      <c r="G158" s="3"/>
      <c r="H158" s="3"/>
      <c r="I158" s="3"/>
      <c r="J158" s="60">
        <f>'2019.10.31.'!I158</f>
        <v>0</v>
      </c>
      <c r="K158" s="20">
        <f t="shared" si="52"/>
        <v>425000</v>
      </c>
      <c r="L158" s="112">
        <v>402500</v>
      </c>
      <c r="M158" s="3">
        <f t="shared" si="53"/>
        <v>22500</v>
      </c>
    </row>
    <row r="159" spans="1:13" x14ac:dyDescent="0.25">
      <c r="A159" s="258"/>
      <c r="B159" s="268"/>
      <c r="C159" s="10" t="s">
        <v>26</v>
      </c>
      <c r="D159" s="24">
        <v>10000</v>
      </c>
      <c r="E159" s="24">
        <v>10000</v>
      </c>
      <c r="F159" s="60">
        <f>'2019.10.31.'!F159</f>
        <v>0</v>
      </c>
      <c r="G159" s="3"/>
      <c r="H159" s="3"/>
      <c r="I159" s="3"/>
      <c r="J159" s="60">
        <f>'2019.10.31.'!I159</f>
        <v>0</v>
      </c>
      <c r="K159" s="20">
        <f t="shared" si="52"/>
        <v>10000</v>
      </c>
      <c r="L159" s="112">
        <v>0</v>
      </c>
      <c r="M159" s="3">
        <f t="shared" si="53"/>
        <v>10000</v>
      </c>
    </row>
    <row r="160" spans="1:13" x14ac:dyDescent="0.25">
      <c r="A160" s="258"/>
      <c r="B160" s="268"/>
      <c r="C160" s="10" t="s">
        <v>28</v>
      </c>
      <c r="D160" s="24">
        <v>24000</v>
      </c>
      <c r="E160" s="24">
        <v>24000</v>
      </c>
      <c r="F160" s="60">
        <f>'2019.10.31.'!F160</f>
        <v>0</v>
      </c>
      <c r="G160" s="3"/>
      <c r="H160" s="3"/>
      <c r="I160" s="3"/>
      <c r="J160" s="60">
        <f>'2019.10.31.'!I160</f>
        <v>0</v>
      </c>
      <c r="K160" s="20">
        <f t="shared" si="52"/>
        <v>24000</v>
      </c>
      <c r="L160" s="112">
        <v>12000</v>
      </c>
      <c r="M160" s="3">
        <f t="shared" si="53"/>
        <v>12000</v>
      </c>
    </row>
    <row r="161" spans="1:13" x14ac:dyDescent="0.25">
      <c r="A161" s="258"/>
      <c r="B161" s="268"/>
      <c r="C161" s="10" t="s">
        <v>29</v>
      </c>
      <c r="D161" s="24">
        <v>75000</v>
      </c>
      <c r="E161" s="24">
        <v>125000</v>
      </c>
      <c r="F161" s="60">
        <f>'2019.10.31.'!F161+40301</f>
        <v>40301</v>
      </c>
      <c r="G161" s="3"/>
      <c r="H161" s="3"/>
      <c r="I161" s="3"/>
      <c r="J161" s="60">
        <f>'2019.10.31.'!I161</f>
        <v>0</v>
      </c>
      <c r="K161" s="20">
        <f t="shared" si="52"/>
        <v>165301</v>
      </c>
      <c r="L161" s="112">
        <v>2000</v>
      </c>
      <c r="M161" s="3">
        <f t="shared" si="53"/>
        <v>163301</v>
      </c>
    </row>
    <row r="162" spans="1:13" x14ac:dyDescent="0.25">
      <c r="A162" s="258"/>
      <c r="B162" s="268"/>
      <c r="C162" s="10" t="s">
        <v>30</v>
      </c>
      <c r="D162" s="24">
        <v>0</v>
      </c>
      <c r="E162" s="24">
        <v>0</v>
      </c>
      <c r="F162" s="60">
        <f>'2019.10.31.'!F162+6878</f>
        <v>6878</v>
      </c>
      <c r="G162" s="3"/>
      <c r="H162" s="3"/>
      <c r="I162" s="3"/>
      <c r="J162" s="60">
        <f>'2019.10.31.'!I162</f>
        <v>0</v>
      </c>
      <c r="K162" s="20">
        <f t="shared" si="52"/>
        <v>6878</v>
      </c>
      <c r="L162" s="112">
        <v>0</v>
      </c>
      <c r="M162" s="3">
        <f t="shared" si="53"/>
        <v>6878</v>
      </c>
    </row>
    <row r="163" spans="1:13" x14ac:dyDescent="0.25">
      <c r="A163" s="258"/>
      <c r="B163" s="268"/>
      <c r="C163" s="6" t="s">
        <v>53</v>
      </c>
      <c r="D163" s="7">
        <f>SUM(D157:D162)</f>
        <v>5589869</v>
      </c>
      <c r="E163" s="7">
        <v>5859466</v>
      </c>
      <c r="F163" s="7">
        <f t="shared" ref="F163:M163" si="54">SUM(F157:F162)</f>
        <v>0</v>
      </c>
      <c r="G163" s="7">
        <f t="shared" si="54"/>
        <v>0</v>
      </c>
      <c r="H163" s="7">
        <f t="shared" si="54"/>
        <v>0</v>
      </c>
      <c r="I163" s="7">
        <f t="shared" si="54"/>
        <v>0</v>
      </c>
      <c r="J163" s="7">
        <f t="shared" si="54"/>
        <v>0</v>
      </c>
      <c r="K163" s="7">
        <f t="shared" si="54"/>
        <v>5859466</v>
      </c>
      <c r="L163" s="114">
        <f t="shared" si="54"/>
        <v>4487496</v>
      </c>
      <c r="M163" s="7">
        <f t="shared" si="54"/>
        <v>1371970</v>
      </c>
    </row>
    <row r="164" spans="1:13" x14ac:dyDescent="0.25">
      <c r="A164" s="258"/>
      <c r="B164" s="268"/>
      <c r="C164" s="86" t="s">
        <v>31</v>
      </c>
      <c r="D164" s="87">
        <v>1124913</v>
      </c>
      <c r="E164" s="87">
        <v>1177484</v>
      </c>
      <c r="F164" s="89">
        <f>'2019.10.31.'!F164</f>
        <v>0</v>
      </c>
      <c r="G164" s="89"/>
      <c r="H164" s="89"/>
      <c r="I164" s="89"/>
      <c r="J164" s="89">
        <f>'2019.10.31.'!I164</f>
        <v>0</v>
      </c>
      <c r="K164" s="88">
        <f t="shared" ref="K164:K173" si="55">E164+F164+G164+I164+J164</f>
        <v>1177484</v>
      </c>
      <c r="L164" s="115">
        <v>932459</v>
      </c>
      <c r="M164" s="89">
        <f t="shared" ref="M164:M173" si="56">K164-L164</f>
        <v>245025</v>
      </c>
    </row>
    <row r="165" spans="1:13" x14ac:dyDescent="0.25">
      <c r="A165" s="258"/>
      <c r="B165" s="268"/>
      <c r="C165" s="10" t="s">
        <v>32</v>
      </c>
      <c r="D165" s="24">
        <v>100000</v>
      </c>
      <c r="E165" s="24">
        <v>50000</v>
      </c>
      <c r="F165" s="60">
        <f>'2019.10.31.'!F165</f>
        <v>0</v>
      </c>
      <c r="G165" s="60"/>
      <c r="H165" s="60"/>
      <c r="I165" s="60"/>
      <c r="J165" s="60">
        <f>'2019.10.31.'!I165</f>
        <v>0</v>
      </c>
      <c r="K165" s="20">
        <f t="shared" si="55"/>
        <v>50000</v>
      </c>
      <c r="L165" s="112">
        <v>0</v>
      </c>
      <c r="M165" s="3">
        <f t="shared" si="56"/>
        <v>50000</v>
      </c>
    </row>
    <row r="166" spans="1:13" x14ac:dyDescent="0.25">
      <c r="A166" s="258"/>
      <c r="B166" s="268"/>
      <c r="C166" s="10" t="s">
        <v>33</v>
      </c>
      <c r="D166" s="24">
        <v>100000</v>
      </c>
      <c r="E166" s="24">
        <v>100000</v>
      </c>
      <c r="F166" s="60">
        <f>'2019.10.31.'!F166</f>
        <v>0</v>
      </c>
      <c r="G166" s="3"/>
      <c r="H166" s="3"/>
      <c r="I166" s="3"/>
      <c r="J166" s="60">
        <f>'2019.10.31.'!I166</f>
        <v>0</v>
      </c>
      <c r="K166" s="20">
        <f t="shared" si="55"/>
        <v>100000</v>
      </c>
      <c r="L166" s="112">
        <v>4536</v>
      </c>
      <c r="M166" s="3">
        <f t="shared" si="56"/>
        <v>95464</v>
      </c>
    </row>
    <row r="167" spans="1:13" x14ac:dyDescent="0.25">
      <c r="A167" s="258"/>
      <c r="B167" s="268"/>
      <c r="C167" s="10" t="s">
        <v>34</v>
      </c>
      <c r="D167" s="24">
        <v>100000</v>
      </c>
      <c r="E167" s="24">
        <v>100000</v>
      </c>
      <c r="F167" s="60">
        <f>'2019.10.31.'!F167-50000</f>
        <v>-50000</v>
      </c>
      <c r="G167" s="3"/>
      <c r="H167" s="3"/>
      <c r="I167" s="3"/>
      <c r="J167" s="60">
        <f>'2019.10.31.'!I167</f>
        <v>0</v>
      </c>
      <c r="K167" s="20">
        <f t="shared" si="55"/>
        <v>50000</v>
      </c>
      <c r="L167" s="112">
        <v>0</v>
      </c>
      <c r="M167" s="3">
        <f t="shared" si="56"/>
        <v>50000</v>
      </c>
    </row>
    <row r="168" spans="1:13" x14ac:dyDescent="0.25">
      <c r="A168" s="258"/>
      <c r="B168" s="268"/>
      <c r="C168" s="10" t="s">
        <v>35</v>
      </c>
      <c r="D168" s="24">
        <v>50000</v>
      </c>
      <c r="E168" s="24">
        <v>50000</v>
      </c>
      <c r="F168" s="60">
        <f>'2019.10.31.'!F168</f>
        <v>0</v>
      </c>
      <c r="G168" s="3"/>
      <c r="H168" s="3"/>
      <c r="I168" s="3"/>
      <c r="J168" s="60">
        <f>'2019.10.31.'!I168</f>
        <v>0</v>
      </c>
      <c r="K168" s="20">
        <f t="shared" si="55"/>
        <v>50000</v>
      </c>
      <c r="L168" s="112">
        <v>0</v>
      </c>
      <c r="M168" s="3">
        <f t="shared" si="56"/>
        <v>50000</v>
      </c>
    </row>
    <row r="169" spans="1:13" x14ac:dyDescent="0.25">
      <c r="A169" s="258"/>
      <c r="B169" s="268"/>
      <c r="C169" s="10" t="s">
        <v>38</v>
      </c>
      <c r="D169" s="24">
        <v>140000</v>
      </c>
      <c r="E169" s="24">
        <v>136600</v>
      </c>
      <c r="F169" s="60">
        <f>'2019.10.31.'!F169</f>
        <v>0</v>
      </c>
      <c r="G169" s="3"/>
      <c r="H169" s="3"/>
      <c r="I169" s="3"/>
      <c r="J169" s="60">
        <f>'2019.10.31.'!I169</f>
        <v>0</v>
      </c>
      <c r="K169" s="20">
        <f t="shared" si="55"/>
        <v>136600</v>
      </c>
      <c r="L169" s="112">
        <v>50790</v>
      </c>
      <c r="M169" s="3">
        <f t="shared" si="56"/>
        <v>85810</v>
      </c>
    </row>
    <row r="170" spans="1:13" x14ac:dyDescent="0.25">
      <c r="A170" s="258"/>
      <c r="B170" s="268"/>
      <c r="C170" s="10" t="s">
        <v>40</v>
      </c>
      <c r="D170" s="24">
        <v>15000</v>
      </c>
      <c r="E170" s="24">
        <v>18400</v>
      </c>
      <c r="F170" s="60">
        <f>'2019.10.31.'!F170</f>
        <v>0</v>
      </c>
      <c r="G170" s="3"/>
      <c r="H170" s="3"/>
      <c r="I170" s="3"/>
      <c r="J170" s="60">
        <f>'2019.10.31.'!I170</f>
        <v>0</v>
      </c>
      <c r="K170" s="20">
        <f t="shared" si="55"/>
        <v>18400</v>
      </c>
      <c r="L170" s="112">
        <v>6350</v>
      </c>
      <c r="M170" s="3">
        <f t="shared" si="56"/>
        <v>12050</v>
      </c>
    </row>
    <row r="171" spans="1:13" x14ac:dyDescent="0.25">
      <c r="A171" s="258"/>
      <c r="B171" s="268"/>
      <c r="C171" s="10" t="s">
        <v>41</v>
      </c>
      <c r="D171" s="24">
        <v>80000</v>
      </c>
      <c r="E171" s="24">
        <v>144188</v>
      </c>
      <c r="F171" s="60">
        <f>'2019.10.31.'!F171</f>
        <v>0</v>
      </c>
      <c r="G171" s="3"/>
      <c r="H171" s="3"/>
      <c r="I171" s="3"/>
      <c r="J171" s="60">
        <f>'2019.10.31.'!I171</f>
        <v>0</v>
      </c>
      <c r="K171" s="20">
        <f t="shared" si="55"/>
        <v>144188</v>
      </c>
      <c r="L171" s="112">
        <v>94768</v>
      </c>
      <c r="M171" s="3">
        <f t="shared" si="56"/>
        <v>49420</v>
      </c>
    </row>
    <row r="172" spans="1:13" x14ac:dyDescent="0.25">
      <c r="A172" s="258"/>
      <c r="B172" s="268"/>
      <c r="C172" s="10" t="s">
        <v>42</v>
      </c>
      <c r="D172" s="24">
        <v>240000</v>
      </c>
      <c r="E172" s="24">
        <v>240000</v>
      </c>
      <c r="F172" s="60">
        <f>'2019.10.31.'!F172+50000</f>
        <v>50000</v>
      </c>
      <c r="G172" s="3"/>
      <c r="H172" s="3"/>
      <c r="I172" s="3"/>
      <c r="J172" s="60">
        <f>'2019.10.31.'!I172</f>
        <v>0</v>
      </c>
      <c r="K172" s="20">
        <f t="shared" si="55"/>
        <v>290000</v>
      </c>
      <c r="L172" s="112">
        <v>229650</v>
      </c>
      <c r="M172" s="3">
        <f t="shared" si="56"/>
        <v>60350</v>
      </c>
    </row>
    <row r="173" spans="1:13" x14ac:dyDescent="0.25">
      <c r="A173" s="258"/>
      <c r="B173" s="268"/>
      <c r="C173" s="10" t="s">
        <v>44</v>
      </c>
      <c r="D173" s="24">
        <v>142900</v>
      </c>
      <c r="E173" s="24">
        <v>128712</v>
      </c>
      <c r="F173" s="60">
        <f>'2019.10.31.'!F173</f>
        <v>0</v>
      </c>
      <c r="G173" s="3"/>
      <c r="H173" s="3"/>
      <c r="I173" s="3"/>
      <c r="J173" s="60">
        <f>'2019.10.31.'!I173</f>
        <v>0</v>
      </c>
      <c r="K173" s="20">
        <f t="shared" si="55"/>
        <v>128712</v>
      </c>
      <c r="L173" s="112">
        <v>22274</v>
      </c>
      <c r="M173" s="3">
        <f t="shared" si="56"/>
        <v>106438</v>
      </c>
    </row>
    <row r="174" spans="1:13" x14ac:dyDescent="0.25">
      <c r="A174" s="258"/>
      <c r="B174" s="268"/>
      <c r="C174" s="6" t="s">
        <v>49</v>
      </c>
      <c r="D174" s="7">
        <f>SUM(D165:D173)</f>
        <v>967900</v>
      </c>
      <c r="E174" s="7">
        <v>967900</v>
      </c>
      <c r="F174" s="7">
        <f t="shared" ref="F174:M174" si="57">SUM(F165:F173)</f>
        <v>0</v>
      </c>
      <c r="G174" s="7">
        <f t="shared" si="57"/>
        <v>0</v>
      </c>
      <c r="H174" s="7">
        <f t="shared" si="57"/>
        <v>0</v>
      </c>
      <c r="I174" s="7">
        <f t="shared" si="57"/>
        <v>0</v>
      </c>
      <c r="J174" s="7">
        <f t="shared" si="57"/>
        <v>0</v>
      </c>
      <c r="K174" s="7">
        <f t="shared" si="57"/>
        <v>967900</v>
      </c>
      <c r="L174" s="114">
        <f t="shared" si="57"/>
        <v>408368</v>
      </c>
      <c r="M174" s="7">
        <f t="shared" si="57"/>
        <v>559532</v>
      </c>
    </row>
    <row r="175" spans="1:13" x14ac:dyDescent="0.25">
      <c r="A175" s="255" t="s">
        <v>67</v>
      </c>
      <c r="B175" s="252" t="s">
        <v>23</v>
      </c>
      <c r="C175" s="25" t="s">
        <v>29</v>
      </c>
      <c r="D175" s="24">
        <v>157200</v>
      </c>
      <c r="E175" s="24">
        <v>157200</v>
      </c>
      <c r="F175" s="60">
        <f>'2019.10.31.'!F175</f>
        <v>0</v>
      </c>
      <c r="G175" s="60"/>
      <c r="H175" s="60">
        <v>-85800</v>
      </c>
      <c r="I175" s="60"/>
      <c r="J175" s="60">
        <f>'2019.10.31.'!I175</f>
        <v>0</v>
      </c>
      <c r="K175" s="20">
        <f>E175+F175+G175+I175+J175+H175</f>
        <v>71400</v>
      </c>
      <c r="L175" s="112">
        <v>60800</v>
      </c>
      <c r="M175" s="3">
        <f t="shared" ref="M175:M191" si="58">K175-L175</f>
        <v>10600</v>
      </c>
    </row>
    <row r="176" spans="1:13" x14ac:dyDescent="0.25">
      <c r="A176" s="257"/>
      <c r="B176" s="254"/>
      <c r="C176" s="25" t="s">
        <v>31</v>
      </c>
      <c r="D176" s="24">
        <v>29213</v>
      </c>
      <c r="E176" s="24">
        <v>29213</v>
      </c>
      <c r="F176" s="60">
        <f>'2019.10.31.'!F176</f>
        <v>0</v>
      </c>
      <c r="G176" s="3"/>
      <c r="H176" s="3">
        <v>-15818</v>
      </c>
      <c r="I176" s="3"/>
      <c r="J176" s="60">
        <f>'2019.10.31.'!I176</f>
        <v>0</v>
      </c>
      <c r="K176" s="20">
        <f>E176+F176+G176+I176+J176+H176</f>
        <v>13395</v>
      </c>
      <c r="L176" s="112">
        <v>11540</v>
      </c>
      <c r="M176" s="3">
        <f t="shared" si="58"/>
        <v>1855</v>
      </c>
    </row>
    <row r="177" spans="1:13" x14ac:dyDescent="0.25">
      <c r="A177" s="255" t="s">
        <v>75</v>
      </c>
      <c r="B177" s="252" t="s">
        <v>23</v>
      </c>
      <c r="C177" s="15" t="s">
        <v>24</v>
      </c>
      <c r="D177" s="24">
        <v>1604509</v>
      </c>
      <c r="E177" s="24">
        <v>1604509</v>
      </c>
      <c r="F177" s="60">
        <f>'2019.10.31.'!F177</f>
        <v>0</v>
      </c>
      <c r="G177" s="3"/>
      <c r="H177" s="3"/>
      <c r="I177" s="3">
        <v>40559</v>
      </c>
      <c r="J177" s="60">
        <f>'2019.10.31.'!I177</f>
        <v>0</v>
      </c>
      <c r="K177" s="20">
        <f t="shared" ref="K177:K191" si="59">E177+F177+G177+I177+J177</f>
        <v>1645068</v>
      </c>
      <c r="L177" s="112">
        <v>1369857</v>
      </c>
      <c r="M177" s="3">
        <f t="shared" si="58"/>
        <v>275211</v>
      </c>
    </row>
    <row r="178" spans="1:13" x14ac:dyDescent="0.25">
      <c r="A178" s="257"/>
      <c r="B178" s="254"/>
      <c r="C178" s="15" t="s">
        <v>31</v>
      </c>
      <c r="D178" s="24">
        <v>299119</v>
      </c>
      <c r="E178" s="24">
        <v>299119</v>
      </c>
      <c r="F178" s="60">
        <f>'2019.10.31.'!F178</f>
        <v>0</v>
      </c>
      <c r="G178" s="3"/>
      <c r="H178" s="3"/>
      <c r="I178" s="3">
        <v>7911</v>
      </c>
      <c r="J178" s="60">
        <f>'2019.10.31.'!I178</f>
        <v>0</v>
      </c>
      <c r="K178" s="20">
        <f t="shared" si="59"/>
        <v>307030</v>
      </c>
      <c r="L178" s="112">
        <v>258868</v>
      </c>
      <c r="M178" s="3">
        <f t="shared" si="58"/>
        <v>48162</v>
      </c>
    </row>
    <row r="179" spans="1:13" x14ac:dyDescent="0.25">
      <c r="A179" s="310" t="s">
        <v>80</v>
      </c>
      <c r="B179" s="310"/>
      <c r="C179" s="310"/>
      <c r="D179" s="85">
        <f>SUM(D163+D164+D174+D175+D176+D177+D178)</f>
        <v>9772723</v>
      </c>
      <c r="E179" s="85">
        <f t="shared" ref="E179:M179" si="60">SUM(E163+E164+E174+E175+E176+E177+E178)</f>
        <v>10094891</v>
      </c>
      <c r="F179" s="85">
        <f t="shared" si="60"/>
        <v>0</v>
      </c>
      <c r="G179" s="85">
        <f t="shared" si="60"/>
        <v>0</v>
      </c>
      <c r="H179" s="85">
        <f t="shared" si="60"/>
        <v>-101618</v>
      </c>
      <c r="I179" s="85">
        <f t="shared" si="60"/>
        <v>48470</v>
      </c>
      <c r="J179" s="85">
        <f t="shared" si="60"/>
        <v>0</v>
      </c>
      <c r="K179" s="85">
        <f t="shared" si="60"/>
        <v>10041743</v>
      </c>
      <c r="L179" s="116">
        <f t="shared" si="60"/>
        <v>7529388</v>
      </c>
      <c r="M179" s="85">
        <f t="shared" si="60"/>
        <v>2512355</v>
      </c>
    </row>
    <row r="180" spans="1:13" x14ac:dyDescent="0.25">
      <c r="A180" s="258" t="s">
        <v>15</v>
      </c>
      <c r="B180" s="252" t="s">
        <v>23</v>
      </c>
      <c r="C180" s="43" t="s">
        <v>24</v>
      </c>
      <c r="D180" s="44">
        <v>11144060</v>
      </c>
      <c r="E180" s="44">
        <v>11144060</v>
      </c>
      <c r="F180" s="60">
        <f>'2019.10.31.'!F180</f>
        <v>0</v>
      </c>
      <c r="G180" s="60"/>
      <c r="H180" s="60"/>
      <c r="I180" s="60"/>
      <c r="J180" s="60">
        <f>'2019.10.31.'!I180</f>
        <v>0</v>
      </c>
      <c r="K180" s="20">
        <f t="shared" si="59"/>
        <v>11144060</v>
      </c>
      <c r="L180" s="56">
        <v>8187749</v>
      </c>
      <c r="M180" s="3">
        <f t="shared" si="58"/>
        <v>2956311</v>
      </c>
    </row>
    <row r="181" spans="1:13" x14ac:dyDescent="0.25">
      <c r="A181" s="258"/>
      <c r="B181" s="253"/>
      <c r="C181" s="43" t="s">
        <v>30</v>
      </c>
      <c r="D181" s="44">
        <v>0</v>
      </c>
      <c r="E181" s="44">
        <v>0</v>
      </c>
      <c r="F181" s="60">
        <f>'2019.10.31.'!F181</f>
        <v>0</v>
      </c>
      <c r="G181" s="3"/>
      <c r="H181" s="3"/>
      <c r="I181" s="3"/>
      <c r="J181" s="60">
        <f>'2019.10.31.'!I181</f>
        <v>0</v>
      </c>
      <c r="K181" s="20">
        <f t="shared" si="59"/>
        <v>0</v>
      </c>
      <c r="L181" s="56">
        <v>0</v>
      </c>
      <c r="M181" s="3">
        <f t="shared" si="58"/>
        <v>0</v>
      </c>
    </row>
    <row r="182" spans="1:13" x14ac:dyDescent="0.25">
      <c r="A182" s="258"/>
      <c r="B182" s="253"/>
      <c r="C182" s="6" t="s">
        <v>53</v>
      </c>
      <c r="D182" s="7">
        <f>D180+D181</f>
        <v>11144060</v>
      </c>
      <c r="E182" s="7">
        <v>11144060</v>
      </c>
      <c r="F182" s="7">
        <f t="shared" ref="F182:M182" si="61">F180+F181</f>
        <v>0</v>
      </c>
      <c r="G182" s="7">
        <f t="shared" si="61"/>
        <v>0</v>
      </c>
      <c r="H182" s="7">
        <f t="shared" si="61"/>
        <v>0</v>
      </c>
      <c r="I182" s="7">
        <f t="shared" si="61"/>
        <v>0</v>
      </c>
      <c r="J182" s="7">
        <f t="shared" si="61"/>
        <v>0</v>
      </c>
      <c r="K182" s="8">
        <f t="shared" si="59"/>
        <v>11144060</v>
      </c>
      <c r="L182" s="117">
        <f t="shared" si="61"/>
        <v>8187749</v>
      </c>
      <c r="M182" s="7">
        <f t="shared" si="61"/>
        <v>2956311</v>
      </c>
    </row>
    <row r="183" spans="1:13" x14ac:dyDescent="0.25">
      <c r="A183" s="258"/>
      <c r="B183" s="253"/>
      <c r="C183" s="86" t="s">
        <v>31</v>
      </c>
      <c r="D183" s="87">
        <v>2295657</v>
      </c>
      <c r="E183" s="87">
        <v>6570207</v>
      </c>
      <c r="F183" s="89">
        <f>'2019.10.31.'!F183</f>
        <v>0</v>
      </c>
      <c r="G183" s="89"/>
      <c r="H183" s="89"/>
      <c r="I183" s="89"/>
      <c r="J183" s="89">
        <f>'2019.10.31.'!I183</f>
        <v>0</v>
      </c>
      <c r="K183" s="89">
        <f t="shared" si="59"/>
        <v>6570207</v>
      </c>
      <c r="L183" s="115">
        <v>4345532</v>
      </c>
      <c r="M183" s="89">
        <f t="shared" si="58"/>
        <v>2224675</v>
      </c>
    </row>
    <row r="184" spans="1:13" x14ac:dyDescent="0.25">
      <c r="A184" s="258"/>
      <c r="B184" s="253"/>
      <c r="C184" s="10" t="s">
        <v>33</v>
      </c>
      <c r="D184" s="3">
        <v>90000</v>
      </c>
      <c r="E184" s="3">
        <v>232959</v>
      </c>
      <c r="F184" s="60">
        <f>'2019.10.31.'!F184</f>
        <v>0</v>
      </c>
      <c r="G184" s="60"/>
      <c r="H184" s="60"/>
      <c r="I184" s="60"/>
      <c r="J184" s="60">
        <f>'2019.10.31.'!I184</f>
        <v>0</v>
      </c>
      <c r="K184" s="3">
        <f t="shared" si="59"/>
        <v>232959</v>
      </c>
      <c r="L184" s="112">
        <v>232959</v>
      </c>
      <c r="M184" s="3">
        <f t="shared" si="58"/>
        <v>0</v>
      </c>
    </row>
    <row r="185" spans="1:13" x14ac:dyDescent="0.25">
      <c r="A185" s="258"/>
      <c r="B185" s="253"/>
      <c r="C185" s="10" t="s">
        <v>37</v>
      </c>
      <c r="D185" s="3">
        <v>230000</v>
      </c>
      <c r="E185" s="3">
        <v>230000</v>
      </c>
      <c r="F185" s="60">
        <f>'2019.10.31.'!F185</f>
        <v>0</v>
      </c>
      <c r="G185" s="3"/>
      <c r="H185" s="3"/>
      <c r="I185" s="3"/>
      <c r="J185" s="60">
        <f>'2019.10.31.'!I185</f>
        <v>0</v>
      </c>
      <c r="K185" s="3">
        <f t="shared" si="59"/>
        <v>230000</v>
      </c>
      <c r="L185" s="112">
        <v>0</v>
      </c>
      <c r="M185" s="3">
        <f t="shared" si="58"/>
        <v>230000</v>
      </c>
    </row>
    <row r="186" spans="1:13" x14ac:dyDescent="0.25">
      <c r="A186" s="258"/>
      <c r="B186" s="253"/>
      <c r="C186" s="10" t="s">
        <v>40</v>
      </c>
      <c r="D186" s="3">
        <v>14850000</v>
      </c>
      <c r="E186" s="3">
        <v>14850000</v>
      </c>
      <c r="F186" s="60">
        <f>'2019.10.31.'!F186</f>
        <v>0</v>
      </c>
      <c r="G186" s="3"/>
      <c r="H186" s="3"/>
      <c r="I186" s="3"/>
      <c r="J186" s="60">
        <f>'2019.10.31.'!I186</f>
        <v>0</v>
      </c>
      <c r="K186" s="3">
        <f t="shared" si="59"/>
        <v>14850000</v>
      </c>
      <c r="L186" s="112">
        <v>0</v>
      </c>
      <c r="M186" s="3">
        <f t="shared" si="58"/>
        <v>14850000</v>
      </c>
    </row>
    <row r="187" spans="1:13" x14ac:dyDescent="0.25">
      <c r="A187" s="258"/>
      <c r="B187" s="253"/>
      <c r="C187" s="10" t="s">
        <v>41</v>
      </c>
      <c r="D187" s="3">
        <v>25112271</v>
      </c>
      <c r="E187" s="3">
        <v>12427045</v>
      </c>
      <c r="F187" s="60">
        <f>'2019.10.31.'!F187</f>
        <v>0</v>
      </c>
      <c r="G187" s="3"/>
      <c r="H187" s="3"/>
      <c r="I187" s="3"/>
      <c r="J187" s="60">
        <f>'2019.10.31.'!I187</f>
        <v>0</v>
      </c>
      <c r="K187" s="3">
        <f t="shared" si="59"/>
        <v>12427045</v>
      </c>
      <c r="L187" s="112">
        <v>5250010</v>
      </c>
      <c r="M187" s="3">
        <f t="shared" si="58"/>
        <v>7177035</v>
      </c>
    </row>
    <row r="188" spans="1:13" x14ac:dyDescent="0.25">
      <c r="A188" s="258"/>
      <c r="B188" s="253"/>
      <c r="C188" s="10" t="s">
        <v>42</v>
      </c>
      <c r="D188" s="3">
        <v>230000</v>
      </c>
      <c r="E188" s="3">
        <v>230000</v>
      </c>
      <c r="F188" s="60">
        <f>'2019.10.31.'!F188</f>
        <v>0</v>
      </c>
      <c r="G188" s="3"/>
      <c r="H188" s="3"/>
      <c r="I188" s="3"/>
      <c r="J188" s="60">
        <f>'2019.10.31.'!I188</f>
        <v>0</v>
      </c>
      <c r="K188" s="3">
        <f t="shared" si="59"/>
        <v>230000</v>
      </c>
      <c r="L188" s="112">
        <v>38298</v>
      </c>
      <c r="M188" s="3">
        <f t="shared" si="58"/>
        <v>191702</v>
      </c>
    </row>
    <row r="189" spans="1:13" x14ac:dyDescent="0.25">
      <c r="A189" s="258"/>
      <c r="B189" s="253"/>
      <c r="C189" s="10" t="s">
        <v>43</v>
      </c>
      <c r="D189" s="3">
        <v>230000</v>
      </c>
      <c r="E189" s="3">
        <v>230000</v>
      </c>
      <c r="F189" s="60">
        <f>'2019.10.31.'!F189</f>
        <v>0</v>
      </c>
      <c r="G189" s="3"/>
      <c r="H189" s="3"/>
      <c r="I189" s="3"/>
      <c r="J189" s="60">
        <f>'2019.10.31.'!I189</f>
        <v>0</v>
      </c>
      <c r="K189" s="3">
        <f t="shared" si="59"/>
        <v>230000</v>
      </c>
      <c r="L189" s="112">
        <v>0</v>
      </c>
      <c r="M189" s="3">
        <f t="shared" si="58"/>
        <v>230000</v>
      </c>
    </row>
    <row r="190" spans="1:13" x14ac:dyDescent="0.25">
      <c r="A190" s="258"/>
      <c r="B190" s="253"/>
      <c r="C190" s="10" t="s">
        <v>44</v>
      </c>
      <c r="D190" s="3">
        <v>5677830</v>
      </c>
      <c r="E190" s="3">
        <v>3445547</v>
      </c>
      <c r="F190" s="60">
        <f>'2019.10.31.'!F190</f>
        <v>0</v>
      </c>
      <c r="G190" s="3"/>
      <c r="H190" s="3"/>
      <c r="I190" s="3"/>
      <c r="J190" s="60">
        <f>'2019.10.31.'!I190</f>
        <v>0</v>
      </c>
      <c r="K190" s="3">
        <f t="shared" si="59"/>
        <v>3445547</v>
      </c>
      <c r="L190" s="112">
        <v>1480399</v>
      </c>
      <c r="M190" s="3">
        <f t="shared" si="58"/>
        <v>1965148</v>
      </c>
    </row>
    <row r="191" spans="1:13" x14ac:dyDescent="0.25">
      <c r="A191" s="258"/>
      <c r="B191" s="253"/>
      <c r="C191" s="10" t="s">
        <v>45</v>
      </c>
      <c r="D191" s="3">
        <v>229990</v>
      </c>
      <c r="E191" s="3">
        <v>229990</v>
      </c>
      <c r="F191" s="60">
        <f>'2019.10.31.'!F191</f>
        <v>0</v>
      </c>
      <c r="G191" s="3"/>
      <c r="H191" s="3"/>
      <c r="I191" s="3"/>
      <c r="J191" s="60">
        <f>'2019.10.31.'!I191</f>
        <v>0</v>
      </c>
      <c r="K191" s="3">
        <f t="shared" si="59"/>
        <v>229990</v>
      </c>
      <c r="L191" s="112">
        <v>0</v>
      </c>
      <c r="M191" s="3">
        <f t="shared" si="58"/>
        <v>229990</v>
      </c>
    </row>
    <row r="192" spans="1:13" x14ac:dyDescent="0.25">
      <c r="A192" s="258"/>
      <c r="B192" s="253"/>
      <c r="C192" s="6" t="s">
        <v>49</v>
      </c>
      <c r="D192" s="7">
        <f>SUM(D184:D191)</f>
        <v>46650091</v>
      </c>
      <c r="E192" s="7">
        <v>31875541</v>
      </c>
      <c r="F192" s="7">
        <f t="shared" ref="F192:M192" si="62">SUM(F184:F191)</f>
        <v>0</v>
      </c>
      <c r="G192" s="7">
        <f t="shared" si="62"/>
        <v>0</v>
      </c>
      <c r="H192" s="7">
        <f t="shared" si="62"/>
        <v>0</v>
      </c>
      <c r="I192" s="7">
        <f t="shared" si="62"/>
        <v>0</v>
      </c>
      <c r="J192" s="7">
        <f t="shared" si="62"/>
        <v>0</v>
      </c>
      <c r="K192" s="7">
        <f t="shared" si="62"/>
        <v>31875541</v>
      </c>
      <c r="L192" s="114">
        <f t="shared" si="62"/>
        <v>7001666</v>
      </c>
      <c r="M192" s="7">
        <f t="shared" si="62"/>
        <v>24873875</v>
      </c>
    </row>
    <row r="193" spans="1:13" x14ac:dyDescent="0.25">
      <c r="A193" s="258"/>
      <c r="B193" s="253"/>
      <c r="C193" s="10" t="s">
        <v>56</v>
      </c>
      <c r="D193" s="3">
        <v>0</v>
      </c>
      <c r="E193" s="3">
        <v>0</v>
      </c>
      <c r="F193" s="60">
        <f>'2019.10.31.'!F193</f>
        <v>0</v>
      </c>
      <c r="G193" s="60"/>
      <c r="H193" s="60"/>
      <c r="I193" s="60"/>
      <c r="J193" s="60">
        <f>'2019.10.31.'!I193</f>
        <v>0</v>
      </c>
      <c r="K193" s="3">
        <f t="shared" ref="K193:K195" si="63">E193+F193+G193+I193+J193</f>
        <v>0</v>
      </c>
      <c r="L193" s="112">
        <v>0</v>
      </c>
      <c r="M193" s="3">
        <f t="shared" ref="M193:M195" si="64">K193-L193</f>
        <v>0</v>
      </c>
    </row>
    <row r="194" spans="1:13" x14ac:dyDescent="0.25">
      <c r="A194" s="258"/>
      <c r="B194" s="253"/>
      <c r="C194" s="10" t="s">
        <v>50</v>
      </c>
      <c r="D194" s="3">
        <v>3740</v>
      </c>
      <c r="E194" s="3">
        <v>3740</v>
      </c>
      <c r="F194" s="60">
        <f>'2019.10.31.'!F194</f>
        <v>0</v>
      </c>
      <c r="G194" s="3"/>
      <c r="H194" s="3"/>
      <c r="I194" s="3"/>
      <c r="J194" s="60">
        <f>'2019.10.31.'!I194</f>
        <v>0</v>
      </c>
      <c r="K194" s="3">
        <f t="shared" si="63"/>
        <v>3740</v>
      </c>
      <c r="L194" s="112">
        <v>0</v>
      </c>
      <c r="M194" s="3">
        <f t="shared" si="64"/>
        <v>3740</v>
      </c>
    </row>
    <row r="195" spans="1:13" x14ac:dyDescent="0.25">
      <c r="A195" s="258"/>
      <c r="B195" s="253"/>
      <c r="C195" s="10" t="s">
        <v>51</v>
      </c>
      <c r="D195" s="3">
        <v>1010</v>
      </c>
      <c r="E195" s="3">
        <v>1010</v>
      </c>
      <c r="F195" s="60">
        <f>'2019.10.31.'!F195</f>
        <v>0</v>
      </c>
      <c r="G195" s="3"/>
      <c r="H195" s="3"/>
      <c r="I195" s="3"/>
      <c r="J195" s="60">
        <f>'2019.10.31.'!I195</f>
        <v>0</v>
      </c>
      <c r="K195" s="3">
        <f t="shared" si="63"/>
        <v>1010</v>
      </c>
      <c r="L195" s="112">
        <v>0</v>
      </c>
      <c r="M195" s="3">
        <f t="shared" si="64"/>
        <v>1010</v>
      </c>
    </row>
    <row r="196" spans="1:13" x14ac:dyDescent="0.25">
      <c r="A196" s="258"/>
      <c r="B196" s="253"/>
      <c r="C196" s="6" t="s">
        <v>52</v>
      </c>
      <c r="D196" s="7">
        <f>SUM(D193:D195)</f>
        <v>4750</v>
      </c>
      <c r="E196" s="7">
        <v>4750</v>
      </c>
      <c r="F196" s="7">
        <f t="shared" ref="F196:M196" si="65">SUM(F193:F195)</f>
        <v>0</v>
      </c>
      <c r="G196" s="7">
        <f t="shared" si="65"/>
        <v>0</v>
      </c>
      <c r="H196" s="7">
        <f t="shared" si="65"/>
        <v>0</v>
      </c>
      <c r="I196" s="7">
        <f t="shared" si="65"/>
        <v>0</v>
      </c>
      <c r="J196" s="7">
        <f t="shared" si="65"/>
        <v>0</v>
      </c>
      <c r="K196" s="7">
        <f t="shared" si="65"/>
        <v>4750</v>
      </c>
      <c r="L196" s="114">
        <f t="shared" si="65"/>
        <v>0</v>
      </c>
      <c r="M196" s="7">
        <f t="shared" si="65"/>
        <v>4750</v>
      </c>
    </row>
    <row r="197" spans="1:13" x14ac:dyDescent="0.25">
      <c r="A197" s="258"/>
      <c r="B197" s="254"/>
      <c r="C197" s="10" t="s">
        <v>57</v>
      </c>
      <c r="D197" s="3">
        <v>0</v>
      </c>
      <c r="E197" s="3">
        <v>10500000</v>
      </c>
      <c r="F197" s="60">
        <f>'2019.10.31.'!F197</f>
        <v>0</v>
      </c>
      <c r="G197" s="60"/>
      <c r="H197" s="60"/>
      <c r="I197" s="60"/>
      <c r="J197" s="60">
        <f>'2019.10.31.'!I197</f>
        <v>0</v>
      </c>
      <c r="K197" s="3">
        <f t="shared" ref="K197" si="66">E197+F197+G197+I197+J197</f>
        <v>10500000</v>
      </c>
      <c r="L197" s="112">
        <v>10500000</v>
      </c>
      <c r="M197" s="3">
        <f t="shared" ref="M197" si="67">K197-L197</f>
        <v>0</v>
      </c>
    </row>
    <row r="198" spans="1:13" x14ac:dyDescent="0.25">
      <c r="A198" s="304" t="s">
        <v>81</v>
      </c>
      <c r="B198" s="305"/>
      <c r="C198" s="306"/>
      <c r="D198" s="84">
        <f>SUM(D182+D183+D192+D196+D197)</f>
        <v>60094558</v>
      </c>
      <c r="E198" s="84">
        <f t="shared" ref="E198:M198" si="68">SUM(E182+E183+E192+E196+E197)</f>
        <v>60094558</v>
      </c>
      <c r="F198" s="84">
        <f t="shared" si="68"/>
        <v>0</v>
      </c>
      <c r="G198" s="84">
        <f t="shared" si="68"/>
        <v>0</v>
      </c>
      <c r="H198" s="84">
        <f t="shared" si="68"/>
        <v>0</v>
      </c>
      <c r="I198" s="84">
        <f t="shared" si="68"/>
        <v>0</v>
      </c>
      <c r="J198" s="84">
        <f t="shared" si="68"/>
        <v>0</v>
      </c>
      <c r="K198" s="84">
        <f t="shared" si="68"/>
        <v>60094558</v>
      </c>
      <c r="L198" s="116">
        <f t="shared" si="68"/>
        <v>30034947</v>
      </c>
      <c r="M198" s="84">
        <f t="shared" si="68"/>
        <v>30059611</v>
      </c>
    </row>
    <row r="199" spans="1:13" x14ac:dyDescent="0.25">
      <c r="A199" s="256" t="s">
        <v>85</v>
      </c>
      <c r="B199" s="252" t="s">
        <v>46</v>
      </c>
      <c r="C199" s="12" t="s">
        <v>24</v>
      </c>
      <c r="D199" s="3">
        <v>9880165</v>
      </c>
      <c r="E199" s="3">
        <v>9562762</v>
      </c>
      <c r="F199" s="60">
        <f>'2019.10.31.'!F199</f>
        <v>0</v>
      </c>
      <c r="G199" s="60"/>
      <c r="H199" s="60"/>
      <c r="I199" s="60"/>
      <c r="J199" s="60">
        <f>'2019.10.31.'!I199</f>
        <v>0</v>
      </c>
      <c r="K199" s="20">
        <f t="shared" ref="K199:K204" si="69">E199+F199+G199+I199+J199</f>
        <v>9562762</v>
      </c>
      <c r="L199" s="112">
        <v>7568980</v>
      </c>
      <c r="M199" s="3">
        <f t="shared" ref="M199:M204" si="70">K199-L199</f>
        <v>1993782</v>
      </c>
    </row>
    <row r="200" spans="1:13" x14ac:dyDescent="0.25">
      <c r="A200" s="256"/>
      <c r="B200" s="253"/>
      <c r="C200" s="12" t="s">
        <v>25</v>
      </c>
      <c r="D200" s="3">
        <v>400000</v>
      </c>
      <c r="E200" s="3">
        <v>400000</v>
      </c>
      <c r="F200" s="60">
        <f>'2019.10.31.'!F200</f>
        <v>0</v>
      </c>
      <c r="G200" s="3"/>
      <c r="H200" s="3"/>
      <c r="I200" s="3"/>
      <c r="J200" s="60">
        <f>'2019.10.31.'!I200</f>
        <v>0</v>
      </c>
      <c r="K200" s="20">
        <f t="shared" si="69"/>
        <v>400000</v>
      </c>
      <c r="L200" s="112">
        <v>400000</v>
      </c>
      <c r="M200" s="3">
        <f t="shared" si="70"/>
        <v>0</v>
      </c>
    </row>
    <row r="201" spans="1:13" x14ac:dyDescent="0.25">
      <c r="A201" s="256"/>
      <c r="B201" s="253"/>
      <c r="C201" s="12" t="s">
        <v>26</v>
      </c>
      <c r="D201" s="3">
        <v>20000</v>
      </c>
      <c r="E201" s="3">
        <v>20000</v>
      </c>
      <c r="F201" s="60">
        <f>'2019.10.31.'!F201</f>
        <v>0</v>
      </c>
      <c r="G201" s="3"/>
      <c r="H201" s="3"/>
      <c r="I201" s="3"/>
      <c r="J201" s="60">
        <f>'2019.10.31.'!I201</f>
        <v>0</v>
      </c>
      <c r="K201" s="20">
        <f t="shared" si="69"/>
        <v>20000</v>
      </c>
      <c r="L201" s="112">
        <v>0</v>
      </c>
      <c r="M201" s="3">
        <f t="shared" si="70"/>
        <v>20000</v>
      </c>
    </row>
    <row r="202" spans="1:13" x14ac:dyDescent="0.25">
      <c r="A202" s="256"/>
      <c r="B202" s="253"/>
      <c r="C202" s="2" t="s">
        <v>27</v>
      </c>
      <c r="D202" s="3">
        <v>75000</v>
      </c>
      <c r="E202" s="3">
        <v>90912</v>
      </c>
      <c r="F202" s="60">
        <f>'2019.10.31.'!F202</f>
        <v>0</v>
      </c>
      <c r="G202" s="3"/>
      <c r="H202" s="3"/>
      <c r="I202" s="3"/>
      <c r="J202" s="60">
        <f>'2019.10.31.'!I202</f>
        <v>0</v>
      </c>
      <c r="K202" s="20">
        <f t="shared" si="69"/>
        <v>90912</v>
      </c>
      <c r="L202" s="112">
        <v>24480</v>
      </c>
      <c r="M202" s="3">
        <f t="shared" si="70"/>
        <v>66432</v>
      </c>
    </row>
    <row r="203" spans="1:13" x14ac:dyDescent="0.25">
      <c r="A203" s="256"/>
      <c r="B203" s="253"/>
      <c r="C203" s="2" t="s">
        <v>28</v>
      </c>
      <c r="D203" s="3">
        <v>48000</v>
      </c>
      <c r="E203" s="3">
        <v>48000</v>
      </c>
      <c r="F203" s="60">
        <f>'2019.10.31.'!F203</f>
        <v>0</v>
      </c>
      <c r="G203" s="3"/>
      <c r="H203" s="3"/>
      <c r="I203" s="3"/>
      <c r="J203" s="60">
        <f>'2019.10.31.'!I203</f>
        <v>0</v>
      </c>
      <c r="K203" s="20">
        <f t="shared" si="69"/>
        <v>48000</v>
      </c>
      <c r="L203" s="112">
        <v>24000</v>
      </c>
      <c r="M203" s="3">
        <f t="shared" si="70"/>
        <v>24000</v>
      </c>
    </row>
    <row r="204" spans="1:13" x14ac:dyDescent="0.25">
      <c r="A204" s="256"/>
      <c r="B204" s="253"/>
      <c r="C204" s="2" t="s">
        <v>29</v>
      </c>
      <c r="D204" s="3">
        <v>264000</v>
      </c>
      <c r="E204" s="3">
        <v>670126</v>
      </c>
      <c r="F204" s="60">
        <f>'2019.10.31.'!F204</f>
        <v>0</v>
      </c>
      <c r="G204" s="3"/>
      <c r="H204" s="3"/>
      <c r="I204" s="3"/>
      <c r="J204" s="60">
        <f>'2019.10.31.'!I204</f>
        <v>0</v>
      </c>
      <c r="K204" s="20">
        <f t="shared" si="69"/>
        <v>670126</v>
      </c>
      <c r="L204" s="112">
        <v>500166</v>
      </c>
      <c r="M204" s="3">
        <f t="shared" si="70"/>
        <v>169960</v>
      </c>
    </row>
    <row r="205" spans="1:13" x14ac:dyDescent="0.25">
      <c r="A205" s="256"/>
      <c r="B205" s="253"/>
      <c r="C205" s="26" t="s">
        <v>53</v>
      </c>
      <c r="D205" s="7">
        <f>SUM(D199:D204)</f>
        <v>10687165</v>
      </c>
      <c r="E205" s="7">
        <v>10791800</v>
      </c>
      <c r="F205" s="7">
        <f t="shared" ref="F205:M205" si="71">SUM(F199:F204)</f>
        <v>0</v>
      </c>
      <c r="G205" s="7">
        <f t="shared" si="71"/>
        <v>0</v>
      </c>
      <c r="H205" s="7">
        <f t="shared" si="71"/>
        <v>0</v>
      </c>
      <c r="I205" s="7">
        <f t="shared" si="71"/>
        <v>0</v>
      </c>
      <c r="J205" s="7">
        <f t="shared" si="71"/>
        <v>0</v>
      </c>
      <c r="K205" s="7">
        <f t="shared" si="71"/>
        <v>10791800</v>
      </c>
      <c r="L205" s="114">
        <f t="shared" si="71"/>
        <v>8517626</v>
      </c>
      <c r="M205" s="7">
        <f t="shared" si="71"/>
        <v>2274174</v>
      </c>
    </row>
    <row r="206" spans="1:13" x14ac:dyDescent="0.25">
      <c r="A206" s="256"/>
      <c r="B206" s="253"/>
      <c r="C206" s="90" t="s">
        <v>31</v>
      </c>
      <c r="D206" s="91">
        <v>2120857</v>
      </c>
      <c r="E206" s="91">
        <v>2120857</v>
      </c>
      <c r="F206" s="89">
        <f>'2019.10.31.'!F206</f>
        <v>0</v>
      </c>
      <c r="G206" s="89"/>
      <c r="H206" s="89"/>
      <c r="I206" s="89"/>
      <c r="J206" s="89">
        <f>'2019.10.31.'!I206</f>
        <v>0</v>
      </c>
      <c r="K206" s="88">
        <f t="shared" ref="K206:K214" si="72">E206+F206+G206+I206+J206</f>
        <v>2120857</v>
      </c>
      <c r="L206" s="115">
        <v>1701199</v>
      </c>
      <c r="M206" s="89">
        <f t="shared" ref="M206:M214" si="73">K206-L206</f>
        <v>419658</v>
      </c>
    </row>
    <row r="207" spans="1:13" x14ac:dyDescent="0.25">
      <c r="A207" s="256"/>
      <c r="B207" s="253"/>
      <c r="C207" s="176" t="s">
        <v>32</v>
      </c>
      <c r="D207" s="173">
        <v>0</v>
      </c>
      <c r="E207" s="173">
        <v>0</v>
      </c>
      <c r="F207" s="60">
        <f>'2019.10.31.'!F207+20000</f>
        <v>33514</v>
      </c>
      <c r="G207" s="60"/>
      <c r="H207" s="60"/>
      <c r="I207" s="60"/>
      <c r="J207" s="60">
        <f>'2019.10.31.'!I207</f>
        <v>0</v>
      </c>
      <c r="K207" s="174">
        <f t="shared" si="72"/>
        <v>33514</v>
      </c>
      <c r="L207" s="118">
        <v>13514</v>
      </c>
      <c r="M207" s="175">
        <f t="shared" si="73"/>
        <v>20000</v>
      </c>
    </row>
    <row r="208" spans="1:13" x14ac:dyDescent="0.25">
      <c r="A208" s="256"/>
      <c r="B208" s="253"/>
      <c r="C208" s="103" t="s">
        <v>33</v>
      </c>
      <c r="D208" s="104">
        <v>0</v>
      </c>
      <c r="E208" s="104">
        <v>186928</v>
      </c>
      <c r="F208" s="60">
        <f>'2019.10.31.'!F208</f>
        <v>0</v>
      </c>
      <c r="G208" s="3"/>
      <c r="H208" s="3"/>
      <c r="I208" s="3"/>
      <c r="J208" s="60">
        <f>'2019.10.31.'!I208</f>
        <v>0</v>
      </c>
      <c r="K208" s="20">
        <f t="shared" si="72"/>
        <v>186928</v>
      </c>
      <c r="L208" s="118">
        <v>30769</v>
      </c>
      <c r="M208" s="3">
        <f t="shared" si="73"/>
        <v>156159</v>
      </c>
    </row>
    <row r="209" spans="1:13" x14ac:dyDescent="0.25">
      <c r="A209" s="256"/>
      <c r="B209" s="253"/>
      <c r="C209" s="46" t="s">
        <v>35</v>
      </c>
      <c r="D209" s="47">
        <v>0</v>
      </c>
      <c r="E209" s="47">
        <v>172800</v>
      </c>
      <c r="F209" s="60">
        <f>'2019.10.31.'!F209+20000</f>
        <v>20000</v>
      </c>
      <c r="G209" s="3"/>
      <c r="H209" s="3"/>
      <c r="I209" s="3"/>
      <c r="J209" s="60">
        <f>'2019.10.31.'!I209</f>
        <v>0</v>
      </c>
      <c r="K209" s="20">
        <f t="shared" si="72"/>
        <v>192800</v>
      </c>
      <c r="L209" s="118">
        <v>36233</v>
      </c>
      <c r="M209" s="3">
        <f t="shared" si="73"/>
        <v>156567</v>
      </c>
    </row>
    <row r="210" spans="1:13" x14ac:dyDescent="0.25">
      <c r="A210" s="256"/>
      <c r="B210" s="253"/>
      <c r="C210" s="102" t="s">
        <v>38</v>
      </c>
      <c r="D210" s="47">
        <v>0</v>
      </c>
      <c r="E210" s="47">
        <v>8500</v>
      </c>
      <c r="F210" s="60">
        <f>'2019.10.31.'!F210+20000</f>
        <v>20000</v>
      </c>
      <c r="G210" s="3"/>
      <c r="H210" s="3"/>
      <c r="I210" s="3"/>
      <c r="J210" s="60">
        <f>'2019.10.31.'!I210</f>
        <v>0</v>
      </c>
      <c r="K210" s="20">
        <f t="shared" si="72"/>
        <v>28500</v>
      </c>
      <c r="L210" s="118">
        <v>3500</v>
      </c>
      <c r="M210" s="3">
        <f t="shared" si="73"/>
        <v>25000</v>
      </c>
    </row>
    <row r="211" spans="1:13" x14ac:dyDescent="0.25">
      <c r="A211" s="256"/>
      <c r="B211" s="253"/>
      <c r="C211" s="135" t="s">
        <v>41</v>
      </c>
      <c r="D211" s="47">
        <v>0</v>
      </c>
      <c r="E211" s="47">
        <v>21685</v>
      </c>
      <c r="F211" s="60">
        <f>'2019.10.31.'!F211</f>
        <v>0</v>
      </c>
      <c r="G211" s="3"/>
      <c r="H211" s="3"/>
      <c r="I211" s="3"/>
      <c r="J211" s="60">
        <f>'2019.10.31.'!I211</f>
        <v>0</v>
      </c>
      <c r="K211" s="20">
        <f t="shared" si="72"/>
        <v>21685</v>
      </c>
      <c r="L211" s="118">
        <v>1685</v>
      </c>
      <c r="M211" s="3">
        <f t="shared" si="73"/>
        <v>20000</v>
      </c>
    </row>
    <row r="212" spans="1:13" x14ac:dyDescent="0.25">
      <c r="A212" s="256"/>
      <c r="B212" s="253"/>
      <c r="C212" s="46" t="s">
        <v>42</v>
      </c>
      <c r="D212" s="47">
        <v>0</v>
      </c>
      <c r="E212" s="47">
        <v>128910</v>
      </c>
      <c r="F212" s="60">
        <f>'2019.10.31.'!F212+100000</f>
        <v>100000</v>
      </c>
      <c r="G212" s="3"/>
      <c r="H212" s="3"/>
      <c r="I212" s="3"/>
      <c r="J212" s="60">
        <f>'2019.10.31.'!I212</f>
        <v>0</v>
      </c>
      <c r="K212" s="20">
        <f t="shared" si="72"/>
        <v>228910</v>
      </c>
      <c r="L212" s="118">
        <v>87915</v>
      </c>
      <c r="M212" s="3">
        <f t="shared" si="73"/>
        <v>140995</v>
      </c>
    </row>
    <row r="213" spans="1:13" x14ac:dyDescent="0.25">
      <c r="A213" s="256"/>
      <c r="B213" s="253"/>
      <c r="C213" s="46" t="s">
        <v>44</v>
      </c>
      <c r="D213" s="47">
        <v>0</v>
      </c>
      <c r="E213" s="47">
        <v>111556</v>
      </c>
      <c r="F213" s="60">
        <f>'2019.10.31.'!F213+1295+30000</f>
        <v>32280</v>
      </c>
      <c r="G213" s="3"/>
      <c r="H213" s="3"/>
      <c r="I213" s="3"/>
      <c r="J213" s="60">
        <f>'2019.10.31.'!I213</f>
        <v>0</v>
      </c>
      <c r="K213" s="20">
        <f t="shared" si="72"/>
        <v>143836</v>
      </c>
      <c r="L213" s="118">
        <v>42038</v>
      </c>
      <c r="M213" s="3">
        <f t="shared" si="73"/>
        <v>101798</v>
      </c>
    </row>
    <row r="214" spans="1:13" x14ac:dyDescent="0.25">
      <c r="A214" s="256"/>
      <c r="B214" s="253"/>
      <c r="C214" s="46" t="s">
        <v>45</v>
      </c>
      <c r="D214" s="47">
        <v>0</v>
      </c>
      <c r="E214" s="47">
        <v>303254</v>
      </c>
      <c r="F214" s="60">
        <f>'2019.10.31.'!F214+50000</f>
        <v>76400</v>
      </c>
      <c r="G214" s="3"/>
      <c r="H214" s="3"/>
      <c r="I214" s="3"/>
      <c r="J214" s="60">
        <f>'2019.10.31.'!I214</f>
        <v>0</v>
      </c>
      <c r="K214" s="20">
        <f t="shared" si="72"/>
        <v>379654</v>
      </c>
      <c r="L214" s="118">
        <v>237279</v>
      </c>
      <c r="M214" s="60">
        <f t="shared" si="73"/>
        <v>142375</v>
      </c>
    </row>
    <row r="215" spans="1:13" x14ac:dyDescent="0.25">
      <c r="A215" s="257"/>
      <c r="B215" s="254"/>
      <c r="C215" s="49" t="s">
        <v>49</v>
      </c>
      <c r="D215" s="50">
        <f t="shared" ref="D215:J215" si="74">SUM(D207:D214)</f>
        <v>0</v>
      </c>
      <c r="E215" s="50">
        <f t="shared" si="74"/>
        <v>933633</v>
      </c>
      <c r="F215" s="50">
        <f t="shared" si="74"/>
        <v>282194</v>
      </c>
      <c r="G215" s="50">
        <f t="shared" si="74"/>
        <v>0</v>
      </c>
      <c r="H215" s="50">
        <f t="shared" si="74"/>
        <v>0</v>
      </c>
      <c r="I215" s="50">
        <f t="shared" si="74"/>
        <v>0</v>
      </c>
      <c r="J215" s="50">
        <f t="shared" si="74"/>
        <v>0</v>
      </c>
      <c r="K215" s="50">
        <f>SUM(K207:K214)</f>
        <v>1215827</v>
      </c>
      <c r="L215" s="50">
        <f t="shared" ref="L215:M215" si="75">SUM(L207:L214)</f>
        <v>452933</v>
      </c>
      <c r="M215" s="50">
        <f t="shared" si="75"/>
        <v>762894</v>
      </c>
    </row>
    <row r="216" spans="1:13" x14ac:dyDescent="0.25">
      <c r="A216" s="258" t="s">
        <v>68</v>
      </c>
      <c r="B216" s="267" t="s">
        <v>46</v>
      </c>
      <c r="C216" s="16" t="s">
        <v>24</v>
      </c>
      <c r="D216" s="17">
        <v>2501556</v>
      </c>
      <c r="E216" s="17">
        <v>2501556</v>
      </c>
      <c r="F216" s="60">
        <f>'2019.10.31.'!F216</f>
        <v>0</v>
      </c>
      <c r="G216" s="60"/>
      <c r="H216" s="60"/>
      <c r="I216" s="60">
        <v>5602</v>
      </c>
      <c r="J216" s="60">
        <f>'2019.10.31.'!I216</f>
        <v>0</v>
      </c>
      <c r="K216" s="20">
        <f>E216+F216+G216+I216+J216</f>
        <v>2507158</v>
      </c>
      <c r="L216" s="112">
        <v>2122975</v>
      </c>
      <c r="M216" s="3">
        <f t="shared" ref="M216:M217" si="76">K216-L216</f>
        <v>384183</v>
      </c>
    </row>
    <row r="217" spans="1:13" x14ac:dyDescent="0.25">
      <c r="A217" s="255"/>
      <c r="B217" s="261"/>
      <c r="C217" s="18" t="s">
        <v>31</v>
      </c>
      <c r="D217" s="19">
        <v>466569</v>
      </c>
      <c r="E217" s="19">
        <v>466569</v>
      </c>
      <c r="F217" s="60">
        <f>'2019.10.31.'!F217</f>
        <v>0</v>
      </c>
      <c r="G217" s="3"/>
      <c r="H217" s="3"/>
      <c r="I217" s="3">
        <v>1273</v>
      </c>
      <c r="J217" s="60">
        <f>'2019.10.31.'!I217</f>
        <v>0</v>
      </c>
      <c r="K217" s="20">
        <f t="shared" ref="K217" si="77">E217+F217+G217+I217+J217</f>
        <v>467842</v>
      </c>
      <c r="L217" s="112">
        <v>400609</v>
      </c>
      <c r="M217" s="3">
        <f t="shared" si="76"/>
        <v>67233</v>
      </c>
    </row>
    <row r="218" spans="1:13" x14ac:dyDescent="0.25">
      <c r="A218" s="304" t="s">
        <v>82</v>
      </c>
      <c r="B218" s="305"/>
      <c r="C218" s="306"/>
      <c r="D218" s="82">
        <f>SUM(D205+D206+D216+D217+D215)</f>
        <v>15776147</v>
      </c>
      <c r="E218" s="82">
        <f t="shared" ref="E218:J218" si="78">SUM(E205+E206+E216+E217+E215)</f>
        <v>16814415</v>
      </c>
      <c r="F218" s="82">
        <f t="shared" si="78"/>
        <v>282194</v>
      </c>
      <c r="G218" s="82">
        <f t="shared" si="78"/>
        <v>0</v>
      </c>
      <c r="H218" s="82">
        <f t="shared" ref="H218" si="79">SUM(H205+H206+H216+H217+H215)</f>
        <v>0</v>
      </c>
      <c r="I218" s="82">
        <f t="shared" si="78"/>
        <v>6875</v>
      </c>
      <c r="J218" s="82">
        <f t="shared" si="78"/>
        <v>0</v>
      </c>
      <c r="K218" s="82">
        <f>SUM(K205+K206+K216+K217+K215)</f>
        <v>17103484</v>
      </c>
      <c r="L218" s="120">
        <f>SUM(L205+L206+L216+L217+L215)</f>
        <v>13195342</v>
      </c>
      <c r="M218" s="83">
        <f>SUM(M205+M206+M216+M217+M215)</f>
        <v>3908142</v>
      </c>
    </row>
    <row r="219" spans="1:13" ht="30.75" customHeight="1" x14ac:dyDescent="0.25">
      <c r="A219" s="380" t="s">
        <v>74</v>
      </c>
      <c r="B219" s="381"/>
      <c r="C219" s="382"/>
      <c r="D219" s="167">
        <f t="shared" ref="D219:L219" si="80">SUM(D88+D113+D135+D156+D179+D198+D218)</f>
        <v>230443641</v>
      </c>
      <c r="E219" s="167">
        <f t="shared" si="80"/>
        <v>231774916</v>
      </c>
      <c r="F219" s="167">
        <f t="shared" si="80"/>
        <v>0</v>
      </c>
      <c r="G219" s="167">
        <f t="shared" si="80"/>
        <v>0</v>
      </c>
      <c r="H219" s="167">
        <f t="shared" ref="H219" si="81">SUM(H88+H113+H135+H156+H179+H198+H218)</f>
        <v>-420313</v>
      </c>
      <c r="I219" s="167">
        <f t="shared" si="80"/>
        <v>-1071771</v>
      </c>
      <c r="J219" s="167">
        <f t="shared" si="80"/>
        <v>86923</v>
      </c>
      <c r="K219" s="167">
        <f t="shared" si="80"/>
        <v>230369755</v>
      </c>
      <c r="L219" s="168">
        <f t="shared" si="80"/>
        <v>157018927</v>
      </c>
      <c r="M219" s="167">
        <f>SUM(M88+M113+M135+M156+M179+M198+M218)</f>
        <v>73350828</v>
      </c>
    </row>
    <row r="220" spans="1:13" x14ac:dyDescent="0.25">
      <c r="B220" s="5"/>
      <c r="E220" s="4"/>
      <c r="F220" s="4"/>
      <c r="G220" s="4"/>
      <c r="H220" s="4"/>
      <c r="I220" s="4"/>
      <c r="J220" s="4"/>
      <c r="K220" s="4"/>
      <c r="L220" s="111"/>
    </row>
    <row r="221" spans="1:13" x14ac:dyDescent="0.25">
      <c r="B221" s="5"/>
      <c r="E221" s="4"/>
      <c r="F221" s="4"/>
      <c r="G221" s="4"/>
      <c r="H221" s="4"/>
      <c r="I221" s="4"/>
      <c r="J221" s="4"/>
      <c r="K221" s="4"/>
      <c r="L221" s="111"/>
    </row>
    <row r="222" spans="1:13" x14ac:dyDescent="0.25">
      <c r="B222" s="5"/>
      <c r="E222" s="4"/>
      <c r="F222" s="4"/>
      <c r="G222" s="4"/>
      <c r="H222" s="4"/>
      <c r="I222" s="4"/>
      <c r="J222" s="4"/>
      <c r="K222" s="4"/>
      <c r="L222" s="111"/>
    </row>
    <row r="223" spans="1:13" x14ac:dyDescent="0.25">
      <c r="B223" s="5"/>
      <c r="E223" s="4"/>
      <c r="F223" s="4"/>
      <c r="G223" s="4"/>
      <c r="H223" s="4"/>
      <c r="I223" s="4"/>
      <c r="J223" s="4"/>
      <c r="K223" s="4"/>
      <c r="L223" s="111"/>
    </row>
    <row r="224" spans="1:13" x14ac:dyDescent="0.25">
      <c r="B224" s="5"/>
      <c r="E224" s="4"/>
      <c r="F224" s="4"/>
      <c r="G224" s="4"/>
      <c r="H224" s="4"/>
      <c r="I224" s="4"/>
      <c r="J224" s="4"/>
      <c r="K224" s="4"/>
      <c r="L224" s="111"/>
    </row>
    <row r="225" spans="1:14" ht="15.75" thickBot="1" x14ac:dyDescent="0.3">
      <c r="B225" s="5"/>
      <c r="E225" s="4"/>
      <c r="F225" s="4"/>
      <c r="G225" s="134"/>
      <c r="H225" s="134"/>
      <c r="I225" s="4"/>
      <c r="J225" s="4"/>
      <c r="K225" s="4"/>
      <c r="L225" s="111"/>
    </row>
    <row r="226" spans="1:14" ht="15.75" thickTop="1" x14ac:dyDescent="0.25">
      <c r="A226" s="250" t="s">
        <v>83</v>
      </c>
      <c r="B226" s="250"/>
      <c r="C226" s="250"/>
      <c r="D226" s="250"/>
      <c r="E226" s="250"/>
      <c r="F226" s="250"/>
      <c r="G226" s="250"/>
      <c r="H226" s="250"/>
      <c r="I226" s="250"/>
      <c r="J226" s="250"/>
      <c r="K226" s="250"/>
      <c r="L226" s="250"/>
    </row>
    <row r="227" spans="1:14" s="172" customFormat="1" ht="47.25" customHeight="1" x14ac:dyDescent="0.25">
      <c r="A227" s="298" t="s">
        <v>0</v>
      </c>
      <c r="B227" s="299"/>
      <c r="C227" s="188" t="s">
        <v>3</v>
      </c>
      <c r="D227" s="188" t="s">
        <v>4</v>
      </c>
      <c r="E227" s="189" t="s">
        <v>119</v>
      </c>
      <c r="F227" s="190" t="s">
        <v>70</v>
      </c>
      <c r="G227" s="191" t="s">
        <v>122</v>
      </c>
      <c r="H227" s="191" t="s">
        <v>167</v>
      </c>
      <c r="I227" s="192" t="s">
        <v>168</v>
      </c>
      <c r="J227" s="192" t="s">
        <v>165</v>
      </c>
      <c r="K227" s="189" t="s">
        <v>166</v>
      </c>
      <c r="L227" s="193" t="s">
        <v>161</v>
      </c>
      <c r="N227" s="194"/>
    </row>
    <row r="228" spans="1:14" x14ac:dyDescent="0.25">
      <c r="A228" s="300"/>
      <c r="B228" s="301"/>
      <c r="C228" s="33" t="s">
        <v>16</v>
      </c>
      <c r="D228" s="61">
        <f t="shared" ref="D228:L229" si="82">D5+D14+D16+D18+D20+D22</f>
        <v>117230959</v>
      </c>
      <c r="E228" s="61">
        <f t="shared" si="82"/>
        <v>115186234</v>
      </c>
      <c r="F228" s="61">
        <f t="shared" si="82"/>
        <v>0</v>
      </c>
      <c r="G228" s="61">
        <f t="shared" si="82"/>
        <v>0</v>
      </c>
      <c r="H228" s="61">
        <f t="shared" ref="H228" si="83">H5+H14+H16+H18+H20+H22</f>
        <v>0</v>
      </c>
      <c r="I228" s="61">
        <f t="shared" si="82"/>
        <v>0</v>
      </c>
      <c r="J228" s="61">
        <f t="shared" si="82"/>
        <v>86923</v>
      </c>
      <c r="K228" s="61">
        <f>K5+K14+K16+K18+K20+K22</f>
        <v>115273157</v>
      </c>
      <c r="L228" s="61">
        <f t="shared" si="82"/>
        <v>67646642</v>
      </c>
    </row>
    <row r="229" spans="1:14" x14ac:dyDescent="0.25">
      <c r="A229" s="300"/>
      <c r="B229" s="301"/>
      <c r="C229" s="33" t="s">
        <v>17</v>
      </c>
      <c r="D229" s="61">
        <f t="shared" si="82"/>
        <v>16012810</v>
      </c>
      <c r="E229" s="61">
        <f t="shared" si="82"/>
        <v>16012810</v>
      </c>
      <c r="F229" s="61">
        <f t="shared" si="82"/>
        <v>0</v>
      </c>
      <c r="G229" s="61">
        <f t="shared" si="82"/>
        <v>0</v>
      </c>
      <c r="H229" s="61">
        <f t="shared" ref="H229" si="84">H6+H15+H17+H19+H21+H23</f>
        <v>0</v>
      </c>
      <c r="I229" s="61">
        <f t="shared" si="82"/>
        <v>0</v>
      </c>
      <c r="J229" s="61">
        <f t="shared" si="82"/>
        <v>0</v>
      </c>
      <c r="K229" s="61">
        <f t="shared" si="82"/>
        <v>16012810</v>
      </c>
      <c r="L229" s="61">
        <f t="shared" si="82"/>
        <v>16012810</v>
      </c>
    </row>
    <row r="230" spans="1:14" x14ac:dyDescent="0.25">
      <c r="A230" s="300"/>
      <c r="B230" s="301"/>
      <c r="C230" s="33" t="s">
        <v>18</v>
      </c>
      <c r="D230" s="61">
        <f t="shared" ref="D230:L232" si="85">D7</f>
        <v>96985672</v>
      </c>
      <c r="E230" s="61">
        <f t="shared" si="85"/>
        <v>100329672</v>
      </c>
      <c r="F230" s="61">
        <f t="shared" si="85"/>
        <v>0</v>
      </c>
      <c r="G230" s="61">
        <f t="shared" si="85"/>
        <v>0</v>
      </c>
      <c r="H230" s="61">
        <f t="shared" ref="H230" si="86">H7</f>
        <v>-420313</v>
      </c>
      <c r="I230" s="61">
        <f t="shared" si="85"/>
        <v>-1071771</v>
      </c>
      <c r="J230" s="61">
        <f t="shared" si="85"/>
        <v>0</v>
      </c>
      <c r="K230" s="61">
        <f t="shared" si="85"/>
        <v>98837588</v>
      </c>
      <c r="L230" s="61">
        <f t="shared" si="85"/>
        <v>77496655</v>
      </c>
    </row>
    <row r="231" spans="1:14" x14ac:dyDescent="0.25">
      <c r="A231" s="300"/>
      <c r="B231" s="301"/>
      <c r="C231" s="35" t="s">
        <v>22</v>
      </c>
      <c r="D231" s="61">
        <f t="shared" si="85"/>
        <v>200000</v>
      </c>
      <c r="E231" s="61">
        <f t="shared" si="85"/>
        <v>200000</v>
      </c>
      <c r="F231" s="61">
        <f t="shared" si="85"/>
        <v>0</v>
      </c>
      <c r="G231" s="61">
        <f t="shared" si="85"/>
        <v>0</v>
      </c>
      <c r="H231" s="61">
        <f t="shared" ref="H231" si="87">H8</f>
        <v>0</v>
      </c>
      <c r="I231" s="61">
        <f t="shared" si="85"/>
        <v>0</v>
      </c>
      <c r="J231" s="61">
        <f t="shared" si="85"/>
        <v>0</v>
      </c>
      <c r="K231" s="61">
        <f t="shared" si="85"/>
        <v>200000</v>
      </c>
      <c r="L231" s="61">
        <f t="shared" si="85"/>
        <v>0</v>
      </c>
    </row>
    <row r="232" spans="1:14" x14ac:dyDescent="0.25">
      <c r="A232" s="300"/>
      <c r="B232" s="301"/>
      <c r="C232" s="35" t="s">
        <v>19</v>
      </c>
      <c r="D232" s="61">
        <f t="shared" si="85"/>
        <v>13200</v>
      </c>
      <c r="E232" s="61">
        <f t="shared" si="85"/>
        <v>31926</v>
      </c>
      <c r="F232" s="61">
        <f t="shared" si="85"/>
        <v>0</v>
      </c>
      <c r="G232" s="61">
        <f t="shared" si="85"/>
        <v>0</v>
      </c>
      <c r="H232" s="61">
        <f t="shared" ref="H232" si="88">H9</f>
        <v>0</v>
      </c>
      <c r="I232" s="61">
        <f t="shared" si="85"/>
        <v>0</v>
      </c>
      <c r="J232" s="61">
        <f t="shared" si="85"/>
        <v>0</v>
      </c>
      <c r="K232" s="61">
        <f t="shared" si="85"/>
        <v>31926</v>
      </c>
      <c r="L232" s="61">
        <f t="shared" si="85"/>
        <v>24072</v>
      </c>
    </row>
    <row r="233" spans="1:14" x14ac:dyDescent="0.25">
      <c r="A233" s="300"/>
      <c r="B233" s="301"/>
      <c r="C233" s="35" t="s">
        <v>84</v>
      </c>
      <c r="D233" s="61">
        <f t="shared" ref="D233:L233" si="89">D13+D11</f>
        <v>0</v>
      </c>
      <c r="E233" s="61">
        <f t="shared" si="89"/>
        <v>12949</v>
      </c>
      <c r="F233" s="61">
        <f t="shared" si="89"/>
        <v>0</v>
      </c>
      <c r="G233" s="61">
        <f t="shared" si="89"/>
        <v>0</v>
      </c>
      <c r="H233" s="61">
        <f t="shared" ref="H233" si="90">H13+H11</f>
        <v>0</v>
      </c>
      <c r="I233" s="61">
        <f t="shared" si="89"/>
        <v>0</v>
      </c>
      <c r="J233" s="61">
        <f t="shared" si="89"/>
        <v>0</v>
      </c>
      <c r="K233" s="61">
        <f t="shared" si="89"/>
        <v>12949</v>
      </c>
      <c r="L233" s="61">
        <f t="shared" si="89"/>
        <v>4487</v>
      </c>
    </row>
    <row r="234" spans="1:14" x14ac:dyDescent="0.25">
      <c r="A234" s="300"/>
      <c r="B234" s="301"/>
      <c r="C234" s="33" t="s">
        <v>20</v>
      </c>
      <c r="D234" s="61">
        <f t="shared" ref="D234:L234" si="91">D10+D12</f>
        <v>1000</v>
      </c>
      <c r="E234" s="61">
        <f t="shared" si="91"/>
        <v>1325</v>
      </c>
      <c r="F234" s="61">
        <f t="shared" si="91"/>
        <v>0</v>
      </c>
      <c r="G234" s="61">
        <f t="shared" si="91"/>
        <v>0</v>
      </c>
      <c r="H234" s="61">
        <f t="shared" ref="H234" si="92">H10+H12</f>
        <v>0</v>
      </c>
      <c r="I234" s="61">
        <f t="shared" si="91"/>
        <v>0</v>
      </c>
      <c r="J234" s="61">
        <f t="shared" si="91"/>
        <v>0</v>
      </c>
      <c r="K234" s="61">
        <f t="shared" si="91"/>
        <v>1325</v>
      </c>
      <c r="L234" s="61">
        <f t="shared" si="91"/>
        <v>325</v>
      </c>
    </row>
    <row r="235" spans="1:14" x14ac:dyDescent="0.25">
      <c r="A235" s="300"/>
      <c r="B235" s="301"/>
      <c r="C235" s="65" t="s">
        <v>86</v>
      </c>
      <c r="D235" s="66">
        <f t="shared" ref="D235:L235" si="93">D13+D12+D11+D10+D9</f>
        <v>14200</v>
      </c>
      <c r="E235" s="66">
        <f t="shared" si="93"/>
        <v>46200</v>
      </c>
      <c r="F235" s="66">
        <f t="shared" si="93"/>
        <v>0</v>
      </c>
      <c r="G235" s="66">
        <f t="shared" si="93"/>
        <v>0</v>
      </c>
      <c r="H235" s="66">
        <f t="shared" ref="H235" si="94">H13+H12+H11+H10+H9</f>
        <v>0</v>
      </c>
      <c r="I235" s="66">
        <f t="shared" si="93"/>
        <v>0</v>
      </c>
      <c r="J235" s="66">
        <f t="shared" si="93"/>
        <v>0</v>
      </c>
      <c r="K235" s="66">
        <f t="shared" si="93"/>
        <v>46200</v>
      </c>
      <c r="L235" s="66">
        <f t="shared" si="93"/>
        <v>28884</v>
      </c>
    </row>
    <row r="236" spans="1:14" x14ac:dyDescent="0.25">
      <c r="A236" s="300"/>
      <c r="B236" s="301"/>
      <c r="C236" s="65" t="s">
        <v>87</v>
      </c>
      <c r="D236" s="66">
        <f t="shared" ref="D236:L236" si="95">D23+D21+D19+D17+D15+D7+D6</f>
        <v>112998482</v>
      </c>
      <c r="E236" s="66">
        <f t="shared" si="95"/>
        <v>116342482</v>
      </c>
      <c r="F236" s="66">
        <f t="shared" si="95"/>
        <v>0</v>
      </c>
      <c r="G236" s="66">
        <f t="shared" si="95"/>
        <v>0</v>
      </c>
      <c r="H236" s="66">
        <f t="shared" ref="H236" si="96">H23+H21+H19+H17+H15+H7+H6</f>
        <v>-420313</v>
      </c>
      <c r="I236" s="66">
        <f t="shared" si="95"/>
        <v>-1071771</v>
      </c>
      <c r="J236" s="66">
        <f t="shared" si="95"/>
        <v>0</v>
      </c>
      <c r="K236" s="66">
        <f t="shared" si="95"/>
        <v>114850398</v>
      </c>
      <c r="L236" s="66">
        <f t="shared" si="95"/>
        <v>93509465</v>
      </c>
    </row>
    <row r="237" spans="1:14" x14ac:dyDescent="0.25">
      <c r="A237" s="300"/>
      <c r="B237" s="301"/>
      <c r="C237" s="65" t="s">
        <v>94</v>
      </c>
      <c r="D237" s="66">
        <f t="shared" ref="D237:L237" si="97">D24</f>
        <v>230443641</v>
      </c>
      <c r="E237" s="66">
        <f t="shared" si="97"/>
        <v>231774916</v>
      </c>
      <c r="F237" s="66">
        <f t="shared" si="97"/>
        <v>0</v>
      </c>
      <c r="G237" s="66">
        <f t="shared" si="97"/>
        <v>0</v>
      </c>
      <c r="H237" s="66">
        <f t="shared" ref="H237" si="98">H24</f>
        <v>-420313</v>
      </c>
      <c r="I237" s="66">
        <f t="shared" si="97"/>
        <v>-1071771</v>
      </c>
      <c r="J237" s="66">
        <f t="shared" si="97"/>
        <v>86923</v>
      </c>
      <c r="K237" s="66">
        <f t="shared" si="97"/>
        <v>230369755</v>
      </c>
      <c r="L237" s="66">
        <f t="shared" si="97"/>
        <v>161184991</v>
      </c>
    </row>
    <row r="238" spans="1:14" x14ac:dyDescent="0.25">
      <c r="A238" s="300"/>
      <c r="B238" s="301"/>
      <c r="C238" s="33" t="s">
        <v>24</v>
      </c>
      <c r="D238" s="34">
        <f t="shared" ref="D238:J238" si="99">D89+D111+D114+D133+D136+D154+D157+D177+D199+D216+D180+D86+D84+D52+D25</f>
        <v>128356144</v>
      </c>
      <c r="E238" s="34">
        <f t="shared" si="99"/>
        <v>128254396</v>
      </c>
      <c r="F238" s="34">
        <f>F89+F111+F114+F133+F136+F154+F157+F177+F199+F216+F180+F86+F84+F52+F25</f>
        <v>-556218</v>
      </c>
      <c r="G238" s="34">
        <f t="shared" si="99"/>
        <v>0</v>
      </c>
      <c r="H238" s="34">
        <f t="shared" ref="H238" si="100">H89+H111+H114+H133+H136+H154+H157+H177+H199+H216+H180+H86+H84+H52+H25</f>
        <v>0</v>
      </c>
      <c r="I238" s="34">
        <f t="shared" si="99"/>
        <v>-908397</v>
      </c>
      <c r="J238" s="34">
        <f t="shared" si="99"/>
        <v>73977</v>
      </c>
      <c r="K238" s="61">
        <f>K216+K199+K180+K177+K157+K154+K136+K133+K114+K111+K89+K86+K84+K52+K25</f>
        <v>126863758</v>
      </c>
      <c r="L238" s="61">
        <f>L216+L199+L180+L177+L157+L154+L136+L133+L114+L111+L89+L86+L84+L52+L25</f>
        <v>98766215</v>
      </c>
    </row>
    <row r="239" spans="1:14" x14ac:dyDescent="0.25">
      <c r="A239" s="300"/>
      <c r="B239" s="301"/>
      <c r="C239" s="33" t="s">
        <v>47</v>
      </c>
      <c r="D239" s="34">
        <f t="shared" ref="D239:L240" si="101">D53</f>
        <v>2040480</v>
      </c>
      <c r="E239" s="34">
        <f t="shared" si="101"/>
        <v>2040480</v>
      </c>
      <c r="F239" s="34">
        <f t="shared" si="101"/>
        <v>0</v>
      </c>
      <c r="G239" s="34">
        <f t="shared" si="101"/>
        <v>0</v>
      </c>
      <c r="H239" s="34">
        <f t="shared" ref="H239" si="102">H53</f>
        <v>0</v>
      </c>
      <c r="I239" s="34">
        <f t="shared" si="101"/>
        <v>0</v>
      </c>
      <c r="J239" s="34">
        <f t="shared" si="101"/>
        <v>0</v>
      </c>
      <c r="K239" s="34">
        <f t="shared" si="101"/>
        <v>2040480</v>
      </c>
      <c r="L239" s="41">
        <f t="shared" si="101"/>
        <v>1595194</v>
      </c>
    </row>
    <row r="240" spans="1:14" x14ac:dyDescent="0.25">
      <c r="A240" s="300"/>
      <c r="B240" s="301"/>
      <c r="C240" s="33" t="s">
        <v>48</v>
      </c>
      <c r="D240" s="34">
        <f t="shared" si="101"/>
        <v>0</v>
      </c>
      <c r="E240" s="34">
        <f t="shared" si="101"/>
        <v>0</v>
      </c>
      <c r="F240" s="34">
        <f t="shared" si="101"/>
        <v>0</v>
      </c>
      <c r="G240" s="34">
        <f t="shared" si="101"/>
        <v>0</v>
      </c>
      <c r="H240" s="34">
        <f t="shared" ref="H240" si="103">H54</f>
        <v>0</v>
      </c>
      <c r="I240" s="34">
        <f t="shared" si="101"/>
        <v>0</v>
      </c>
      <c r="J240" s="34">
        <f t="shared" si="101"/>
        <v>0</v>
      </c>
      <c r="K240" s="34">
        <f t="shared" si="101"/>
        <v>0</v>
      </c>
      <c r="L240" s="34">
        <f t="shared" si="101"/>
        <v>0</v>
      </c>
    </row>
    <row r="241" spans="1:13" x14ac:dyDescent="0.25">
      <c r="A241" s="300"/>
      <c r="B241" s="301"/>
      <c r="C241" s="35" t="s">
        <v>25</v>
      </c>
      <c r="D241" s="34">
        <f t="shared" ref="D241:L242" si="104">D200+D158+D137+D115+D90+D55+D26</f>
        <v>3992000</v>
      </c>
      <c r="E241" s="34">
        <f t="shared" si="104"/>
        <v>3992000</v>
      </c>
      <c r="F241" s="34">
        <f t="shared" si="104"/>
        <v>0</v>
      </c>
      <c r="G241" s="34">
        <f t="shared" si="104"/>
        <v>0</v>
      </c>
      <c r="H241" s="34">
        <f t="shared" ref="H241" si="105">H200+H158+H137+H115+H90+H55+H26</f>
        <v>0</v>
      </c>
      <c r="I241" s="34">
        <f t="shared" si="104"/>
        <v>0</v>
      </c>
      <c r="J241" s="34">
        <f t="shared" si="104"/>
        <v>0</v>
      </c>
      <c r="K241" s="34">
        <f t="shared" si="104"/>
        <v>3992000</v>
      </c>
      <c r="L241" s="34">
        <f t="shared" si="104"/>
        <v>3752500</v>
      </c>
    </row>
    <row r="242" spans="1:13" x14ac:dyDescent="0.25">
      <c r="A242" s="300"/>
      <c r="B242" s="301"/>
      <c r="C242" s="35" t="s">
        <v>26</v>
      </c>
      <c r="D242" s="34">
        <f t="shared" si="104"/>
        <v>200000</v>
      </c>
      <c r="E242" s="34">
        <f t="shared" si="104"/>
        <v>200000</v>
      </c>
      <c r="F242" s="34">
        <f t="shared" si="104"/>
        <v>0</v>
      </c>
      <c r="G242" s="34">
        <f t="shared" si="104"/>
        <v>0</v>
      </c>
      <c r="H242" s="34">
        <f t="shared" ref="H242" si="106">H201+H159+H138+H116+H91+H56+H27</f>
        <v>0</v>
      </c>
      <c r="I242" s="34">
        <f t="shared" si="104"/>
        <v>0</v>
      </c>
      <c r="J242" s="34">
        <f t="shared" si="104"/>
        <v>0</v>
      </c>
      <c r="K242" s="34">
        <f t="shared" si="104"/>
        <v>200000</v>
      </c>
      <c r="L242" s="34">
        <f t="shared" si="104"/>
        <v>0</v>
      </c>
    </row>
    <row r="243" spans="1:13" x14ac:dyDescent="0.25">
      <c r="A243" s="300"/>
      <c r="B243" s="301"/>
      <c r="C243" s="33" t="s">
        <v>27</v>
      </c>
      <c r="D243" s="34">
        <f t="shared" ref="D243:L243" si="107">D202+D139+D92+D57+D28</f>
        <v>1661400</v>
      </c>
      <c r="E243" s="34">
        <f t="shared" si="107"/>
        <v>1661400</v>
      </c>
      <c r="F243" s="34">
        <f t="shared" si="107"/>
        <v>0</v>
      </c>
      <c r="G243" s="34">
        <f t="shared" si="107"/>
        <v>0</v>
      </c>
      <c r="H243" s="34">
        <f t="shared" ref="H243" si="108">H202+H139+H92+H57+H28</f>
        <v>0</v>
      </c>
      <c r="I243" s="34">
        <f t="shared" si="107"/>
        <v>0</v>
      </c>
      <c r="J243" s="34">
        <f t="shared" si="107"/>
        <v>0</v>
      </c>
      <c r="K243" s="34">
        <f t="shared" si="107"/>
        <v>1661400</v>
      </c>
      <c r="L243" s="34">
        <f t="shared" si="107"/>
        <v>1012620</v>
      </c>
    </row>
    <row r="244" spans="1:13" x14ac:dyDescent="0.25">
      <c r="A244" s="300"/>
      <c r="B244" s="301"/>
      <c r="C244" s="35" t="s">
        <v>28</v>
      </c>
      <c r="D244" s="34">
        <f t="shared" ref="D244:L244" si="109">D203+D160+D140+D117+D58+D29+D93</f>
        <v>481000</v>
      </c>
      <c r="E244" s="34">
        <f t="shared" si="109"/>
        <v>481000</v>
      </c>
      <c r="F244" s="34">
        <f t="shared" si="109"/>
        <v>0</v>
      </c>
      <c r="G244" s="34">
        <f t="shared" si="109"/>
        <v>0</v>
      </c>
      <c r="H244" s="34">
        <f t="shared" ref="H244" si="110">H203+H160+H140+H117+H58+H29+H93</f>
        <v>0</v>
      </c>
      <c r="I244" s="34">
        <f t="shared" si="109"/>
        <v>0</v>
      </c>
      <c r="J244" s="34">
        <f t="shared" si="109"/>
        <v>0</v>
      </c>
      <c r="K244" s="34">
        <f t="shared" si="109"/>
        <v>481000</v>
      </c>
      <c r="L244" s="34">
        <f t="shared" si="109"/>
        <v>222000</v>
      </c>
    </row>
    <row r="245" spans="1:13" x14ac:dyDescent="0.25">
      <c r="A245" s="300"/>
      <c r="B245" s="301"/>
      <c r="C245" s="33" t="s">
        <v>29</v>
      </c>
      <c r="D245" s="34">
        <f t="shared" ref="D245:L245" si="111">D204+D175+D161+D141+D118+D109+D94+D82+D80+D59+D30+D131</f>
        <v>3451400</v>
      </c>
      <c r="E245" s="34">
        <f t="shared" si="111"/>
        <v>4640408</v>
      </c>
      <c r="F245" s="34">
        <f t="shared" si="111"/>
        <v>528698</v>
      </c>
      <c r="G245" s="34">
        <f t="shared" si="111"/>
        <v>0</v>
      </c>
      <c r="H245" s="34">
        <f t="shared" ref="H245" si="112">H204+H175+H161+H141+H118+H109+H94+H82+H80+H59+H30+H131</f>
        <v>-355200</v>
      </c>
      <c r="I245" s="34">
        <f t="shared" si="111"/>
        <v>0</v>
      </c>
      <c r="J245" s="34">
        <f t="shared" si="111"/>
        <v>0</v>
      </c>
      <c r="K245" s="34">
        <f t="shared" si="111"/>
        <v>4813906</v>
      </c>
      <c r="L245" s="34">
        <f t="shared" si="111"/>
        <v>2814436</v>
      </c>
    </row>
    <row r="246" spans="1:13" x14ac:dyDescent="0.25">
      <c r="A246" s="300"/>
      <c r="B246" s="301"/>
      <c r="C246" s="35" t="s">
        <v>30</v>
      </c>
      <c r="D246" s="34">
        <f t="shared" ref="D246:L246" si="113">D162+D142+D119+D60+D31+D181</f>
        <v>200000</v>
      </c>
      <c r="E246" s="34">
        <f t="shared" si="113"/>
        <v>200000</v>
      </c>
      <c r="F246" s="34">
        <f>F162+F142+F119+F60+F31+F181+F95</f>
        <v>27520</v>
      </c>
      <c r="G246" s="34">
        <f t="shared" si="113"/>
        <v>0</v>
      </c>
      <c r="H246" s="34">
        <f t="shared" ref="H246" si="114">H162+H142+H119+H60+H31+H181</f>
        <v>0</v>
      </c>
      <c r="I246" s="34">
        <f t="shared" si="113"/>
        <v>0</v>
      </c>
      <c r="J246" s="34">
        <f t="shared" si="113"/>
        <v>0</v>
      </c>
      <c r="K246" s="34">
        <f>K162+K142+K119+K60+K31+K181+K95</f>
        <v>227520</v>
      </c>
      <c r="L246" s="34">
        <f t="shared" si="113"/>
        <v>39304</v>
      </c>
    </row>
    <row r="247" spans="1:13" x14ac:dyDescent="0.25">
      <c r="A247" s="300"/>
      <c r="B247" s="301"/>
      <c r="C247" s="65" t="s">
        <v>53</v>
      </c>
      <c r="D247" s="66">
        <f t="shared" ref="D247:L247" si="115">D205+D182+D163+D143+D216+D177+D154+D133+D131+D175+D120+D111+D109+D96+D86+D84+D82+D80+D61+D32</f>
        <v>140382424</v>
      </c>
      <c r="E247" s="66">
        <f t="shared" si="115"/>
        <v>141469684</v>
      </c>
      <c r="F247" s="66">
        <f t="shared" si="115"/>
        <v>0</v>
      </c>
      <c r="G247" s="66">
        <f t="shared" si="115"/>
        <v>0</v>
      </c>
      <c r="H247" s="66">
        <f t="shared" ref="H247" si="116">H205+H182+H163+H143+H216+H177+H154+H133+H131+H175+H120+H111+H109+H96+H86+H84+H82+H80+H61+H32</f>
        <v>-355200</v>
      </c>
      <c r="I247" s="66">
        <f t="shared" si="115"/>
        <v>-908397</v>
      </c>
      <c r="J247" s="66">
        <f t="shared" si="115"/>
        <v>73977</v>
      </c>
      <c r="K247" s="66">
        <f t="shared" si="115"/>
        <v>140280064</v>
      </c>
      <c r="L247" s="66">
        <f t="shared" si="115"/>
        <v>108202269</v>
      </c>
    </row>
    <row r="248" spans="1:13" x14ac:dyDescent="0.25">
      <c r="A248" s="300"/>
      <c r="B248" s="301"/>
      <c r="C248" s="67" t="s">
        <v>31</v>
      </c>
      <c r="D248" s="66">
        <f t="shared" ref="D248:L248" si="117">D206+D183+D178+D176+D217+D164+D155+D144+D134+D132+D121+D112+D110+D97+D87+D85+D83+D81+D62+D33</f>
        <v>27536677</v>
      </c>
      <c r="E248" s="66">
        <f t="shared" si="117"/>
        <v>32023242</v>
      </c>
      <c r="F248" s="66">
        <f t="shared" si="117"/>
        <v>0</v>
      </c>
      <c r="G248" s="66">
        <f t="shared" si="117"/>
        <v>0</v>
      </c>
      <c r="H248" s="66">
        <f t="shared" ref="H248" si="118">H206+H183+H178+H176+H217+H164+H155+H144+H134+H132+H121+H112+H110+H97+H87+H85+H83+H81+H62+H33</f>
        <v>-65113</v>
      </c>
      <c r="I248" s="66">
        <f t="shared" si="117"/>
        <v>-163374</v>
      </c>
      <c r="J248" s="66">
        <f t="shared" si="117"/>
        <v>12946</v>
      </c>
      <c r="K248" s="66">
        <f t="shared" si="117"/>
        <v>31807701</v>
      </c>
      <c r="L248" s="66">
        <f t="shared" si="117"/>
        <v>24567716</v>
      </c>
    </row>
    <row r="249" spans="1:13" x14ac:dyDescent="0.25">
      <c r="A249" s="300"/>
      <c r="B249" s="301"/>
      <c r="C249" s="33" t="s">
        <v>32</v>
      </c>
      <c r="D249" s="34">
        <f t="shared" ref="D249:L249" si="119">D165+D145+D122+D98+D63+D34+D207</f>
        <v>540000</v>
      </c>
      <c r="E249" s="34">
        <f t="shared" si="119"/>
        <v>500000</v>
      </c>
      <c r="F249" s="34">
        <f t="shared" si="119"/>
        <v>224254</v>
      </c>
      <c r="G249" s="34">
        <f t="shared" si="119"/>
        <v>0</v>
      </c>
      <c r="H249" s="34">
        <f t="shared" ref="H249" si="120">H165+H145+H122+H98+H63+H34+H207</f>
        <v>0</v>
      </c>
      <c r="I249" s="34">
        <f t="shared" si="119"/>
        <v>0</v>
      </c>
      <c r="J249" s="34">
        <f t="shared" si="119"/>
        <v>0</v>
      </c>
      <c r="K249" s="34">
        <f t="shared" si="119"/>
        <v>724254</v>
      </c>
      <c r="L249" s="34">
        <f t="shared" si="119"/>
        <v>63152</v>
      </c>
    </row>
    <row r="250" spans="1:13" x14ac:dyDescent="0.25">
      <c r="A250" s="300"/>
      <c r="B250" s="301"/>
      <c r="C250" s="35" t="s">
        <v>33</v>
      </c>
      <c r="D250" s="34">
        <f t="shared" ref="D250:L250" si="121">D184+D166+D146+D123+D99+D64+D35+D208</f>
        <v>1700000</v>
      </c>
      <c r="E250" s="34">
        <f t="shared" si="121"/>
        <v>1909887</v>
      </c>
      <c r="F250" s="34">
        <f t="shared" si="121"/>
        <v>-292515</v>
      </c>
      <c r="G250" s="34">
        <f t="shared" si="121"/>
        <v>0</v>
      </c>
      <c r="H250" s="34">
        <f t="shared" ref="H250" si="122">H184+H166+H146+H123+H99+H64+H35+H208</f>
        <v>0</v>
      </c>
      <c r="I250" s="34">
        <f t="shared" si="121"/>
        <v>0</v>
      </c>
      <c r="J250" s="34">
        <f t="shared" si="121"/>
        <v>0</v>
      </c>
      <c r="K250" s="34">
        <f t="shared" si="121"/>
        <v>1617372</v>
      </c>
      <c r="L250" s="34">
        <f t="shared" si="121"/>
        <v>314080</v>
      </c>
    </row>
    <row r="251" spans="1:13" x14ac:dyDescent="0.25">
      <c r="A251" s="300"/>
      <c r="B251" s="301"/>
      <c r="C251" s="33" t="s">
        <v>34</v>
      </c>
      <c r="D251" s="34">
        <f t="shared" ref="D251:L251" si="123">D167+D147+D124+D100+D65+D36</f>
        <v>1036000</v>
      </c>
      <c r="E251" s="34">
        <f t="shared" si="123"/>
        <v>988000</v>
      </c>
      <c r="F251" s="34">
        <f t="shared" si="123"/>
        <v>-310000</v>
      </c>
      <c r="G251" s="34">
        <f t="shared" si="123"/>
        <v>0</v>
      </c>
      <c r="H251" s="34">
        <f t="shared" ref="H251" si="124">H167+H147+H124+H100+H65+H36</f>
        <v>0</v>
      </c>
      <c r="I251" s="34">
        <f t="shared" si="123"/>
        <v>0</v>
      </c>
      <c r="J251" s="34">
        <f t="shared" si="123"/>
        <v>0</v>
      </c>
      <c r="K251" s="34">
        <f t="shared" si="123"/>
        <v>678000</v>
      </c>
      <c r="L251" s="34">
        <f t="shared" si="123"/>
        <v>183356</v>
      </c>
    </row>
    <row r="252" spans="1:13" x14ac:dyDescent="0.25">
      <c r="A252" s="300"/>
      <c r="B252" s="301"/>
      <c r="C252" s="33" t="s">
        <v>35</v>
      </c>
      <c r="D252" s="34">
        <f t="shared" ref="D252:L252" si="125">D209+D168+D101+D66+D37</f>
        <v>610000</v>
      </c>
      <c r="E252" s="34">
        <f t="shared" si="125"/>
        <v>617000</v>
      </c>
      <c r="F252" s="34">
        <f t="shared" si="125"/>
        <v>-90000</v>
      </c>
      <c r="G252" s="34">
        <f t="shared" si="125"/>
        <v>0</v>
      </c>
      <c r="H252" s="34">
        <f t="shared" ref="H252" si="126">H209+H168+H101+H66+H37</f>
        <v>0</v>
      </c>
      <c r="I252" s="34">
        <f t="shared" si="125"/>
        <v>0</v>
      </c>
      <c r="J252" s="34">
        <f t="shared" si="125"/>
        <v>0</v>
      </c>
      <c r="K252" s="34">
        <f t="shared" si="125"/>
        <v>527000</v>
      </c>
      <c r="L252" s="34">
        <f t="shared" si="125"/>
        <v>186915</v>
      </c>
    </row>
    <row r="253" spans="1:13" x14ac:dyDescent="0.25">
      <c r="A253" s="300"/>
      <c r="B253" s="301"/>
      <c r="C253" s="33" t="s">
        <v>36</v>
      </c>
      <c r="D253" s="34">
        <f t="shared" ref="D253:L253" si="127">D102+D67+D38</f>
        <v>1739080</v>
      </c>
      <c r="E253" s="34">
        <f t="shared" si="127"/>
        <v>1738180</v>
      </c>
      <c r="F253" s="34">
        <f>F102+F67+F38</f>
        <v>0</v>
      </c>
      <c r="G253" s="34">
        <f t="shared" si="127"/>
        <v>0</v>
      </c>
      <c r="H253" s="34">
        <f t="shared" ref="H253" si="128">H102+H67+H38</f>
        <v>0</v>
      </c>
      <c r="I253" s="34">
        <f t="shared" si="127"/>
        <v>0</v>
      </c>
      <c r="J253" s="34">
        <f t="shared" si="127"/>
        <v>0</v>
      </c>
      <c r="K253" s="34">
        <f t="shared" si="127"/>
        <v>1738180</v>
      </c>
      <c r="L253" s="34">
        <f t="shared" si="127"/>
        <v>1209636</v>
      </c>
    </row>
    <row r="254" spans="1:13" x14ac:dyDescent="0.25">
      <c r="A254" s="300"/>
      <c r="B254" s="301"/>
      <c r="C254" s="73" t="s">
        <v>37</v>
      </c>
      <c r="D254" s="61">
        <f t="shared" ref="D254:L254" si="129">D185+D68+D39</f>
        <v>356000</v>
      </c>
      <c r="E254" s="61">
        <f t="shared" si="129"/>
        <v>356000</v>
      </c>
      <c r="F254" s="61">
        <f t="shared" si="129"/>
        <v>0</v>
      </c>
      <c r="G254" s="61">
        <f t="shared" si="129"/>
        <v>0</v>
      </c>
      <c r="H254" s="61">
        <f t="shared" ref="H254" si="130">H185+H68+H39</f>
        <v>0</v>
      </c>
      <c r="I254" s="61">
        <f t="shared" si="129"/>
        <v>0</v>
      </c>
      <c r="J254" s="61">
        <f t="shared" si="129"/>
        <v>0</v>
      </c>
      <c r="K254" s="61">
        <f t="shared" si="129"/>
        <v>356000</v>
      </c>
      <c r="L254" s="61">
        <f t="shared" si="129"/>
        <v>0</v>
      </c>
      <c r="M254" s="74"/>
    </row>
    <row r="255" spans="1:13" x14ac:dyDescent="0.25">
      <c r="A255" s="300"/>
      <c r="B255" s="301"/>
      <c r="C255" s="33" t="s">
        <v>38</v>
      </c>
      <c r="D255" s="34">
        <f t="shared" ref="D255:L255" si="131">D169+D148+D125+D103+D69+D40+D210</f>
        <v>1394000</v>
      </c>
      <c r="E255" s="34">
        <f t="shared" si="131"/>
        <v>1384180</v>
      </c>
      <c r="F255" s="34">
        <f t="shared" si="131"/>
        <v>-21739</v>
      </c>
      <c r="G255" s="34">
        <f t="shared" si="131"/>
        <v>0</v>
      </c>
      <c r="H255" s="34">
        <f t="shared" ref="H255" si="132">H169+H148+H125+H103+H69+H40+H210</f>
        <v>0</v>
      </c>
      <c r="I255" s="34">
        <f t="shared" si="131"/>
        <v>0</v>
      </c>
      <c r="J255" s="34">
        <f t="shared" si="131"/>
        <v>0</v>
      </c>
      <c r="K255" s="61">
        <f t="shared" si="131"/>
        <v>1362441</v>
      </c>
      <c r="L255" s="34">
        <f t="shared" si="131"/>
        <v>436870</v>
      </c>
    </row>
    <row r="256" spans="1:13" x14ac:dyDescent="0.25">
      <c r="A256" s="300"/>
      <c r="B256" s="301"/>
      <c r="C256" s="33" t="s">
        <v>39</v>
      </c>
      <c r="D256" s="34">
        <f t="shared" ref="D256:L256" si="133">D41</f>
        <v>13200</v>
      </c>
      <c r="E256" s="34">
        <f t="shared" si="133"/>
        <v>31926</v>
      </c>
      <c r="F256" s="34">
        <f t="shared" si="133"/>
        <v>0</v>
      </c>
      <c r="G256" s="34">
        <f t="shared" si="133"/>
        <v>0</v>
      </c>
      <c r="H256" s="34">
        <f t="shared" ref="H256" si="134">H41</f>
        <v>0</v>
      </c>
      <c r="I256" s="34">
        <f t="shared" si="133"/>
        <v>0</v>
      </c>
      <c r="J256" s="34">
        <f t="shared" si="133"/>
        <v>0</v>
      </c>
      <c r="K256" s="61">
        <f t="shared" si="133"/>
        <v>31926</v>
      </c>
      <c r="L256" s="34">
        <f t="shared" si="133"/>
        <v>24072</v>
      </c>
    </row>
    <row r="257" spans="1:12" x14ac:dyDescent="0.25">
      <c r="A257" s="300"/>
      <c r="B257" s="301"/>
      <c r="C257" s="36" t="s">
        <v>40</v>
      </c>
      <c r="D257" s="34">
        <f t="shared" ref="D257:L257" si="135">D186+D170+D149+D126+D104+D70+D42</f>
        <v>16415104</v>
      </c>
      <c r="E257" s="34">
        <f t="shared" si="135"/>
        <v>16353704</v>
      </c>
      <c r="F257" s="34">
        <f t="shared" si="135"/>
        <v>-108636</v>
      </c>
      <c r="G257" s="34">
        <f t="shared" si="135"/>
        <v>0</v>
      </c>
      <c r="H257" s="34">
        <f t="shared" ref="H257" si="136">H186+H170+H149+H126+H104+H70+H42</f>
        <v>0</v>
      </c>
      <c r="I257" s="34">
        <f t="shared" si="135"/>
        <v>0</v>
      </c>
      <c r="J257" s="34">
        <f t="shared" si="135"/>
        <v>0</v>
      </c>
      <c r="K257" s="61">
        <f t="shared" si="135"/>
        <v>16245068</v>
      </c>
      <c r="L257" s="34">
        <f t="shared" si="135"/>
        <v>624836</v>
      </c>
    </row>
    <row r="258" spans="1:12" x14ac:dyDescent="0.25">
      <c r="A258" s="300"/>
      <c r="B258" s="301"/>
      <c r="C258" s="33" t="s">
        <v>41</v>
      </c>
      <c r="D258" s="34">
        <f t="shared" ref="D258:L258" si="137">D187+D171+D150+D127+D105+D71+D43+D211</f>
        <v>26876743</v>
      </c>
      <c r="E258" s="34">
        <f t="shared" si="137"/>
        <v>14459819</v>
      </c>
      <c r="F258" s="34">
        <f t="shared" si="137"/>
        <v>638636</v>
      </c>
      <c r="G258" s="34">
        <f t="shared" si="137"/>
        <v>0</v>
      </c>
      <c r="H258" s="34">
        <f t="shared" ref="H258" si="138">H187+H171+H150+H127+H105+H71+H43+H211</f>
        <v>0</v>
      </c>
      <c r="I258" s="34">
        <f t="shared" si="137"/>
        <v>0</v>
      </c>
      <c r="J258" s="34">
        <f t="shared" si="137"/>
        <v>0</v>
      </c>
      <c r="K258" s="61">
        <f t="shared" si="137"/>
        <v>15098455</v>
      </c>
      <c r="L258" s="34">
        <f t="shared" si="137"/>
        <v>7086997</v>
      </c>
    </row>
    <row r="259" spans="1:12" x14ac:dyDescent="0.25">
      <c r="A259" s="300"/>
      <c r="B259" s="301"/>
      <c r="C259" s="35" t="s">
        <v>42</v>
      </c>
      <c r="D259" s="34">
        <f t="shared" ref="D259:L259" si="139">D212+D188+D172+D151+D128+D106+D72+D44</f>
        <v>2852000</v>
      </c>
      <c r="E259" s="34">
        <f t="shared" si="139"/>
        <v>2889440</v>
      </c>
      <c r="F259" s="34">
        <f t="shared" si="139"/>
        <v>-120000</v>
      </c>
      <c r="G259" s="34">
        <f t="shared" si="139"/>
        <v>0</v>
      </c>
      <c r="H259" s="34">
        <f t="shared" ref="H259" si="140">H212+H188+H172+H151+H128+H106+H72+H44</f>
        <v>0</v>
      </c>
      <c r="I259" s="34">
        <f t="shared" si="139"/>
        <v>0</v>
      </c>
      <c r="J259" s="34">
        <f t="shared" si="139"/>
        <v>0</v>
      </c>
      <c r="K259" s="34">
        <f t="shared" si="139"/>
        <v>2769440</v>
      </c>
      <c r="L259" s="34">
        <f t="shared" si="139"/>
        <v>1317378</v>
      </c>
    </row>
    <row r="260" spans="1:12" x14ac:dyDescent="0.25">
      <c r="A260" s="300"/>
      <c r="B260" s="301"/>
      <c r="C260" s="35" t="s">
        <v>43</v>
      </c>
      <c r="D260" s="34">
        <f t="shared" ref="D260:L260" si="141">D45+D73+D189</f>
        <v>290000</v>
      </c>
      <c r="E260" s="34">
        <f t="shared" si="141"/>
        <v>290000</v>
      </c>
      <c r="F260" s="34">
        <f t="shared" si="141"/>
        <v>0</v>
      </c>
      <c r="G260" s="34">
        <f t="shared" si="141"/>
        <v>0</v>
      </c>
      <c r="H260" s="34">
        <f t="shared" ref="H260" si="142">H45+H73+H189</f>
        <v>0</v>
      </c>
      <c r="I260" s="34">
        <f t="shared" si="141"/>
        <v>0</v>
      </c>
      <c r="J260" s="34">
        <f t="shared" si="141"/>
        <v>0</v>
      </c>
      <c r="K260" s="34">
        <f t="shared" si="141"/>
        <v>290000</v>
      </c>
      <c r="L260" s="34">
        <f t="shared" si="141"/>
        <v>0</v>
      </c>
    </row>
    <row r="261" spans="1:12" x14ac:dyDescent="0.25">
      <c r="A261" s="300"/>
      <c r="B261" s="301"/>
      <c r="C261" s="33" t="s">
        <v>44</v>
      </c>
      <c r="D261" s="34">
        <f t="shared" ref="D261:L261" si="143">D213+D190+D173+D152+D129+D107+D74+D46</f>
        <v>7754652</v>
      </c>
      <c r="E261" s="34">
        <f t="shared" si="143"/>
        <v>5316093</v>
      </c>
      <c r="F261" s="34">
        <f t="shared" si="143"/>
        <v>30000</v>
      </c>
      <c r="G261" s="34">
        <f t="shared" si="143"/>
        <v>0</v>
      </c>
      <c r="H261" s="34">
        <f t="shared" ref="H261" si="144">H213+H190+H173+H152+H129+H107+H74+H46</f>
        <v>0</v>
      </c>
      <c r="I261" s="34">
        <f t="shared" si="143"/>
        <v>0</v>
      </c>
      <c r="J261" s="34">
        <f t="shared" si="143"/>
        <v>0</v>
      </c>
      <c r="K261" s="34">
        <f t="shared" si="143"/>
        <v>5346093</v>
      </c>
      <c r="L261" s="34">
        <f t="shared" si="143"/>
        <v>2000428</v>
      </c>
    </row>
    <row r="262" spans="1:12" x14ac:dyDescent="0.25">
      <c r="A262" s="300"/>
      <c r="B262" s="301"/>
      <c r="C262" s="37" t="s">
        <v>45</v>
      </c>
      <c r="D262" s="34">
        <f t="shared" ref="D262:L262" si="145">D214+D191+D75+D47</f>
        <v>743011</v>
      </c>
      <c r="E262" s="34">
        <f t="shared" si="145"/>
        <v>743011</v>
      </c>
      <c r="F262" s="34">
        <f t="shared" si="145"/>
        <v>50000</v>
      </c>
      <c r="G262" s="34">
        <f t="shared" si="145"/>
        <v>0</v>
      </c>
      <c r="H262" s="34">
        <f t="shared" ref="H262" si="146">H214+H191+H75+H47</f>
        <v>0</v>
      </c>
      <c r="I262" s="34">
        <f t="shared" si="145"/>
        <v>0</v>
      </c>
      <c r="J262" s="34">
        <f t="shared" si="145"/>
        <v>0</v>
      </c>
      <c r="K262" s="34">
        <f t="shared" si="145"/>
        <v>793011</v>
      </c>
      <c r="L262" s="34">
        <f t="shared" si="145"/>
        <v>301222</v>
      </c>
    </row>
    <row r="263" spans="1:12" x14ac:dyDescent="0.25">
      <c r="A263" s="300"/>
      <c r="B263" s="301"/>
      <c r="C263" s="65" t="s">
        <v>49</v>
      </c>
      <c r="D263" s="66">
        <f t="shared" ref="D263:L263" si="147">D215+D192+D174+D153+D130+D108+D76+D48</f>
        <v>62319790</v>
      </c>
      <c r="E263" s="66">
        <f t="shared" si="147"/>
        <v>47577240</v>
      </c>
      <c r="F263" s="66">
        <f t="shared" si="147"/>
        <v>0</v>
      </c>
      <c r="G263" s="66">
        <f t="shared" si="147"/>
        <v>0</v>
      </c>
      <c r="H263" s="66">
        <f t="shared" ref="H263" si="148">H215+H192+H174+H153+H130+H108+H76+H48</f>
        <v>0</v>
      </c>
      <c r="I263" s="66">
        <f t="shared" si="147"/>
        <v>0</v>
      </c>
      <c r="J263" s="66">
        <f t="shared" si="147"/>
        <v>0</v>
      </c>
      <c r="K263" s="66">
        <f t="shared" si="147"/>
        <v>47577240</v>
      </c>
      <c r="L263" s="66">
        <f t="shared" si="147"/>
        <v>13748942</v>
      </c>
    </row>
    <row r="264" spans="1:12" x14ac:dyDescent="0.25">
      <c r="A264" s="300"/>
      <c r="B264" s="301"/>
      <c r="C264" s="65" t="s">
        <v>100</v>
      </c>
      <c r="D264" s="66">
        <f>D197</f>
        <v>0</v>
      </c>
      <c r="E264" s="66">
        <f t="shared" ref="E264:L264" si="149">E197</f>
        <v>10500000</v>
      </c>
      <c r="F264" s="66">
        <f t="shared" si="149"/>
        <v>0</v>
      </c>
      <c r="G264" s="66">
        <f t="shared" si="149"/>
        <v>0</v>
      </c>
      <c r="H264" s="66">
        <f t="shared" ref="H264" si="150">H197</f>
        <v>0</v>
      </c>
      <c r="I264" s="66">
        <f t="shared" si="149"/>
        <v>0</v>
      </c>
      <c r="J264" s="66">
        <f t="shared" si="149"/>
        <v>0</v>
      </c>
      <c r="K264" s="66">
        <f t="shared" si="149"/>
        <v>10500000</v>
      </c>
      <c r="L264" s="66">
        <f t="shared" si="149"/>
        <v>10500000</v>
      </c>
    </row>
    <row r="265" spans="1:12" x14ac:dyDescent="0.25">
      <c r="A265" s="300"/>
      <c r="B265" s="301"/>
      <c r="C265" s="38" t="s">
        <v>50</v>
      </c>
      <c r="D265" s="34">
        <f t="shared" ref="D265:L267" si="151">D194+D77+D49</f>
        <v>161220</v>
      </c>
      <c r="E265" s="34">
        <f t="shared" si="151"/>
        <v>161220</v>
      </c>
      <c r="F265" s="34">
        <f t="shared" si="151"/>
        <v>0</v>
      </c>
      <c r="G265" s="34">
        <f t="shared" si="151"/>
        <v>0</v>
      </c>
      <c r="H265" s="34">
        <f t="shared" ref="H265" si="152">H194+H77+H49</f>
        <v>0</v>
      </c>
      <c r="I265" s="34">
        <f t="shared" si="151"/>
        <v>0</v>
      </c>
      <c r="J265" s="34">
        <f t="shared" si="151"/>
        <v>0</v>
      </c>
      <c r="K265" s="34">
        <f t="shared" si="151"/>
        <v>161220</v>
      </c>
      <c r="L265" s="34">
        <f t="shared" si="151"/>
        <v>0</v>
      </c>
    </row>
    <row r="266" spans="1:12" x14ac:dyDescent="0.25">
      <c r="A266" s="300"/>
      <c r="B266" s="301"/>
      <c r="C266" s="37" t="s">
        <v>51</v>
      </c>
      <c r="D266" s="34">
        <f t="shared" si="151"/>
        <v>43530</v>
      </c>
      <c r="E266" s="34">
        <f t="shared" si="151"/>
        <v>43530</v>
      </c>
      <c r="F266" s="34">
        <f t="shared" si="151"/>
        <v>0</v>
      </c>
      <c r="G266" s="34">
        <f t="shared" si="151"/>
        <v>0</v>
      </c>
      <c r="H266" s="34">
        <f t="shared" ref="H266" si="153">H195+H78+H50</f>
        <v>0</v>
      </c>
      <c r="I266" s="34">
        <f t="shared" si="151"/>
        <v>0</v>
      </c>
      <c r="J266" s="34">
        <f t="shared" si="151"/>
        <v>0</v>
      </c>
      <c r="K266" s="34">
        <f t="shared" si="151"/>
        <v>43530</v>
      </c>
      <c r="L266" s="34">
        <f t="shared" si="151"/>
        <v>0</v>
      </c>
    </row>
    <row r="267" spans="1:12" x14ac:dyDescent="0.25">
      <c r="A267" s="300"/>
      <c r="B267" s="301"/>
      <c r="C267" s="65" t="s">
        <v>52</v>
      </c>
      <c r="D267" s="68">
        <f t="shared" si="151"/>
        <v>204750</v>
      </c>
      <c r="E267" s="68">
        <f t="shared" si="151"/>
        <v>204750</v>
      </c>
      <c r="F267" s="68">
        <f t="shared" si="151"/>
        <v>0</v>
      </c>
      <c r="G267" s="68">
        <f t="shared" si="151"/>
        <v>0</v>
      </c>
      <c r="H267" s="68">
        <f t="shared" ref="H267" si="154">H196+H79+H51</f>
        <v>0</v>
      </c>
      <c r="I267" s="68">
        <f t="shared" si="151"/>
        <v>0</v>
      </c>
      <c r="J267" s="68">
        <f t="shared" si="151"/>
        <v>0</v>
      </c>
      <c r="K267" s="68">
        <f t="shared" si="151"/>
        <v>204750</v>
      </c>
      <c r="L267" s="66">
        <f t="shared" si="151"/>
        <v>0</v>
      </c>
    </row>
    <row r="268" spans="1:12" x14ac:dyDescent="0.25">
      <c r="A268" s="302"/>
      <c r="B268" s="303"/>
      <c r="C268" s="186" t="s">
        <v>88</v>
      </c>
      <c r="D268" s="187">
        <f>D219</f>
        <v>230443641</v>
      </c>
      <c r="E268" s="187">
        <f>E219</f>
        <v>231774916</v>
      </c>
      <c r="F268" s="187">
        <f t="shared" ref="F268:L268" si="155">F219</f>
        <v>0</v>
      </c>
      <c r="G268" s="187">
        <f t="shared" si="155"/>
        <v>0</v>
      </c>
      <c r="H268" s="187">
        <f t="shared" ref="H268" si="156">H219</f>
        <v>-420313</v>
      </c>
      <c r="I268" s="187">
        <f t="shared" si="155"/>
        <v>-1071771</v>
      </c>
      <c r="J268" s="187">
        <f t="shared" si="155"/>
        <v>86923</v>
      </c>
      <c r="K268" s="187">
        <f t="shared" si="155"/>
        <v>230369755</v>
      </c>
      <c r="L268" s="187">
        <f t="shared" si="155"/>
        <v>157018927</v>
      </c>
    </row>
    <row r="269" spans="1:12" x14ac:dyDescent="0.25">
      <c r="B269" s="5"/>
      <c r="E269" s="4"/>
      <c r="F269" s="4"/>
      <c r="G269" s="4"/>
      <c r="H269" s="4"/>
      <c r="I269" s="4"/>
      <c r="J269" s="4"/>
      <c r="K269" s="4"/>
      <c r="L269" s="111"/>
    </row>
    <row r="270" spans="1:12" x14ac:dyDescent="0.25">
      <c r="B270" s="5"/>
      <c r="E270" s="4"/>
      <c r="F270" s="4"/>
      <c r="G270" s="4"/>
      <c r="H270" s="4"/>
      <c r="I270" s="4"/>
      <c r="J270" s="4"/>
      <c r="K270" s="4"/>
      <c r="L270" s="111"/>
    </row>
    <row r="271" spans="1:12" x14ac:dyDescent="0.25">
      <c r="B271" s="5"/>
      <c r="E271" s="4"/>
      <c r="F271" s="4"/>
      <c r="G271" s="4"/>
      <c r="H271" s="4"/>
      <c r="I271" s="4"/>
      <c r="J271" s="4"/>
      <c r="K271" s="4"/>
      <c r="L271" s="111"/>
    </row>
    <row r="272" spans="1:12" x14ac:dyDescent="0.25">
      <c r="A272" s="140" t="s">
        <v>125</v>
      </c>
      <c r="B272" s="140"/>
      <c r="C272" s="140"/>
      <c r="D272" s="140"/>
      <c r="E272" s="140"/>
      <c r="F272" s="140"/>
      <c r="L272"/>
    </row>
    <row r="273" spans="1:12" x14ac:dyDescent="0.25">
      <c r="A273" s="184"/>
      <c r="B273" s="184"/>
      <c r="C273" s="184"/>
      <c r="D273" s="142"/>
      <c r="E273" s="142"/>
      <c r="F273" s="143"/>
      <c r="L273"/>
    </row>
    <row r="274" spans="1:12" x14ac:dyDescent="0.25">
      <c r="A274" s="140" t="s">
        <v>169</v>
      </c>
      <c r="B274" s="140"/>
      <c r="C274" s="140"/>
      <c r="D274" s="140"/>
      <c r="E274" s="183"/>
      <c r="F274" s="143">
        <f>I7</f>
        <v>-1071771</v>
      </c>
      <c r="L274"/>
    </row>
    <row r="275" spans="1:12" x14ac:dyDescent="0.25">
      <c r="A275" s="140" t="s">
        <v>170</v>
      </c>
      <c r="B275" s="140"/>
      <c r="C275" s="140"/>
      <c r="D275" s="140"/>
      <c r="E275" s="183"/>
      <c r="F275" s="143">
        <f>SUM(H7)</f>
        <v>-420313</v>
      </c>
      <c r="L275"/>
    </row>
    <row r="276" spans="1:12" x14ac:dyDescent="0.25">
      <c r="A276" s="140" t="s">
        <v>128</v>
      </c>
      <c r="B276" s="140"/>
      <c r="C276" s="140"/>
      <c r="D276" s="140"/>
      <c r="E276" s="183"/>
      <c r="F276" s="143">
        <f>J5+J14+J16+J18</f>
        <v>86923</v>
      </c>
      <c r="L276"/>
    </row>
    <row r="277" spans="1:12" x14ac:dyDescent="0.25">
      <c r="A277" s="361" t="s">
        <v>129</v>
      </c>
      <c r="B277" s="361"/>
      <c r="C277" s="361"/>
      <c r="D277" s="361"/>
      <c r="E277" s="183"/>
      <c r="F277" s="143">
        <v>0</v>
      </c>
      <c r="L277"/>
    </row>
    <row r="278" spans="1:12" x14ac:dyDescent="0.25">
      <c r="A278" s="361" t="s">
        <v>130</v>
      </c>
      <c r="B278" s="361"/>
      <c r="C278" s="361"/>
      <c r="D278" s="361"/>
      <c r="E278" s="183"/>
      <c r="F278" s="143">
        <v>0</v>
      </c>
      <c r="L278"/>
    </row>
    <row r="279" spans="1:12" x14ac:dyDescent="0.25">
      <c r="A279" s="140" t="s">
        <v>131</v>
      </c>
      <c r="B279" s="140"/>
      <c r="C279" s="140"/>
      <c r="D279" s="140"/>
      <c r="E279" s="183"/>
      <c r="F279" s="143">
        <v>0</v>
      </c>
      <c r="L279"/>
    </row>
    <row r="280" spans="1:12" x14ac:dyDescent="0.25">
      <c r="A280" s="183" t="s">
        <v>132</v>
      </c>
      <c r="B280" s="183"/>
      <c r="C280" s="183"/>
      <c r="D280" s="183"/>
      <c r="E280" s="183"/>
      <c r="F280" s="143">
        <v>0</v>
      </c>
      <c r="L280"/>
    </row>
    <row r="281" spans="1:12" x14ac:dyDescent="0.25">
      <c r="A281" s="361" t="s">
        <v>133</v>
      </c>
      <c r="B281" s="361"/>
      <c r="C281" s="361"/>
      <c r="D281" s="361"/>
      <c r="E281" s="183"/>
      <c r="F281" s="143">
        <v>0</v>
      </c>
      <c r="L281"/>
    </row>
    <row r="282" spans="1:12" x14ac:dyDescent="0.25">
      <c r="A282" s="185" t="s">
        <v>134</v>
      </c>
      <c r="B282" s="185"/>
      <c r="C282" s="185"/>
      <c r="D282" s="185"/>
      <c r="E282" s="185"/>
      <c r="F282" s="146">
        <v>0</v>
      </c>
      <c r="L282"/>
    </row>
    <row r="283" spans="1:12" x14ac:dyDescent="0.25">
      <c r="A283" s="361" t="s">
        <v>135</v>
      </c>
      <c r="B283" s="361"/>
      <c r="C283" s="361"/>
      <c r="D283" s="361"/>
      <c r="E283" s="183"/>
      <c r="F283" s="143">
        <f>SUM(F274:F282)</f>
        <v>-1405161</v>
      </c>
      <c r="L283"/>
    </row>
    <row r="284" spans="1:12" x14ac:dyDescent="0.25">
      <c r="A284" s="362"/>
      <c r="B284" s="362"/>
      <c r="C284" s="362"/>
      <c r="D284" s="362"/>
      <c r="E284" s="362"/>
      <c r="F284" s="362"/>
      <c r="L284"/>
    </row>
    <row r="285" spans="1:12" x14ac:dyDescent="0.25">
      <c r="A285" s="362"/>
      <c r="B285" s="362"/>
      <c r="C285" s="362"/>
      <c r="D285" s="362"/>
      <c r="E285" s="362"/>
      <c r="F285" s="362"/>
      <c r="L285"/>
    </row>
    <row r="286" spans="1:12" x14ac:dyDescent="0.25">
      <c r="A286" s="362"/>
      <c r="B286" s="362"/>
      <c r="C286" s="362"/>
      <c r="D286" s="362"/>
      <c r="E286" s="362"/>
      <c r="F286" s="362"/>
      <c r="L286"/>
    </row>
    <row r="287" spans="1:12" x14ac:dyDescent="0.25">
      <c r="A287" s="361" t="s">
        <v>136</v>
      </c>
      <c r="B287" s="361"/>
      <c r="C287" s="361"/>
      <c r="D287" s="361"/>
      <c r="E287" s="361"/>
      <c r="F287" s="361"/>
      <c r="L287"/>
    </row>
    <row r="288" spans="1:12" x14ac:dyDescent="0.25">
      <c r="A288" s="362"/>
      <c r="B288" s="362"/>
      <c r="C288" s="362"/>
      <c r="D288" s="362"/>
      <c r="E288" s="362"/>
      <c r="F288" s="362"/>
      <c r="L288"/>
    </row>
    <row r="289" spans="1:12" x14ac:dyDescent="0.25">
      <c r="A289" s="361" t="s">
        <v>137</v>
      </c>
      <c r="B289" s="361"/>
      <c r="C289" s="361"/>
      <c r="D289" s="361"/>
      <c r="E289" s="183"/>
      <c r="F289" s="143">
        <v>0</v>
      </c>
      <c r="L289"/>
    </row>
    <row r="290" spans="1:12" x14ac:dyDescent="0.25">
      <c r="A290" s="183" t="s">
        <v>138</v>
      </c>
      <c r="B290" s="183"/>
      <c r="C290" s="183"/>
      <c r="D290" s="183"/>
      <c r="E290" s="183"/>
      <c r="F290" s="143">
        <v>0</v>
      </c>
      <c r="L290"/>
    </row>
    <row r="291" spans="1:12" x14ac:dyDescent="0.25">
      <c r="A291" s="361" t="s">
        <v>139</v>
      </c>
      <c r="B291" s="361"/>
      <c r="C291" s="361"/>
      <c r="D291" s="361"/>
      <c r="E291" s="183"/>
      <c r="F291" s="143">
        <f>I216+I177+I175+I154+J136+I133+J114+I111+J89+I86+I84+I82+I80+J52+I109+H175+H131+H109+H80+H82</f>
        <v>-1189620</v>
      </c>
      <c r="L291"/>
    </row>
    <row r="292" spans="1:12" x14ac:dyDescent="0.25">
      <c r="A292" s="361" t="s">
        <v>140</v>
      </c>
      <c r="B292" s="361"/>
      <c r="C292" s="361"/>
      <c r="D292" s="361"/>
      <c r="E292" s="183"/>
      <c r="F292" s="143">
        <f>I217+I178+I176+I155+I134+I132+J144+J121+I112+I110+J97+I87+I85+I83+I81+J62+H176+H132+H110+H81+H83</f>
        <v>-215541</v>
      </c>
      <c r="L292"/>
    </row>
    <row r="293" spans="1:12" x14ac:dyDescent="0.25">
      <c r="A293" s="361" t="s">
        <v>141</v>
      </c>
      <c r="B293" s="361"/>
      <c r="C293" s="361"/>
      <c r="D293" s="361"/>
      <c r="E293" s="183"/>
      <c r="F293" s="143">
        <v>0</v>
      </c>
      <c r="L293"/>
    </row>
    <row r="294" spans="1:12" x14ac:dyDescent="0.25">
      <c r="A294" s="183" t="s">
        <v>142</v>
      </c>
      <c r="B294" s="183"/>
      <c r="C294" s="183"/>
      <c r="D294" s="183"/>
      <c r="E294" s="183"/>
      <c r="F294" s="143">
        <v>0</v>
      </c>
      <c r="L294"/>
    </row>
    <row r="295" spans="1:12" x14ac:dyDescent="0.25">
      <c r="A295" s="183" t="s">
        <v>143</v>
      </c>
      <c r="B295" s="183"/>
      <c r="C295" s="183"/>
      <c r="D295" s="183"/>
      <c r="E295" s="183"/>
      <c r="F295" s="143">
        <v>0</v>
      </c>
      <c r="L295"/>
    </row>
    <row r="296" spans="1:12" x14ac:dyDescent="0.25">
      <c r="A296" s="147" t="s">
        <v>144</v>
      </c>
      <c r="B296" s="147"/>
      <c r="C296" s="147"/>
      <c r="D296" s="148"/>
      <c r="E296" s="148"/>
      <c r="F296" s="149">
        <v>0</v>
      </c>
      <c r="L296"/>
    </row>
    <row r="297" spans="1:12" x14ac:dyDescent="0.25">
      <c r="A297" s="364" t="s">
        <v>135</v>
      </c>
      <c r="B297" s="364"/>
      <c r="C297" s="364"/>
      <c r="D297" s="364"/>
      <c r="E297" s="183"/>
      <c r="F297" s="143">
        <f>SUM(F289:F296)</f>
        <v>-1405161</v>
      </c>
      <c r="L297"/>
    </row>
    <row r="298" spans="1:12" ht="33.75" customHeight="1" x14ac:dyDescent="0.25">
      <c r="A298" s="183"/>
      <c r="B298" s="140"/>
      <c r="C298" s="150"/>
      <c r="D298" s="142"/>
      <c r="E298" s="142"/>
      <c r="F298" s="143"/>
      <c r="L298"/>
    </row>
    <row r="299" spans="1:12" x14ac:dyDescent="0.25">
      <c r="A299" s="361" t="s">
        <v>145</v>
      </c>
      <c r="B299" s="361"/>
      <c r="C299" s="361"/>
      <c r="D299" s="361"/>
      <c r="E299" s="361"/>
      <c r="F299" s="361"/>
      <c r="L299"/>
    </row>
    <row r="300" spans="1:12" x14ac:dyDescent="0.25">
      <c r="A300" s="184"/>
      <c r="B300" s="184"/>
      <c r="C300" s="184"/>
      <c r="D300" s="142"/>
      <c r="E300" s="142"/>
      <c r="F300" s="143"/>
      <c r="L300"/>
    </row>
    <row r="301" spans="1:12" x14ac:dyDescent="0.25">
      <c r="A301" s="140" t="s">
        <v>126</v>
      </c>
      <c r="B301" s="140"/>
      <c r="C301" s="140"/>
      <c r="D301" s="140"/>
      <c r="E301" s="183"/>
      <c r="F301" s="143">
        <v>0</v>
      </c>
      <c r="L301"/>
    </row>
    <row r="302" spans="1:12" x14ac:dyDescent="0.25">
      <c r="A302" s="361" t="s">
        <v>127</v>
      </c>
      <c r="B302" s="361"/>
      <c r="C302" s="361"/>
      <c r="D302" s="361"/>
      <c r="E302" s="183"/>
      <c r="F302" s="143">
        <v>0</v>
      </c>
      <c r="L302"/>
    </row>
    <row r="303" spans="1:12" x14ac:dyDescent="0.25">
      <c r="A303" s="140" t="s">
        <v>128</v>
      </c>
      <c r="B303" s="183"/>
      <c r="C303" s="183"/>
      <c r="D303" s="183"/>
      <c r="E303" s="183"/>
      <c r="F303" s="143">
        <v>0</v>
      </c>
      <c r="L303"/>
    </row>
    <row r="304" spans="1:12" x14ac:dyDescent="0.25">
      <c r="A304" s="361" t="s">
        <v>129</v>
      </c>
      <c r="B304" s="361"/>
      <c r="C304" s="361"/>
      <c r="D304" s="361"/>
      <c r="E304" s="183"/>
      <c r="F304" s="143">
        <v>0</v>
      </c>
      <c r="L304"/>
    </row>
    <row r="305" spans="1:12" x14ac:dyDescent="0.25">
      <c r="A305" s="361" t="s">
        <v>146</v>
      </c>
      <c r="B305" s="361"/>
      <c r="C305" s="361"/>
      <c r="D305" s="361"/>
      <c r="E305" s="183"/>
      <c r="F305" s="143">
        <v>0</v>
      </c>
      <c r="L305"/>
    </row>
    <row r="306" spans="1:12" x14ac:dyDescent="0.25">
      <c r="A306" s="140" t="s">
        <v>147</v>
      </c>
      <c r="B306" s="140"/>
      <c r="C306" s="140"/>
      <c r="D306" s="140"/>
      <c r="E306" s="183"/>
      <c r="F306" s="143">
        <v>0</v>
      </c>
      <c r="L306"/>
    </row>
    <row r="307" spans="1:12" x14ac:dyDescent="0.25">
      <c r="A307" s="183" t="s">
        <v>132</v>
      </c>
      <c r="B307" s="183"/>
      <c r="C307" s="183"/>
      <c r="D307" s="183"/>
      <c r="E307" s="183"/>
      <c r="F307" s="143">
        <v>0</v>
      </c>
      <c r="L307"/>
    </row>
    <row r="308" spans="1:12" x14ac:dyDescent="0.25">
      <c r="A308" s="363" t="s">
        <v>133</v>
      </c>
      <c r="B308" s="363"/>
      <c r="C308" s="363"/>
      <c r="D308" s="363"/>
      <c r="E308" s="185"/>
      <c r="F308" s="146">
        <f>F13+F11</f>
        <v>0</v>
      </c>
      <c r="L308"/>
    </row>
    <row r="309" spans="1:12" x14ac:dyDescent="0.25">
      <c r="A309" s="364" t="s">
        <v>135</v>
      </c>
      <c r="B309" s="364"/>
      <c r="C309" s="364"/>
      <c r="D309" s="364"/>
      <c r="E309" s="183"/>
      <c r="F309" s="143">
        <f>SUM(F301:F308)</f>
        <v>0</v>
      </c>
      <c r="L309"/>
    </row>
    <row r="310" spans="1:12" x14ac:dyDescent="0.25">
      <c r="A310" s="362"/>
      <c r="B310" s="362"/>
      <c r="C310" s="362"/>
      <c r="D310" s="362"/>
      <c r="E310" s="362"/>
      <c r="F310" s="362"/>
      <c r="L310"/>
    </row>
    <row r="311" spans="1:12" x14ac:dyDescent="0.25">
      <c r="A311" s="362"/>
      <c r="B311" s="362"/>
      <c r="C311" s="362"/>
      <c r="D311" s="362"/>
      <c r="E311" s="362"/>
      <c r="F311" s="362"/>
      <c r="L311"/>
    </row>
    <row r="312" spans="1:12" x14ac:dyDescent="0.25">
      <c r="A312" s="362"/>
      <c r="B312" s="362"/>
      <c r="C312" s="362"/>
      <c r="D312" s="362"/>
      <c r="E312" s="362"/>
      <c r="F312" s="362"/>
      <c r="L312"/>
    </row>
    <row r="313" spans="1:12" x14ac:dyDescent="0.25">
      <c r="A313" s="361" t="s">
        <v>148</v>
      </c>
      <c r="B313" s="361"/>
      <c r="C313" s="361"/>
      <c r="D313" s="361"/>
      <c r="E313" s="361"/>
      <c r="F313" s="361"/>
      <c r="L313"/>
    </row>
    <row r="314" spans="1:12" x14ac:dyDescent="0.25">
      <c r="A314" s="362"/>
      <c r="B314" s="362"/>
      <c r="C314" s="362"/>
      <c r="D314" s="362"/>
      <c r="E314" s="362"/>
      <c r="F314" s="362"/>
      <c r="L314"/>
    </row>
    <row r="315" spans="1:12" x14ac:dyDescent="0.25">
      <c r="A315" s="361" t="s">
        <v>137</v>
      </c>
      <c r="B315" s="361"/>
      <c r="C315" s="361"/>
      <c r="D315" s="361"/>
      <c r="E315" s="183"/>
      <c r="F315" s="143">
        <v>0</v>
      </c>
      <c r="L315"/>
    </row>
    <row r="316" spans="1:12" x14ac:dyDescent="0.25">
      <c r="A316" s="183" t="s">
        <v>138</v>
      </c>
      <c r="B316" s="183"/>
      <c r="C316" s="183"/>
      <c r="D316" s="183"/>
      <c r="E316" s="183"/>
      <c r="F316" s="143">
        <v>0</v>
      </c>
      <c r="L316"/>
    </row>
    <row r="317" spans="1:12" x14ac:dyDescent="0.25">
      <c r="A317" s="361" t="s">
        <v>139</v>
      </c>
      <c r="B317" s="361"/>
      <c r="C317" s="361"/>
      <c r="D317" s="361"/>
      <c r="E317" s="183"/>
      <c r="F317" s="143">
        <f>F161+F157+F118+F114+F59+F52+F30+F25+F119+F89+F95+F136+F142+F162</f>
        <v>0</v>
      </c>
      <c r="L317"/>
    </row>
    <row r="318" spans="1:12" x14ac:dyDescent="0.25">
      <c r="A318" s="361" t="s">
        <v>140</v>
      </c>
      <c r="B318" s="361"/>
      <c r="C318" s="361"/>
      <c r="D318" s="361"/>
      <c r="E318" s="183"/>
      <c r="F318" s="143">
        <v>0</v>
      </c>
      <c r="L318"/>
    </row>
    <row r="319" spans="1:12" x14ac:dyDescent="0.25">
      <c r="A319" s="361" t="s">
        <v>141</v>
      </c>
      <c r="B319" s="361"/>
      <c r="C319" s="361"/>
      <c r="D319" s="361"/>
      <c r="E319" s="183"/>
      <c r="F319" s="143">
        <f>F214+F213+F212+F210+F209+F207+F172+F167+F100+F99+F75+F74+F71+F70+F64+F63+F72+F147+F146+F103+F101+F98+F44+F43</f>
        <v>0</v>
      </c>
      <c r="L319"/>
    </row>
    <row r="320" spans="1:12" x14ac:dyDescent="0.25">
      <c r="A320" s="183" t="s">
        <v>149</v>
      </c>
      <c r="B320" s="183"/>
      <c r="C320" s="183"/>
      <c r="D320" s="183"/>
      <c r="E320" s="183"/>
      <c r="F320" s="143">
        <v>0</v>
      </c>
      <c r="L320"/>
    </row>
    <row r="321" spans="1:12" x14ac:dyDescent="0.25">
      <c r="A321" s="183" t="s">
        <v>150</v>
      </c>
      <c r="B321" s="183"/>
      <c r="C321" s="183"/>
      <c r="D321" s="183"/>
      <c r="E321" s="183"/>
      <c r="F321" s="143">
        <v>0</v>
      </c>
      <c r="L321"/>
    </row>
    <row r="322" spans="1:12" x14ac:dyDescent="0.25">
      <c r="A322" s="147" t="s">
        <v>144</v>
      </c>
      <c r="B322" s="147"/>
      <c r="C322" s="147"/>
      <c r="D322" s="148"/>
      <c r="E322" s="148"/>
      <c r="F322" s="149">
        <v>0</v>
      </c>
      <c r="L322"/>
    </row>
    <row r="323" spans="1:12" x14ac:dyDescent="0.25">
      <c r="A323" s="364" t="s">
        <v>135</v>
      </c>
      <c r="B323" s="364"/>
      <c r="C323" s="364"/>
      <c r="D323" s="364"/>
      <c r="E323" s="183"/>
      <c r="F323" s="143">
        <f>SUM(F315:F322)</f>
        <v>0</v>
      </c>
      <c r="L323"/>
    </row>
    <row r="324" spans="1:12" x14ac:dyDescent="0.25">
      <c r="A324" s="151"/>
      <c r="B324" s="152"/>
      <c r="C324" s="153"/>
      <c r="D324" s="154"/>
      <c r="E324" s="154"/>
      <c r="F324" s="155"/>
      <c r="L324"/>
    </row>
    <row r="325" spans="1:12" x14ac:dyDescent="0.25">
      <c r="A325" s="151"/>
      <c r="B325" s="152"/>
      <c r="C325" s="153"/>
      <c r="D325" s="154"/>
      <c r="E325" s="154"/>
      <c r="F325" s="155"/>
      <c r="L325"/>
    </row>
    <row r="326" spans="1:12" x14ac:dyDescent="0.25">
      <c r="A326" s="365" t="s">
        <v>151</v>
      </c>
      <c r="B326" s="365"/>
      <c r="C326" s="365"/>
      <c r="D326" s="365"/>
      <c r="E326" s="365"/>
      <c r="F326" s="365"/>
      <c r="L326"/>
    </row>
    <row r="327" spans="1:12" x14ac:dyDescent="0.25">
      <c r="A327" s="366"/>
      <c r="B327" s="366"/>
      <c r="C327" s="366"/>
      <c r="D327" s="366"/>
      <c r="E327" s="366"/>
      <c r="F327" s="366"/>
      <c r="L327"/>
    </row>
    <row r="328" spans="1:12" x14ac:dyDescent="0.25">
      <c r="A328" s="182"/>
      <c r="B328" s="182"/>
      <c r="C328" s="182"/>
      <c r="D328" s="157"/>
      <c r="E328" s="157"/>
      <c r="F328" s="158"/>
      <c r="L328"/>
    </row>
    <row r="329" spans="1:12" x14ac:dyDescent="0.25">
      <c r="A329" s="181" t="s">
        <v>171</v>
      </c>
      <c r="B329" s="160"/>
      <c r="C329" s="160"/>
      <c r="D329" s="160"/>
      <c r="E329" s="160"/>
      <c r="F329" s="158">
        <f>SUM(F274,F301)</f>
        <v>-1071771</v>
      </c>
      <c r="L329"/>
    </row>
    <row r="330" spans="1:12" x14ac:dyDescent="0.25">
      <c r="A330" s="181" t="s">
        <v>170</v>
      </c>
      <c r="B330" s="160"/>
      <c r="C330" s="160"/>
      <c r="D330" s="160"/>
      <c r="E330" s="181"/>
      <c r="F330" s="158">
        <f>SUM(F275,F302)</f>
        <v>-420313</v>
      </c>
      <c r="L330"/>
    </row>
    <row r="331" spans="1:12" x14ac:dyDescent="0.25">
      <c r="A331" s="365" t="s">
        <v>152</v>
      </c>
      <c r="B331" s="365"/>
      <c r="C331" s="365"/>
      <c r="D331" s="365"/>
      <c r="E331" s="181"/>
      <c r="F331" s="158">
        <f>SUM(F276,F303)</f>
        <v>86923</v>
      </c>
      <c r="L331"/>
    </row>
    <row r="332" spans="1:12" x14ac:dyDescent="0.25">
      <c r="A332" s="365" t="s">
        <v>153</v>
      </c>
      <c r="B332" s="365"/>
      <c r="C332" s="365"/>
      <c r="D332" s="365"/>
      <c r="E332" s="181"/>
      <c r="F332" s="158">
        <f>F277+F304</f>
        <v>0</v>
      </c>
      <c r="L332"/>
    </row>
    <row r="333" spans="1:12" x14ac:dyDescent="0.25">
      <c r="A333" s="365" t="s">
        <v>154</v>
      </c>
      <c r="B333" s="365"/>
      <c r="C333" s="365"/>
      <c r="D333" s="365"/>
      <c r="E333" s="181"/>
      <c r="F333" s="158">
        <f>F278+F305</f>
        <v>0</v>
      </c>
      <c r="L333"/>
    </row>
    <row r="334" spans="1:12" x14ac:dyDescent="0.25">
      <c r="A334" s="160" t="s">
        <v>147</v>
      </c>
      <c r="B334" s="160"/>
      <c r="C334" s="160"/>
      <c r="D334" s="160"/>
      <c r="E334" s="181"/>
      <c r="F334" s="158">
        <f>SUM(F306,F279)</f>
        <v>0</v>
      </c>
      <c r="L334"/>
    </row>
    <row r="335" spans="1:12" x14ac:dyDescent="0.25">
      <c r="A335" s="181" t="s">
        <v>132</v>
      </c>
      <c r="B335" s="181"/>
      <c r="C335" s="181"/>
      <c r="D335" s="181"/>
      <c r="E335" s="181"/>
      <c r="F335" s="158">
        <f>F307+F280</f>
        <v>0</v>
      </c>
      <c r="L335"/>
    </row>
    <row r="336" spans="1:12" x14ac:dyDescent="0.25">
      <c r="A336" s="365" t="s">
        <v>133</v>
      </c>
      <c r="B336" s="365"/>
      <c r="C336" s="365"/>
      <c r="D336" s="365"/>
      <c r="E336" s="181"/>
      <c r="F336" s="158">
        <f>F308+F281</f>
        <v>0</v>
      </c>
      <c r="L336"/>
    </row>
    <row r="337" spans="1:12" x14ac:dyDescent="0.25">
      <c r="A337" s="161" t="s">
        <v>134</v>
      </c>
      <c r="B337" s="161"/>
      <c r="C337" s="161"/>
      <c r="D337" s="161"/>
      <c r="E337" s="161"/>
      <c r="F337" s="162">
        <f>F282</f>
        <v>0</v>
      </c>
      <c r="L337"/>
    </row>
    <row r="338" spans="1:12" x14ac:dyDescent="0.25">
      <c r="A338" s="365" t="s">
        <v>135</v>
      </c>
      <c r="B338" s="365"/>
      <c r="C338" s="365"/>
      <c r="D338" s="365"/>
      <c r="E338" s="181"/>
      <c r="F338" s="158">
        <f>SUM(F329:F337)</f>
        <v>-1405161</v>
      </c>
      <c r="L338"/>
    </row>
    <row r="339" spans="1:12" x14ac:dyDescent="0.25">
      <c r="A339" s="181"/>
      <c r="B339" s="181"/>
      <c r="C339" s="181"/>
      <c r="D339" s="181"/>
      <c r="E339" s="181"/>
      <c r="F339" s="158"/>
      <c r="L339"/>
    </row>
    <row r="340" spans="1:12" x14ac:dyDescent="0.25">
      <c r="A340" s="181"/>
      <c r="B340" s="181"/>
      <c r="C340" s="181"/>
      <c r="D340" s="181"/>
      <c r="E340" s="181"/>
      <c r="F340" s="158"/>
      <c r="L340"/>
    </row>
    <row r="341" spans="1:12" x14ac:dyDescent="0.25">
      <c r="A341" s="366"/>
      <c r="B341" s="366"/>
      <c r="C341" s="366"/>
      <c r="D341" s="366"/>
      <c r="E341" s="366"/>
      <c r="F341" s="366"/>
      <c r="L341"/>
    </row>
    <row r="342" spans="1:12" x14ac:dyDescent="0.25">
      <c r="A342" s="365" t="s">
        <v>155</v>
      </c>
      <c r="B342" s="365"/>
      <c r="C342" s="365"/>
      <c r="D342" s="365"/>
      <c r="E342" s="365"/>
      <c r="F342" s="365"/>
      <c r="L342"/>
    </row>
    <row r="343" spans="1:12" x14ac:dyDescent="0.25">
      <c r="A343" s="366"/>
      <c r="B343" s="366"/>
      <c r="C343" s="366"/>
      <c r="D343" s="366"/>
      <c r="E343" s="366"/>
      <c r="F343" s="366"/>
      <c r="L343"/>
    </row>
    <row r="344" spans="1:12" x14ac:dyDescent="0.25">
      <c r="A344" s="365" t="s">
        <v>137</v>
      </c>
      <c r="B344" s="365"/>
      <c r="C344" s="365"/>
      <c r="D344" s="365"/>
      <c r="E344" s="181"/>
      <c r="F344" s="158">
        <v>0</v>
      </c>
      <c r="L344"/>
    </row>
    <row r="345" spans="1:12" x14ac:dyDescent="0.25">
      <c r="A345" s="181" t="s">
        <v>138</v>
      </c>
      <c r="B345" s="181"/>
      <c r="C345" s="181"/>
      <c r="D345" s="181"/>
      <c r="E345" s="181"/>
      <c r="F345" s="158">
        <f>F316+F290</f>
        <v>0</v>
      </c>
      <c r="L345"/>
    </row>
    <row r="346" spans="1:12" x14ac:dyDescent="0.25">
      <c r="A346" s="365" t="s">
        <v>139</v>
      </c>
      <c r="B346" s="365"/>
      <c r="C346" s="365"/>
      <c r="D346" s="365"/>
      <c r="E346" s="181"/>
      <c r="F346" s="158">
        <f>F317+F291</f>
        <v>-1189620</v>
      </c>
      <c r="L346"/>
    </row>
    <row r="347" spans="1:12" x14ac:dyDescent="0.25">
      <c r="A347" s="365" t="s">
        <v>140</v>
      </c>
      <c r="B347" s="365"/>
      <c r="C347" s="365"/>
      <c r="D347" s="365"/>
      <c r="E347" s="181"/>
      <c r="F347" s="158">
        <f>F318+F292</f>
        <v>-215541</v>
      </c>
      <c r="L347"/>
    </row>
    <row r="348" spans="1:12" x14ac:dyDescent="0.25">
      <c r="A348" s="365" t="s">
        <v>141</v>
      </c>
      <c r="B348" s="365"/>
      <c r="C348" s="365"/>
      <c r="D348" s="365"/>
      <c r="E348" s="181"/>
      <c r="F348" s="158">
        <f>F319+F293</f>
        <v>0</v>
      </c>
      <c r="L348"/>
    </row>
    <row r="349" spans="1:12" x14ac:dyDescent="0.25">
      <c r="A349" s="181" t="s">
        <v>149</v>
      </c>
      <c r="B349" s="181"/>
      <c r="C349" s="181"/>
      <c r="D349" s="181"/>
      <c r="E349" s="181"/>
      <c r="F349" s="158">
        <f>SUM(F320,F294)</f>
        <v>0</v>
      </c>
      <c r="L349"/>
    </row>
    <row r="350" spans="1:12" x14ac:dyDescent="0.25">
      <c r="A350" s="181" t="s">
        <v>150</v>
      </c>
      <c r="B350" s="181"/>
      <c r="C350" s="181"/>
      <c r="D350" s="181"/>
      <c r="E350" s="181"/>
      <c r="F350" s="158">
        <f>SUM(F321)</f>
        <v>0</v>
      </c>
      <c r="L350"/>
    </row>
    <row r="351" spans="1:12" x14ac:dyDescent="0.25">
      <c r="A351" s="163" t="s">
        <v>144</v>
      </c>
      <c r="B351" s="163"/>
      <c r="C351" s="163"/>
      <c r="D351" s="164"/>
      <c r="E351" s="164"/>
      <c r="F351" s="165">
        <f>F322+F296</f>
        <v>0</v>
      </c>
      <c r="L351"/>
    </row>
    <row r="352" spans="1:12" x14ac:dyDescent="0.25">
      <c r="A352" s="367" t="s">
        <v>135</v>
      </c>
      <c r="B352" s="367"/>
      <c r="C352" s="367"/>
      <c r="D352" s="367"/>
      <c r="E352" s="181"/>
      <c r="F352" s="158">
        <f>SUM(F344:F351)</f>
        <v>-1405161</v>
      </c>
      <c r="L352"/>
    </row>
  </sheetData>
  <mergeCells count="115">
    <mergeCell ref="A352:D352"/>
    <mergeCell ref="A343:F343"/>
    <mergeCell ref="A344:D344"/>
    <mergeCell ref="A346:D346"/>
    <mergeCell ref="A347:D347"/>
    <mergeCell ref="A348:D348"/>
    <mergeCell ref="A333:D333"/>
    <mergeCell ref="A336:D336"/>
    <mergeCell ref="A338:D338"/>
    <mergeCell ref="A341:F341"/>
    <mergeCell ref="A342:F342"/>
    <mergeCell ref="A323:D323"/>
    <mergeCell ref="A326:F326"/>
    <mergeCell ref="A327:F327"/>
    <mergeCell ref="A331:D331"/>
    <mergeCell ref="A332:D332"/>
    <mergeCell ref="A314:F314"/>
    <mergeCell ref="A315:D315"/>
    <mergeCell ref="A317:D317"/>
    <mergeCell ref="A318:D318"/>
    <mergeCell ref="A319:D319"/>
    <mergeCell ref="A305:D305"/>
    <mergeCell ref="A308:D308"/>
    <mergeCell ref="A309:D309"/>
    <mergeCell ref="A310:F312"/>
    <mergeCell ref="A313:F313"/>
    <mergeCell ref="A293:D293"/>
    <mergeCell ref="A297:D297"/>
    <mergeCell ref="A299:F299"/>
    <mergeCell ref="A302:D302"/>
    <mergeCell ref="A304:D304"/>
    <mergeCell ref="A287:F287"/>
    <mergeCell ref="A288:F288"/>
    <mergeCell ref="A289:D289"/>
    <mergeCell ref="A291:D291"/>
    <mergeCell ref="A292:D292"/>
    <mergeCell ref="A277:D277"/>
    <mergeCell ref="A278:D278"/>
    <mergeCell ref="A281:D281"/>
    <mergeCell ref="A283:D283"/>
    <mergeCell ref="A284:F286"/>
    <mergeCell ref="A227:B268"/>
    <mergeCell ref="A179:C179"/>
    <mergeCell ref="A180:A197"/>
    <mergeCell ref="B180:B197"/>
    <mergeCell ref="A198:C198"/>
    <mergeCell ref="A199:A215"/>
    <mergeCell ref="B199:B215"/>
    <mergeCell ref="A216:A217"/>
    <mergeCell ref="B216:B217"/>
    <mergeCell ref="A218:C218"/>
    <mergeCell ref="A219:C219"/>
    <mergeCell ref="A226:L226"/>
    <mergeCell ref="A177:A178"/>
    <mergeCell ref="B177:B178"/>
    <mergeCell ref="A133:A134"/>
    <mergeCell ref="B133:B134"/>
    <mergeCell ref="A135:C135"/>
    <mergeCell ref="A136:A153"/>
    <mergeCell ref="B136:B153"/>
    <mergeCell ref="A154:A155"/>
    <mergeCell ref="B154:B155"/>
    <mergeCell ref="A156:C156"/>
    <mergeCell ref="A157:A174"/>
    <mergeCell ref="B157:B174"/>
    <mergeCell ref="A175:A176"/>
    <mergeCell ref="B175:B176"/>
    <mergeCell ref="A131:A132"/>
    <mergeCell ref="B131:B132"/>
    <mergeCell ref="A86:A87"/>
    <mergeCell ref="B86:B87"/>
    <mergeCell ref="A88:C88"/>
    <mergeCell ref="A89:A108"/>
    <mergeCell ref="B89:B108"/>
    <mergeCell ref="A109:A110"/>
    <mergeCell ref="B109:B110"/>
    <mergeCell ref="A111:A112"/>
    <mergeCell ref="B111:B112"/>
    <mergeCell ref="A113:C113"/>
    <mergeCell ref="A114:A130"/>
    <mergeCell ref="B114:B130"/>
    <mergeCell ref="A80:A81"/>
    <mergeCell ref="B80:B81"/>
    <mergeCell ref="A82:A83"/>
    <mergeCell ref="B82:B83"/>
    <mergeCell ref="A84:A85"/>
    <mergeCell ref="B84:B85"/>
    <mergeCell ref="A22:A23"/>
    <mergeCell ref="B22:B23"/>
    <mergeCell ref="A24:C24"/>
    <mergeCell ref="A25:A79"/>
    <mergeCell ref="B25:B51"/>
    <mergeCell ref="B52:B79"/>
    <mergeCell ref="A16:A17"/>
    <mergeCell ref="B16:B17"/>
    <mergeCell ref="A18:A19"/>
    <mergeCell ref="B18:B19"/>
    <mergeCell ref="A20:A21"/>
    <mergeCell ref="B20:B21"/>
    <mergeCell ref="A5:A13"/>
    <mergeCell ref="B12:B13"/>
    <mergeCell ref="A14:A15"/>
    <mergeCell ref="B14:B15"/>
    <mergeCell ref="B5:B8"/>
    <mergeCell ref="B9:B11"/>
    <mergeCell ref="A1:M1"/>
    <mergeCell ref="A3:A4"/>
    <mergeCell ref="B3:B4"/>
    <mergeCell ref="C3:C4"/>
    <mergeCell ref="D3:D4"/>
    <mergeCell ref="E3:E4"/>
    <mergeCell ref="F3:J3"/>
    <mergeCell ref="K3:K4"/>
    <mergeCell ref="L3:L4"/>
    <mergeCell ref="M3:M4"/>
  </mergeCells>
  <pageMargins left="0.70866141732283472" right="0.70866141732283472" top="0.74803149606299213" bottom="0.74803149606299213" header="0.31496062992125984" footer="0.31496062992125984"/>
  <pageSetup paperSize="9" scale="46" orientation="portrait" r:id="rId1"/>
  <rowBreaks count="3" manualBreakCount="3">
    <brk id="88" max="16383" man="1"/>
    <brk id="179" max="16383" man="1"/>
    <brk id="270" max="16383" man="1"/>
  </rowBreaks>
  <colBreaks count="1" manualBreakCount="1">
    <brk id="13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271"/>
  <sheetViews>
    <sheetView workbookViewId="0">
      <pane xSplit="3" ySplit="4" topLeftCell="D5" activePane="bottomRight" state="frozen"/>
      <selection activeCell="D8" sqref="D8"/>
      <selection pane="topRight" activeCell="D8" sqref="D8"/>
      <selection pane="bottomLeft" activeCell="D8" sqref="D8"/>
      <selection pane="bottomRight" activeCell="D8" sqref="D8"/>
    </sheetView>
  </sheetViews>
  <sheetFormatPr defaultRowHeight="15" x14ac:dyDescent="0.25"/>
  <cols>
    <col min="1" max="1" width="42.7109375" customWidth="1"/>
    <col min="3" max="3" width="7.7109375" customWidth="1"/>
    <col min="4" max="5" width="13.7109375" customWidth="1"/>
    <col min="6" max="6" width="10.28515625" customWidth="1"/>
    <col min="7" max="7" width="11.7109375" customWidth="1"/>
    <col min="8" max="9" width="10.28515625" bestFit="1" customWidth="1"/>
    <col min="10" max="10" width="13.85546875" bestFit="1" customWidth="1"/>
    <col min="11" max="11" width="16.42578125" style="122" customWidth="1"/>
    <col min="12" max="12" width="13.85546875" customWidth="1"/>
  </cols>
  <sheetData>
    <row r="1" spans="1:12" ht="21" x14ac:dyDescent="0.25">
      <c r="A1" s="398" t="s">
        <v>0</v>
      </c>
      <c r="B1" s="398"/>
      <c r="C1" s="398"/>
      <c r="D1" s="398"/>
      <c r="E1" s="398"/>
      <c r="F1" s="398"/>
      <c r="G1" s="398"/>
      <c r="H1" s="398"/>
      <c r="I1" s="398"/>
      <c r="J1" s="398"/>
      <c r="K1" s="398"/>
      <c r="L1" s="398"/>
    </row>
    <row r="2" spans="1:12" x14ac:dyDescent="0.25">
      <c r="B2" s="5"/>
      <c r="E2" s="4"/>
      <c r="F2" s="4"/>
      <c r="G2" s="4"/>
      <c r="H2" s="4"/>
      <c r="I2" s="4"/>
      <c r="J2" s="4"/>
      <c r="K2" s="111"/>
    </row>
    <row r="3" spans="1:12" ht="15" customHeight="1" x14ac:dyDescent="0.25">
      <c r="A3" s="369" t="s">
        <v>104</v>
      </c>
      <c r="B3" s="371" t="s">
        <v>105</v>
      </c>
      <c r="C3" s="369" t="s">
        <v>3</v>
      </c>
      <c r="D3" s="369" t="s">
        <v>4</v>
      </c>
      <c r="E3" s="373" t="s">
        <v>159</v>
      </c>
      <c r="F3" s="375" t="s">
        <v>172</v>
      </c>
      <c r="G3" s="376"/>
      <c r="H3" s="376"/>
      <c r="I3" s="377"/>
      <c r="J3" s="373" t="s">
        <v>166</v>
      </c>
      <c r="K3" s="378" t="s">
        <v>173</v>
      </c>
      <c r="L3" s="379" t="s">
        <v>174</v>
      </c>
    </row>
    <row r="4" spans="1:12" ht="48" customHeight="1" x14ac:dyDescent="0.25">
      <c r="A4" s="370"/>
      <c r="B4" s="372"/>
      <c r="C4" s="370"/>
      <c r="D4" s="370"/>
      <c r="E4" s="374"/>
      <c r="F4" s="169" t="s">
        <v>70</v>
      </c>
      <c r="G4" s="170" t="s">
        <v>167</v>
      </c>
      <c r="H4" s="170" t="s">
        <v>168</v>
      </c>
      <c r="I4" s="170" t="s">
        <v>163</v>
      </c>
      <c r="J4" s="374"/>
      <c r="K4" s="378"/>
      <c r="L4" s="379"/>
    </row>
    <row r="5" spans="1:12" x14ac:dyDescent="0.25">
      <c r="A5" s="255" t="s">
        <v>6</v>
      </c>
      <c r="B5" s="268" t="s">
        <v>21</v>
      </c>
      <c r="C5" s="2" t="s">
        <v>16</v>
      </c>
      <c r="D5" s="3">
        <v>54810810</v>
      </c>
      <c r="E5" s="3">
        <v>52775258</v>
      </c>
      <c r="F5" s="3"/>
      <c r="G5" s="3"/>
      <c r="H5" s="3"/>
      <c r="I5" s="3"/>
      <c r="J5" s="20">
        <f>E5+F5+G5+H5+I5</f>
        <v>52775258</v>
      </c>
      <c r="K5" s="112">
        <v>48383602</v>
      </c>
      <c r="L5" s="3">
        <f>J5-K5</f>
        <v>4391656</v>
      </c>
    </row>
    <row r="6" spans="1:12" x14ac:dyDescent="0.25">
      <c r="A6" s="256"/>
      <c r="B6" s="268"/>
      <c r="C6" s="2" t="s">
        <v>17</v>
      </c>
      <c r="D6" s="3">
        <v>7273070</v>
      </c>
      <c r="E6" s="3">
        <v>7273070</v>
      </c>
      <c r="F6" s="3"/>
      <c r="G6" s="3"/>
      <c r="H6" s="3"/>
      <c r="I6" s="3"/>
      <c r="J6" s="20">
        <f t="shared" ref="J6:J24" si="0">E6+F6+G6+H6+I6</f>
        <v>7273070</v>
      </c>
      <c r="K6" s="112">
        <v>7273070</v>
      </c>
      <c r="L6" s="3">
        <f t="shared" ref="L6:L24" si="1">J6-K6</f>
        <v>0</v>
      </c>
    </row>
    <row r="7" spans="1:12" x14ac:dyDescent="0.25">
      <c r="A7" s="256"/>
      <c r="B7" s="268"/>
      <c r="C7" s="196" t="s">
        <v>22</v>
      </c>
      <c r="D7" s="3">
        <v>200000</v>
      </c>
      <c r="E7" s="3">
        <v>200000</v>
      </c>
      <c r="F7" s="3"/>
      <c r="G7" s="3"/>
      <c r="H7" s="3"/>
      <c r="I7" s="3"/>
      <c r="J7" s="20">
        <f t="shared" si="0"/>
        <v>200000</v>
      </c>
      <c r="K7" s="112">
        <v>200000</v>
      </c>
      <c r="L7" s="3">
        <f t="shared" si="1"/>
        <v>0</v>
      </c>
    </row>
    <row r="8" spans="1:12" x14ac:dyDescent="0.25">
      <c r="A8" s="256"/>
      <c r="B8" s="268"/>
      <c r="C8" s="2" t="s">
        <v>18</v>
      </c>
      <c r="D8" s="3">
        <v>96985672</v>
      </c>
      <c r="E8" s="3">
        <v>100329672</v>
      </c>
      <c r="F8" s="3"/>
      <c r="G8" s="3">
        <v>-420313</v>
      </c>
      <c r="H8" s="3">
        <v>-1071771</v>
      </c>
      <c r="I8" s="3"/>
      <c r="J8" s="20">
        <f t="shared" si="0"/>
        <v>98837588</v>
      </c>
      <c r="K8" s="112">
        <v>82183746</v>
      </c>
      <c r="L8" s="3">
        <f t="shared" si="1"/>
        <v>16653842</v>
      </c>
    </row>
    <row r="9" spans="1:12" x14ac:dyDescent="0.25">
      <c r="A9" s="256"/>
      <c r="B9" s="252">
        <v>104042</v>
      </c>
      <c r="C9" s="2" t="s">
        <v>22</v>
      </c>
      <c r="D9" s="3">
        <v>0</v>
      </c>
      <c r="E9" s="3">
        <v>0</v>
      </c>
      <c r="F9" s="3"/>
      <c r="G9" s="3"/>
      <c r="H9" s="3"/>
      <c r="I9" s="3"/>
      <c r="J9" s="20">
        <f t="shared" si="0"/>
        <v>0</v>
      </c>
      <c r="K9" s="112">
        <v>0</v>
      </c>
      <c r="L9" s="3">
        <f t="shared" si="1"/>
        <v>0</v>
      </c>
    </row>
    <row r="10" spans="1:12" x14ac:dyDescent="0.25">
      <c r="A10" s="256"/>
      <c r="B10" s="253"/>
      <c r="C10" s="2" t="s">
        <v>19</v>
      </c>
      <c r="D10" s="3">
        <v>13200</v>
      </c>
      <c r="E10" s="3">
        <v>31926</v>
      </c>
      <c r="F10" s="3"/>
      <c r="G10" s="3"/>
      <c r="H10" s="3"/>
      <c r="I10" s="3"/>
      <c r="J10" s="20">
        <f t="shared" si="0"/>
        <v>31926</v>
      </c>
      <c r="K10" s="112">
        <v>25129</v>
      </c>
      <c r="L10" s="60">
        <f t="shared" si="1"/>
        <v>6797</v>
      </c>
    </row>
    <row r="11" spans="1:12" x14ac:dyDescent="0.25">
      <c r="A11" s="256"/>
      <c r="B11" s="253"/>
      <c r="C11" s="2" t="s">
        <v>20</v>
      </c>
      <c r="D11" s="3">
        <v>500</v>
      </c>
      <c r="E11" s="3">
        <v>1152</v>
      </c>
      <c r="F11" s="3"/>
      <c r="G11" s="3"/>
      <c r="H11" s="3"/>
      <c r="I11" s="3"/>
      <c r="J11" s="20">
        <f t="shared" si="0"/>
        <v>1152</v>
      </c>
      <c r="K11" s="112">
        <v>170</v>
      </c>
      <c r="L11" s="3">
        <f t="shared" si="1"/>
        <v>982</v>
      </c>
    </row>
    <row r="12" spans="1:12" x14ac:dyDescent="0.25">
      <c r="A12" s="256"/>
      <c r="B12" s="254"/>
      <c r="C12" s="2" t="s">
        <v>84</v>
      </c>
      <c r="D12" s="3">
        <v>0</v>
      </c>
      <c r="E12" s="3">
        <v>12948</v>
      </c>
      <c r="F12" s="3">
        <v>-1261</v>
      </c>
      <c r="G12" s="3"/>
      <c r="H12" s="3"/>
      <c r="I12" s="3"/>
      <c r="J12" s="20">
        <f t="shared" si="0"/>
        <v>11687</v>
      </c>
      <c r="K12" s="112">
        <v>5746</v>
      </c>
      <c r="L12" s="3">
        <f t="shared" si="1"/>
        <v>5941</v>
      </c>
    </row>
    <row r="13" spans="1:12" x14ac:dyDescent="0.25">
      <c r="A13" s="256"/>
      <c r="B13" s="252">
        <v>104043</v>
      </c>
      <c r="C13" s="2" t="s">
        <v>20</v>
      </c>
      <c r="D13" s="3">
        <v>500</v>
      </c>
      <c r="E13" s="3">
        <v>173</v>
      </c>
      <c r="F13" s="3"/>
      <c r="G13" s="3"/>
      <c r="H13" s="3"/>
      <c r="I13" s="3"/>
      <c r="J13" s="20">
        <f t="shared" si="0"/>
        <v>173</v>
      </c>
      <c r="K13" s="112">
        <v>171</v>
      </c>
      <c r="L13" s="3">
        <f t="shared" si="1"/>
        <v>2</v>
      </c>
    </row>
    <row r="14" spans="1:12" x14ac:dyDescent="0.25">
      <c r="A14" s="257"/>
      <c r="B14" s="254"/>
      <c r="C14" s="2" t="s">
        <v>84</v>
      </c>
      <c r="D14" s="3">
        <v>0</v>
      </c>
      <c r="E14" s="3">
        <v>1</v>
      </c>
      <c r="F14" s="3">
        <v>1261</v>
      </c>
      <c r="G14" s="3"/>
      <c r="H14" s="3"/>
      <c r="I14" s="3"/>
      <c r="J14" s="20">
        <f t="shared" si="0"/>
        <v>1262</v>
      </c>
      <c r="K14" s="112">
        <v>1261</v>
      </c>
      <c r="L14" s="3">
        <f t="shared" si="1"/>
        <v>1</v>
      </c>
    </row>
    <row r="15" spans="1:12" x14ac:dyDescent="0.25">
      <c r="A15" s="258" t="s">
        <v>7</v>
      </c>
      <c r="B15" s="268" t="s">
        <v>21</v>
      </c>
      <c r="C15" s="2" t="s">
        <v>16</v>
      </c>
      <c r="D15" s="3">
        <v>245982</v>
      </c>
      <c r="E15" s="3">
        <v>267808</v>
      </c>
      <c r="F15" s="3"/>
      <c r="G15" s="3"/>
      <c r="H15" s="3"/>
      <c r="I15" s="3"/>
      <c r="J15" s="20">
        <f t="shared" si="0"/>
        <v>267808</v>
      </c>
      <c r="K15" s="112">
        <v>257369</v>
      </c>
      <c r="L15" s="3">
        <f t="shared" si="1"/>
        <v>10439</v>
      </c>
    </row>
    <row r="16" spans="1:12" x14ac:dyDescent="0.25">
      <c r="A16" s="258"/>
      <c r="B16" s="268"/>
      <c r="C16" s="2" t="s">
        <v>17</v>
      </c>
      <c r="D16" s="3">
        <v>1005557</v>
      </c>
      <c r="E16" s="3">
        <v>1005557</v>
      </c>
      <c r="F16" s="3"/>
      <c r="G16" s="3"/>
      <c r="H16" s="3"/>
      <c r="I16" s="3"/>
      <c r="J16" s="20">
        <f t="shared" si="0"/>
        <v>1005557</v>
      </c>
      <c r="K16" s="112">
        <v>1005557</v>
      </c>
      <c r="L16" s="3">
        <f t="shared" si="1"/>
        <v>0</v>
      </c>
    </row>
    <row r="17" spans="1:12" x14ac:dyDescent="0.25">
      <c r="A17" s="258" t="s">
        <v>8</v>
      </c>
      <c r="B17" s="268" t="s">
        <v>21</v>
      </c>
      <c r="C17" s="2" t="s">
        <v>16</v>
      </c>
      <c r="D17" s="3">
        <v>3086953</v>
      </c>
      <c r="E17" s="3">
        <v>3120172</v>
      </c>
      <c r="F17" s="3"/>
      <c r="G17" s="3"/>
      <c r="H17" s="3"/>
      <c r="I17" s="3"/>
      <c r="J17" s="20">
        <f t="shared" si="0"/>
        <v>3120172</v>
      </c>
      <c r="K17" s="112">
        <v>2348434</v>
      </c>
      <c r="L17" s="3">
        <f t="shared" si="1"/>
        <v>771738</v>
      </c>
    </row>
    <row r="18" spans="1:12" x14ac:dyDescent="0.25">
      <c r="A18" s="258"/>
      <c r="B18" s="268"/>
      <c r="C18" s="2" t="s">
        <v>17</v>
      </c>
      <c r="D18" s="3">
        <v>440959</v>
      </c>
      <c r="E18" s="3">
        <v>440959</v>
      </c>
      <c r="F18" s="3"/>
      <c r="G18" s="3"/>
      <c r="H18" s="3"/>
      <c r="I18" s="3"/>
      <c r="J18" s="20">
        <f t="shared" si="0"/>
        <v>440959</v>
      </c>
      <c r="K18" s="112">
        <v>440959</v>
      </c>
      <c r="L18" s="3">
        <f t="shared" si="1"/>
        <v>0</v>
      </c>
    </row>
    <row r="19" spans="1:12" x14ac:dyDescent="0.25">
      <c r="A19" s="258" t="s">
        <v>9</v>
      </c>
      <c r="B19" s="268" t="s">
        <v>21</v>
      </c>
      <c r="C19" s="2" t="s">
        <v>16</v>
      </c>
      <c r="D19" s="3">
        <v>1403439</v>
      </c>
      <c r="E19" s="3">
        <v>1426144</v>
      </c>
      <c r="F19" s="3"/>
      <c r="G19" s="3"/>
      <c r="H19" s="3"/>
      <c r="I19" s="3"/>
      <c r="J19" s="20">
        <f t="shared" si="0"/>
        <v>1426144</v>
      </c>
      <c r="K19" s="112">
        <v>1233200</v>
      </c>
      <c r="L19" s="3">
        <f t="shared" si="1"/>
        <v>192944</v>
      </c>
    </row>
    <row r="20" spans="1:12" x14ac:dyDescent="0.25">
      <c r="A20" s="258"/>
      <c r="B20" s="268"/>
      <c r="C20" s="2" t="s">
        <v>17</v>
      </c>
      <c r="D20" s="3">
        <v>599759</v>
      </c>
      <c r="E20" s="3">
        <v>599759</v>
      </c>
      <c r="F20" s="3"/>
      <c r="G20" s="3"/>
      <c r="H20" s="3"/>
      <c r="I20" s="3"/>
      <c r="J20" s="20">
        <f t="shared" si="0"/>
        <v>599759</v>
      </c>
      <c r="K20" s="112">
        <v>599759</v>
      </c>
      <c r="L20" s="3">
        <f t="shared" si="1"/>
        <v>0</v>
      </c>
    </row>
    <row r="21" spans="1:12" x14ac:dyDescent="0.25">
      <c r="A21" s="255" t="s">
        <v>54</v>
      </c>
      <c r="B21" s="252" t="s">
        <v>21</v>
      </c>
      <c r="C21" s="2" t="s">
        <v>16</v>
      </c>
      <c r="D21" s="3">
        <v>4056383</v>
      </c>
      <c r="E21" s="3">
        <v>4056383</v>
      </c>
      <c r="F21" s="3"/>
      <c r="G21" s="3"/>
      <c r="H21" s="3"/>
      <c r="I21" s="3"/>
      <c r="J21" s="20">
        <f t="shared" si="0"/>
        <v>4056383</v>
      </c>
      <c r="K21" s="112">
        <v>3992522</v>
      </c>
      <c r="L21" s="3">
        <f t="shared" si="1"/>
        <v>63861</v>
      </c>
    </row>
    <row r="22" spans="1:12" x14ac:dyDescent="0.25">
      <c r="A22" s="257"/>
      <c r="B22" s="254"/>
      <c r="C22" s="2" t="s">
        <v>17</v>
      </c>
      <c r="D22" s="3">
        <v>226299</v>
      </c>
      <c r="E22" s="3">
        <v>226299</v>
      </c>
      <c r="F22" s="3"/>
      <c r="G22" s="3"/>
      <c r="H22" s="3"/>
      <c r="I22" s="3"/>
      <c r="J22" s="20">
        <f t="shared" si="0"/>
        <v>226299</v>
      </c>
      <c r="K22" s="112">
        <v>226299</v>
      </c>
      <c r="L22" s="3">
        <f t="shared" si="1"/>
        <v>0</v>
      </c>
    </row>
    <row r="23" spans="1:12" x14ac:dyDescent="0.25">
      <c r="A23" s="258" t="s">
        <v>10</v>
      </c>
      <c r="B23" s="268" t="s">
        <v>21</v>
      </c>
      <c r="C23" s="2" t="s">
        <v>16</v>
      </c>
      <c r="D23" s="3">
        <v>53627392</v>
      </c>
      <c r="E23" s="3">
        <v>53627392</v>
      </c>
      <c r="F23" s="3"/>
      <c r="G23" s="3"/>
      <c r="H23" s="3"/>
      <c r="I23" s="3"/>
      <c r="J23" s="20">
        <f t="shared" si="0"/>
        <v>53627392</v>
      </c>
      <c r="K23" s="112">
        <v>28328650</v>
      </c>
      <c r="L23" s="3">
        <f t="shared" si="1"/>
        <v>25298742</v>
      </c>
    </row>
    <row r="24" spans="1:12" x14ac:dyDescent="0.25">
      <c r="A24" s="258"/>
      <c r="B24" s="268"/>
      <c r="C24" s="2" t="s">
        <v>17</v>
      </c>
      <c r="D24" s="3">
        <v>6467166</v>
      </c>
      <c r="E24" s="3">
        <v>6467166</v>
      </c>
      <c r="F24" s="3"/>
      <c r="G24" s="3"/>
      <c r="H24" s="3"/>
      <c r="I24" s="3"/>
      <c r="J24" s="20">
        <f t="shared" si="0"/>
        <v>6467166</v>
      </c>
      <c r="K24" s="112">
        <v>6467166</v>
      </c>
      <c r="L24" s="3">
        <f t="shared" si="1"/>
        <v>0</v>
      </c>
    </row>
    <row r="25" spans="1:12" ht="30" customHeight="1" x14ac:dyDescent="0.25">
      <c r="A25" s="380" t="s">
        <v>73</v>
      </c>
      <c r="B25" s="381"/>
      <c r="C25" s="382"/>
      <c r="D25" s="167">
        <f t="shared" ref="D25:L25" si="2">SUM(D5:D24)</f>
        <v>230443641</v>
      </c>
      <c r="E25" s="167">
        <f t="shared" si="2"/>
        <v>231861839</v>
      </c>
      <c r="F25" s="167">
        <f t="shared" si="2"/>
        <v>0</v>
      </c>
      <c r="G25" s="167">
        <f t="shared" si="2"/>
        <v>-420313</v>
      </c>
      <c r="H25" s="167">
        <f t="shared" si="2"/>
        <v>-1071771</v>
      </c>
      <c r="I25" s="167">
        <f t="shared" si="2"/>
        <v>0</v>
      </c>
      <c r="J25" s="167">
        <f t="shared" si="2"/>
        <v>230369755</v>
      </c>
      <c r="K25" s="168">
        <f t="shared" si="2"/>
        <v>182972810</v>
      </c>
      <c r="L25" s="167">
        <f t="shared" si="2"/>
        <v>47396945</v>
      </c>
    </row>
    <row r="26" spans="1:12" x14ac:dyDescent="0.25">
      <c r="A26" s="258" t="s">
        <v>11</v>
      </c>
      <c r="B26" s="252" t="s">
        <v>23</v>
      </c>
      <c r="C26" s="2" t="s">
        <v>24</v>
      </c>
      <c r="D26" s="3">
        <v>35883092</v>
      </c>
      <c r="E26" s="3">
        <v>35438980</v>
      </c>
      <c r="F26" s="3"/>
      <c r="G26" s="3"/>
      <c r="H26" s="3"/>
      <c r="I26" s="3"/>
      <c r="J26" s="20">
        <f t="shared" ref="J26:J32" si="3">E26+F26+G26+H26+I26</f>
        <v>35438980</v>
      </c>
      <c r="K26" s="112">
        <v>30061199</v>
      </c>
      <c r="L26" s="3">
        <f t="shared" ref="L26:L32" si="4">J26-K26</f>
        <v>5377781</v>
      </c>
    </row>
    <row r="27" spans="1:12" x14ac:dyDescent="0.25">
      <c r="A27" s="258"/>
      <c r="B27" s="253"/>
      <c r="C27" s="2" t="s">
        <v>25</v>
      </c>
      <c r="D27" s="3">
        <v>1542000</v>
      </c>
      <c r="E27" s="3">
        <v>1542000</v>
      </c>
      <c r="F27" s="3"/>
      <c r="G27" s="3"/>
      <c r="H27" s="3"/>
      <c r="I27" s="3"/>
      <c r="J27" s="20">
        <f t="shared" si="3"/>
        <v>1542000</v>
      </c>
      <c r="K27" s="112">
        <v>1425000</v>
      </c>
      <c r="L27" s="3">
        <f t="shared" si="4"/>
        <v>117000</v>
      </c>
    </row>
    <row r="28" spans="1:12" x14ac:dyDescent="0.25">
      <c r="A28" s="258"/>
      <c r="B28" s="253"/>
      <c r="C28" s="2" t="s">
        <v>26</v>
      </c>
      <c r="D28" s="3">
        <v>80000</v>
      </c>
      <c r="E28" s="3">
        <v>80000</v>
      </c>
      <c r="F28" s="3"/>
      <c r="G28" s="3"/>
      <c r="H28" s="3"/>
      <c r="I28" s="3"/>
      <c r="J28" s="20">
        <f t="shared" si="3"/>
        <v>80000</v>
      </c>
      <c r="K28" s="112">
        <v>75000</v>
      </c>
      <c r="L28" s="3">
        <f t="shared" si="4"/>
        <v>5000</v>
      </c>
    </row>
    <row r="29" spans="1:12" x14ac:dyDescent="0.25">
      <c r="A29" s="258"/>
      <c r="B29" s="253"/>
      <c r="C29" s="2" t="s">
        <v>27</v>
      </c>
      <c r="D29" s="3">
        <v>893400</v>
      </c>
      <c r="E29" s="3">
        <v>887586</v>
      </c>
      <c r="F29" s="3"/>
      <c r="G29" s="3"/>
      <c r="H29" s="3"/>
      <c r="I29" s="3"/>
      <c r="J29" s="20">
        <f t="shared" si="3"/>
        <v>887586</v>
      </c>
      <c r="K29" s="112">
        <v>626222</v>
      </c>
      <c r="L29" s="3">
        <f t="shared" si="4"/>
        <v>261364</v>
      </c>
    </row>
    <row r="30" spans="1:12" x14ac:dyDescent="0.25">
      <c r="A30" s="258"/>
      <c r="B30" s="253"/>
      <c r="C30" s="2" t="s">
        <v>28</v>
      </c>
      <c r="D30" s="3">
        <v>190000</v>
      </c>
      <c r="E30" s="3">
        <v>190000</v>
      </c>
      <c r="F30" s="3"/>
      <c r="G30" s="3"/>
      <c r="H30" s="3"/>
      <c r="I30" s="3"/>
      <c r="J30" s="20">
        <f t="shared" si="3"/>
        <v>190000</v>
      </c>
      <c r="K30" s="112">
        <v>183000</v>
      </c>
      <c r="L30" s="3">
        <f t="shared" si="4"/>
        <v>7000</v>
      </c>
    </row>
    <row r="31" spans="1:12" x14ac:dyDescent="0.25">
      <c r="A31" s="258"/>
      <c r="B31" s="253"/>
      <c r="C31" s="2" t="s">
        <v>29</v>
      </c>
      <c r="D31" s="3">
        <v>1086500</v>
      </c>
      <c r="E31" s="3">
        <v>1414943</v>
      </c>
      <c r="F31" s="3"/>
      <c r="G31" s="3"/>
      <c r="H31" s="3"/>
      <c r="I31" s="3"/>
      <c r="J31" s="20">
        <f t="shared" si="3"/>
        <v>1414943</v>
      </c>
      <c r="K31" s="112">
        <v>1087676</v>
      </c>
      <c r="L31" s="3">
        <f t="shared" si="4"/>
        <v>327267</v>
      </c>
    </row>
    <row r="32" spans="1:12" x14ac:dyDescent="0.25">
      <c r="A32" s="258"/>
      <c r="B32" s="253"/>
      <c r="C32" s="2" t="s">
        <v>30</v>
      </c>
      <c r="D32" s="3">
        <v>100000</v>
      </c>
      <c r="E32" s="3">
        <v>100000</v>
      </c>
      <c r="F32" s="3"/>
      <c r="G32" s="3"/>
      <c r="H32" s="3"/>
      <c r="I32" s="3"/>
      <c r="J32" s="20">
        <f t="shared" si="3"/>
        <v>100000</v>
      </c>
      <c r="K32" s="112">
        <v>67798</v>
      </c>
      <c r="L32" s="3">
        <f t="shared" si="4"/>
        <v>32202</v>
      </c>
    </row>
    <row r="33" spans="1:12" x14ac:dyDescent="0.25">
      <c r="A33" s="258"/>
      <c r="B33" s="253"/>
      <c r="C33" s="6" t="s">
        <v>53</v>
      </c>
      <c r="D33" s="7">
        <f>SUM(D26:D32)</f>
        <v>39774992</v>
      </c>
      <c r="E33" s="7">
        <v>39653509</v>
      </c>
      <c r="F33" s="7">
        <f t="shared" ref="F33:L33" si="5">SUM(F26:F32)</f>
        <v>0</v>
      </c>
      <c r="G33" s="7">
        <f t="shared" si="5"/>
        <v>0</v>
      </c>
      <c r="H33" s="7">
        <f t="shared" si="5"/>
        <v>0</v>
      </c>
      <c r="I33" s="7">
        <f t="shared" si="5"/>
        <v>0</v>
      </c>
      <c r="J33" s="7">
        <f t="shared" si="5"/>
        <v>39653509</v>
      </c>
      <c r="K33" s="114">
        <f t="shared" si="5"/>
        <v>33525895</v>
      </c>
      <c r="L33" s="7">
        <f t="shared" si="5"/>
        <v>6127614</v>
      </c>
    </row>
    <row r="34" spans="1:12" x14ac:dyDescent="0.25">
      <c r="A34" s="258"/>
      <c r="B34" s="253"/>
      <c r="C34" s="86" t="s">
        <v>31</v>
      </c>
      <c r="D34" s="87">
        <v>7793417</v>
      </c>
      <c r="E34" s="87">
        <v>7795732</v>
      </c>
      <c r="F34" s="87"/>
      <c r="G34" s="87"/>
      <c r="H34" s="87"/>
      <c r="I34" s="87"/>
      <c r="J34" s="88">
        <f t="shared" ref="J34:J48" si="6">E34+F34+G34+H34+I34</f>
        <v>7795732</v>
      </c>
      <c r="K34" s="115">
        <v>6645389</v>
      </c>
      <c r="L34" s="89">
        <f t="shared" ref="L34:L48" si="7">J34-K34</f>
        <v>1150343</v>
      </c>
    </row>
    <row r="35" spans="1:12" x14ac:dyDescent="0.25">
      <c r="A35" s="258"/>
      <c r="B35" s="253"/>
      <c r="C35" s="2" t="s">
        <v>32</v>
      </c>
      <c r="D35" s="3">
        <v>105000</v>
      </c>
      <c r="E35" s="3">
        <v>115000</v>
      </c>
      <c r="F35" s="3"/>
      <c r="G35" s="3"/>
      <c r="H35" s="3"/>
      <c r="I35" s="3"/>
      <c r="J35" s="20">
        <f t="shared" si="6"/>
        <v>115000</v>
      </c>
      <c r="K35" s="112">
        <v>24818</v>
      </c>
      <c r="L35" s="3">
        <f t="shared" si="7"/>
        <v>90182</v>
      </c>
    </row>
    <row r="36" spans="1:12" x14ac:dyDescent="0.25">
      <c r="A36" s="258"/>
      <c r="B36" s="253"/>
      <c r="C36" s="2" t="s">
        <v>33</v>
      </c>
      <c r="D36" s="3">
        <v>500000</v>
      </c>
      <c r="E36" s="3">
        <v>500000</v>
      </c>
      <c r="F36" s="3"/>
      <c r="G36" s="3"/>
      <c r="H36" s="3"/>
      <c r="I36" s="3"/>
      <c r="J36" s="20">
        <f t="shared" si="6"/>
        <v>500000</v>
      </c>
      <c r="K36" s="112">
        <v>2122</v>
      </c>
      <c r="L36" s="3">
        <f t="shared" si="7"/>
        <v>497878</v>
      </c>
    </row>
    <row r="37" spans="1:12" x14ac:dyDescent="0.25">
      <c r="A37" s="258"/>
      <c r="B37" s="253"/>
      <c r="C37" s="2" t="s">
        <v>34</v>
      </c>
      <c r="D37" s="3">
        <v>213000</v>
      </c>
      <c r="E37" s="3">
        <v>213000</v>
      </c>
      <c r="F37" s="3"/>
      <c r="G37" s="3"/>
      <c r="H37" s="3"/>
      <c r="I37" s="3"/>
      <c r="J37" s="20">
        <f t="shared" si="6"/>
        <v>213000</v>
      </c>
      <c r="K37" s="112">
        <v>124517</v>
      </c>
      <c r="L37" s="3">
        <f t="shared" si="7"/>
        <v>88483</v>
      </c>
    </row>
    <row r="38" spans="1:12" x14ac:dyDescent="0.25">
      <c r="A38" s="258"/>
      <c r="B38" s="253"/>
      <c r="C38" s="2" t="s">
        <v>35</v>
      </c>
      <c r="D38" s="3">
        <v>162000</v>
      </c>
      <c r="E38" s="3">
        <v>162000</v>
      </c>
      <c r="F38" s="3"/>
      <c r="G38" s="3"/>
      <c r="H38" s="3"/>
      <c r="I38" s="3"/>
      <c r="J38" s="20">
        <f t="shared" si="6"/>
        <v>162000</v>
      </c>
      <c r="K38" s="112">
        <v>62075</v>
      </c>
      <c r="L38" s="3">
        <f t="shared" si="7"/>
        <v>99925</v>
      </c>
    </row>
    <row r="39" spans="1:12" x14ac:dyDescent="0.25">
      <c r="A39" s="258"/>
      <c r="B39" s="253"/>
      <c r="C39" s="2" t="s">
        <v>36</v>
      </c>
      <c r="D39" s="3">
        <v>569540</v>
      </c>
      <c r="E39" s="3">
        <v>569540</v>
      </c>
      <c r="F39" s="3"/>
      <c r="G39" s="3"/>
      <c r="H39" s="3"/>
      <c r="I39" s="3"/>
      <c r="J39" s="20">
        <f t="shared" si="6"/>
        <v>569540</v>
      </c>
      <c r="K39" s="112">
        <v>436848</v>
      </c>
      <c r="L39" s="3">
        <f t="shared" si="7"/>
        <v>132692</v>
      </c>
    </row>
    <row r="40" spans="1:12" x14ac:dyDescent="0.25">
      <c r="A40" s="258"/>
      <c r="B40" s="253"/>
      <c r="C40" s="2" t="s">
        <v>37</v>
      </c>
      <c r="D40" s="3">
        <v>3000</v>
      </c>
      <c r="E40" s="3">
        <v>3000</v>
      </c>
      <c r="F40" s="3"/>
      <c r="G40" s="3"/>
      <c r="H40" s="3"/>
      <c r="I40" s="3"/>
      <c r="J40" s="20">
        <f t="shared" si="6"/>
        <v>3000</v>
      </c>
      <c r="K40" s="112">
        <v>0</v>
      </c>
      <c r="L40" s="3">
        <f t="shared" si="7"/>
        <v>3000</v>
      </c>
    </row>
    <row r="41" spans="1:12" x14ac:dyDescent="0.25">
      <c r="A41" s="258"/>
      <c r="B41" s="253"/>
      <c r="C41" s="2" t="s">
        <v>38</v>
      </c>
      <c r="D41" s="3">
        <v>460000</v>
      </c>
      <c r="E41" s="3">
        <v>456500</v>
      </c>
      <c r="F41" s="3"/>
      <c r="G41" s="3"/>
      <c r="H41" s="3"/>
      <c r="I41" s="3"/>
      <c r="J41" s="20">
        <f t="shared" si="6"/>
        <v>456500</v>
      </c>
      <c r="K41" s="112">
        <v>228302</v>
      </c>
      <c r="L41" s="3">
        <f t="shared" si="7"/>
        <v>228198</v>
      </c>
    </row>
    <row r="42" spans="1:12" x14ac:dyDescent="0.25">
      <c r="A42" s="258"/>
      <c r="B42" s="253"/>
      <c r="C42" s="2" t="s">
        <v>39</v>
      </c>
      <c r="D42" s="3">
        <v>13200</v>
      </c>
      <c r="E42" s="3">
        <v>31926</v>
      </c>
      <c r="F42" s="3"/>
      <c r="G42" s="3"/>
      <c r="H42" s="3"/>
      <c r="I42" s="3"/>
      <c r="J42" s="20">
        <f t="shared" si="6"/>
        <v>31926</v>
      </c>
      <c r="K42" s="112">
        <v>25129</v>
      </c>
      <c r="L42" s="60">
        <f t="shared" si="7"/>
        <v>6797</v>
      </c>
    </row>
    <row r="43" spans="1:12" x14ac:dyDescent="0.25">
      <c r="A43" s="258"/>
      <c r="B43" s="253"/>
      <c r="C43" s="2" t="s">
        <v>40</v>
      </c>
      <c r="D43" s="3">
        <v>137800</v>
      </c>
      <c r="E43" s="3">
        <v>62800</v>
      </c>
      <c r="F43" s="3"/>
      <c r="G43" s="3"/>
      <c r="H43" s="3"/>
      <c r="I43" s="3"/>
      <c r="J43" s="20">
        <f t="shared" si="6"/>
        <v>62800</v>
      </c>
      <c r="K43" s="112">
        <v>80200</v>
      </c>
      <c r="L43" s="3">
        <f t="shared" si="7"/>
        <v>-17400</v>
      </c>
    </row>
    <row r="44" spans="1:12" x14ac:dyDescent="0.25">
      <c r="A44" s="258"/>
      <c r="B44" s="253"/>
      <c r="C44" s="2" t="s">
        <v>41</v>
      </c>
      <c r="D44" s="3">
        <v>582236</v>
      </c>
      <c r="E44" s="3">
        <v>578510</v>
      </c>
      <c r="F44" s="3">
        <v>30000</v>
      </c>
      <c r="G44" s="3"/>
      <c r="H44" s="3"/>
      <c r="I44" s="3"/>
      <c r="J44" s="20">
        <f t="shared" si="6"/>
        <v>608510</v>
      </c>
      <c r="K44" s="112">
        <v>607886</v>
      </c>
      <c r="L44" s="3">
        <f t="shared" si="7"/>
        <v>624</v>
      </c>
    </row>
    <row r="45" spans="1:12" x14ac:dyDescent="0.25">
      <c r="A45" s="258"/>
      <c r="B45" s="253"/>
      <c r="C45" s="2" t="s">
        <v>42</v>
      </c>
      <c r="D45" s="3">
        <v>552000</v>
      </c>
      <c r="E45" s="3">
        <v>534045</v>
      </c>
      <c r="F45" s="3">
        <v>-30000</v>
      </c>
      <c r="G45" s="3"/>
      <c r="H45" s="3"/>
      <c r="I45" s="3"/>
      <c r="J45" s="20">
        <f t="shared" si="6"/>
        <v>504045</v>
      </c>
      <c r="K45" s="112">
        <v>353340</v>
      </c>
      <c r="L45" s="3">
        <f t="shared" si="7"/>
        <v>150705</v>
      </c>
    </row>
    <row r="46" spans="1:12" x14ac:dyDescent="0.25">
      <c r="A46" s="258"/>
      <c r="B46" s="253"/>
      <c r="C46" s="2" t="s">
        <v>43</v>
      </c>
      <c r="D46" s="3">
        <v>30000</v>
      </c>
      <c r="E46" s="3">
        <v>30000</v>
      </c>
      <c r="F46" s="3"/>
      <c r="G46" s="3"/>
      <c r="H46" s="3"/>
      <c r="I46" s="3"/>
      <c r="J46" s="20">
        <f t="shared" si="6"/>
        <v>30000</v>
      </c>
      <c r="K46" s="112">
        <v>0</v>
      </c>
      <c r="L46" s="3">
        <f t="shared" si="7"/>
        <v>30000</v>
      </c>
    </row>
    <row r="47" spans="1:12" x14ac:dyDescent="0.25">
      <c r="A47" s="258"/>
      <c r="B47" s="253"/>
      <c r="C47" s="2" t="s">
        <v>44</v>
      </c>
      <c r="D47" s="3">
        <v>455834</v>
      </c>
      <c r="E47" s="3">
        <v>218435</v>
      </c>
      <c r="F47" s="3"/>
      <c r="G47" s="3"/>
      <c r="H47" s="3"/>
      <c r="I47" s="3"/>
      <c r="J47" s="20">
        <f t="shared" si="6"/>
        <v>218435</v>
      </c>
      <c r="K47" s="112">
        <v>168570</v>
      </c>
      <c r="L47" s="3">
        <f t="shared" si="7"/>
        <v>49865</v>
      </c>
    </row>
    <row r="48" spans="1:12" x14ac:dyDescent="0.25">
      <c r="A48" s="258"/>
      <c r="B48" s="253"/>
      <c r="C48" s="2" t="s">
        <v>45</v>
      </c>
      <c r="D48" s="3">
        <v>80000</v>
      </c>
      <c r="E48" s="3">
        <v>75764</v>
      </c>
      <c r="F48" s="3"/>
      <c r="G48" s="3"/>
      <c r="H48" s="3"/>
      <c r="I48" s="3"/>
      <c r="J48" s="20">
        <f t="shared" si="6"/>
        <v>75764</v>
      </c>
      <c r="K48" s="112">
        <v>65300</v>
      </c>
      <c r="L48" s="3">
        <f t="shared" si="7"/>
        <v>10464</v>
      </c>
    </row>
    <row r="49" spans="1:12" x14ac:dyDescent="0.25">
      <c r="A49" s="258"/>
      <c r="B49" s="253"/>
      <c r="C49" s="6" t="s">
        <v>49</v>
      </c>
      <c r="D49" s="7">
        <f>SUM(D35:D48)</f>
        <v>3863610</v>
      </c>
      <c r="E49" s="7">
        <v>3550520</v>
      </c>
      <c r="F49" s="7">
        <f t="shared" ref="F49:L49" si="8">SUM(F35:F48)</f>
        <v>0</v>
      </c>
      <c r="G49" s="7">
        <f t="shared" si="8"/>
        <v>0</v>
      </c>
      <c r="H49" s="7">
        <f t="shared" si="8"/>
        <v>0</v>
      </c>
      <c r="I49" s="7">
        <f t="shared" si="8"/>
        <v>0</v>
      </c>
      <c r="J49" s="7">
        <f t="shared" si="8"/>
        <v>3550520</v>
      </c>
      <c r="K49" s="114">
        <f t="shared" si="8"/>
        <v>2179107</v>
      </c>
      <c r="L49" s="7">
        <f t="shared" si="8"/>
        <v>1371413</v>
      </c>
    </row>
    <row r="50" spans="1:12" x14ac:dyDescent="0.25">
      <c r="A50" s="258"/>
      <c r="B50" s="253"/>
      <c r="C50" s="2" t="s">
        <v>50</v>
      </c>
      <c r="D50" s="3">
        <v>78740</v>
      </c>
      <c r="E50" s="3">
        <v>78740</v>
      </c>
      <c r="F50" s="3"/>
      <c r="G50" s="3"/>
      <c r="H50" s="3"/>
      <c r="I50" s="3"/>
      <c r="J50" s="20">
        <f t="shared" ref="J50:J51" si="9">E50+F50+G50+H50+I50</f>
        <v>78740</v>
      </c>
      <c r="K50" s="112">
        <v>0</v>
      </c>
      <c r="L50" s="3">
        <f t="shared" ref="L50:L51" si="10">J50-K50</f>
        <v>78740</v>
      </c>
    </row>
    <row r="51" spans="1:12" x14ac:dyDescent="0.25">
      <c r="A51" s="258"/>
      <c r="B51" s="253"/>
      <c r="C51" s="2" t="s">
        <v>51</v>
      </c>
      <c r="D51" s="3">
        <v>21260</v>
      </c>
      <c r="E51" s="3">
        <v>21260</v>
      </c>
      <c r="F51" s="3"/>
      <c r="G51" s="3"/>
      <c r="H51" s="3"/>
      <c r="I51" s="3"/>
      <c r="J51" s="20">
        <f t="shared" si="9"/>
        <v>21260</v>
      </c>
      <c r="K51" s="112">
        <v>0</v>
      </c>
      <c r="L51" s="3">
        <f t="shared" si="10"/>
        <v>21260</v>
      </c>
    </row>
    <row r="52" spans="1:12" x14ac:dyDescent="0.25">
      <c r="A52" s="258"/>
      <c r="B52" s="254"/>
      <c r="C52" s="6" t="s">
        <v>52</v>
      </c>
      <c r="D52" s="7">
        <f>SUM(D50:D51)</f>
        <v>100000</v>
      </c>
      <c r="E52" s="7">
        <v>100000</v>
      </c>
      <c r="F52" s="7">
        <f t="shared" ref="F52:L52" si="11">SUM(F50:F51)</f>
        <v>0</v>
      </c>
      <c r="G52" s="7">
        <f t="shared" si="11"/>
        <v>0</v>
      </c>
      <c r="H52" s="7">
        <f t="shared" si="11"/>
        <v>0</v>
      </c>
      <c r="I52" s="7">
        <f t="shared" si="11"/>
        <v>0</v>
      </c>
      <c r="J52" s="7">
        <f t="shared" si="11"/>
        <v>100000</v>
      </c>
      <c r="K52" s="114">
        <f t="shared" si="11"/>
        <v>0</v>
      </c>
      <c r="L52" s="7">
        <f t="shared" si="11"/>
        <v>100000</v>
      </c>
    </row>
    <row r="53" spans="1:12" x14ac:dyDescent="0.25">
      <c r="A53" s="258"/>
      <c r="B53" s="268" t="s">
        <v>46</v>
      </c>
      <c r="C53" s="2" t="s">
        <v>24</v>
      </c>
      <c r="D53" s="3">
        <v>25123345</v>
      </c>
      <c r="E53" s="3">
        <v>25175087</v>
      </c>
      <c r="F53" s="3">
        <v>-425381</v>
      </c>
      <c r="G53" s="3"/>
      <c r="H53" s="3"/>
      <c r="I53" s="3"/>
      <c r="J53" s="20">
        <f t="shared" ref="J53:J61" si="12">E53+F53+G53+H53+I53</f>
        <v>24749706</v>
      </c>
      <c r="K53" s="112">
        <v>21574373</v>
      </c>
      <c r="L53" s="3">
        <f t="shared" ref="L53:L61" si="13">J53-K53</f>
        <v>3175333</v>
      </c>
    </row>
    <row r="54" spans="1:12" x14ac:dyDescent="0.25">
      <c r="A54" s="258"/>
      <c r="B54" s="268"/>
      <c r="C54" s="2" t="s">
        <v>47</v>
      </c>
      <c r="D54" s="3">
        <v>2040480</v>
      </c>
      <c r="E54" s="3">
        <v>2040480</v>
      </c>
      <c r="F54" s="3"/>
      <c r="G54" s="3"/>
      <c r="H54" s="3"/>
      <c r="I54" s="3"/>
      <c r="J54" s="20">
        <f t="shared" si="12"/>
        <v>2040480</v>
      </c>
      <c r="K54" s="112">
        <v>1755902</v>
      </c>
      <c r="L54" s="3">
        <f t="shared" si="13"/>
        <v>284578</v>
      </c>
    </row>
    <row r="55" spans="1:12" x14ac:dyDescent="0.25">
      <c r="A55" s="258"/>
      <c r="B55" s="268"/>
      <c r="C55" s="2" t="s">
        <v>48</v>
      </c>
      <c r="D55" s="3">
        <v>0</v>
      </c>
      <c r="E55" s="3">
        <v>0</v>
      </c>
      <c r="F55" s="3"/>
      <c r="G55" s="3"/>
      <c r="H55" s="3"/>
      <c r="I55" s="3"/>
      <c r="J55" s="20">
        <f t="shared" si="12"/>
        <v>0</v>
      </c>
      <c r="K55" s="112">
        <v>0</v>
      </c>
      <c r="L55" s="3">
        <f t="shared" si="13"/>
        <v>0</v>
      </c>
    </row>
    <row r="56" spans="1:12" x14ac:dyDescent="0.25">
      <c r="A56" s="258"/>
      <c r="B56" s="268"/>
      <c r="C56" s="2" t="s">
        <v>25</v>
      </c>
      <c r="D56" s="3">
        <v>1025000</v>
      </c>
      <c r="E56" s="3">
        <v>1025000</v>
      </c>
      <c r="F56" s="3"/>
      <c r="G56" s="3"/>
      <c r="H56" s="3"/>
      <c r="I56" s="3"/>
      <c r="J56" s="20">
        <f t="shared" si="12"/>
        <v>1025000</v>
      </c>
      <c r="K56" s="112">
        <v>925000</v>
      </c>
      <c r="L56" s="3">
        <f t="shared" si="13"/>
        <v>100000</v>
      </c>
    </row>
    <row r="57" spans="1:12" x14ac:dyDescent="0.25">
      <c r="A57" s="258"/>
      <c r="B57" s="268"/>
      <c r="C57" s="2" t="s">
        <v>26</v>
      </c>
      <c r="D57" s="3">
        <v>60000</v>
      </c>
      <c r="E57" s="3">
        <v>60000</v>
      </c>
      <c r="F57" s="3"/>
      <c r="G57" s="3"/>
      <c r="H57" s="3"/>
      <c r="I57" s="3"/>
      <c r="J57" s="20">
        <f t="shared" si="12"/>
        <v>60000</v>
      </c>
      <c r="K57" s="112">
        <v>50000</v>
      </c>
      <c r="L57" s="3">
        <f t="shared" si="13"/>
        <v>10000</v>
      </c>
    </row>
    <row r="58" spans="1:12" x14ac:dyDescent="0.25">
      <c r="A58" s="258"/>
      <c r="B58" s="268"/>
      <c r="C58" s="2" t="s">
        <v>27</v>
      </c>
      <c r="D58" s="3">
        <v>240000</v>
      </c>
      <c r="E58" s="3">
        <v>229902</v>
      </c>
      <c r="F58" s="3"/>
      <c r="G58" s="3"/>
      <c r="H58" s="3"/>
      <c r="I58" s="3"/>
      <c r="J58" s="20">
        <f t="shared" si="12"/>
        <v>229902</v>
      </c>
      <c r="K58" s="112">
        <v>170550</v>
      </c>
      <c r="L58" s="3">
        <f t="shared" si="13"/>
        <v>59352</v>
      </c>
    </row>
    <row r="59" spans="1:12" x14ac:dyDescent="0.25">
      <c r="A59" s="258"/>
      <c r="B59" s="268"/>
      <c r="C59" s="2" t="s">
        <v>28</v>
      </c>
      <c r="D59" s="3">
        <v>147000</v>
      </c>
      <c r="E59" s="3">
        <v>147000</v>
      </c>
      <c r="F59" s="3"/>
      <c r="G59" s="3"/>
      <c r="H59" s="3"/>
      <c r="I59" s="3"/>
      <c r="J59" s="20">
        <f t="shared" si="12"/>
        <v>147000</v>
      </c>
      <c r="K59" s="112">
        <v>117000</v>
      </c>
      <c r="L59" s="3">
        <f t="shared" si="13"/>
        <v>30000</v>
      </c>
    </row>
    <row r="60" spans="1:12" x14ac:dyDescent="0.25">
      <c r="A60" s="258"/>
      <c r="B60" s="268"/>
      <c r="C60" s="2" t="s">
        <v>29</v>
      </c>
      <c r="D60" s="3">
        <v>553500</v>
      </c>
      <c r="E60" s="3">
        <v>592316</v>
      </c>
      <c r="F60" s="3">
        <v>425381</v>
      </c>
      <c r="G60" s="3"/>
      <c r="H60" s="3"/>
      <c r="I60" s="3"/>
      <c r="J60" s="20">
        <f t="shared" si="12"/>
        <v>1017697</v>
      </c>
      <c r="K60" s="112">
        <v>724982</v>
      </c>
      <c r="L60" s="3">
        <f t="shared" si="13"/>
        <v>292715</v>
      </c>
    </row>
    <row r="61" spans="1:12" x14ac:dyDescent="0.25">
      <c r="A61" s="258"/>
      <c r="B61" s="268"/>
      <c r="C61" s="2" t="s">
        <v>30</v>
      </c>
      <c r="D61" s="3">
        <v>100000</v>
      </c>
      <c r="E61" s="3">
        <v>100000</v>
      </c>
      <c r="F61" s="3"/>
      <c r="G61" s="3"/>
      <c r="H61" s="3"/>
      <c r="I61" s="3"/>
      <c r="J61" s="20">
        <f t="shared" si="12"/>
        <v>100000</v>
      </c>
      <c r="K61" s="112">
        <v>67798</v>
      </c>
      <c r="L61" s="3">
        <f t="shared" si="13"/>
        <v>32202</v>
      </c>
    </row>
    <row r="62" spans="1:12" x14ac:dyDescent="0.25">
      <c r="A62" s="258"/>
      <c r="B62" s="268"/>
      <c r="C62" s="6" t="s">
        <v>53</v>
      </c>
      <c r="D62" s="7">
        <f>SUM(D53:D61)</f>
        <v>29289325</v>
      </c>
      <c r="E62" s="7">
        <v>29369785</v>
      </c>
      <c r="F62" s="7">
        <f t="shared" ref="F62:L62" si="14">SUM(F53:F61)</f>
        <v>0</v>
      </c>
      <c r="G62" s="7">
        <f t="shared" si="14"/>
        <v>0</v>
      </c>
      <c r="H62" s="7">
        <f t="shared" si="14"/>
        <v>0</v>
      </c>
      <c r="I62" s="7">
        <f t="shared" si="14"/>
        <v>0</v>
      </c>
      <c r="J62" s="7">
        <f t="shared" si="14"/>
        <v>29369785</v>
      </c>
      <c r="K62" s="114">
        <f t="shared" si="14"/>
        <v>25385605</v>
      </c>
      <c r="L62" s="7">
        <f t="shared" si="14"/>
        <v>3984180</v>
      </c>
    </row>
    <row r="63" spans="1:12" x14ac:dyDescent="0.25">
      <c r="A63" s="258"/>
      <c r="B63" s="268"/>
      <c r="C63" s="86" t="s">
        <v>31</v>
      </c>
      <c r="D63" s="87">
        <v>5849797</v>
      </c>
      <c r="E63" s="87">
        <v>5859251</v>
      </c>
      <c r="F63" s="87"/>
      <c r="G63" s="87"/>
      <c r="H63" s="87"/>
      <c r="I63" s="87"/>
      <c r="J63" s="88">
        <f t="shared" ref="J63:J76" si="15">E63+F63+G63+H63+I63</f>
        <v>5859251</v>
      </c>
      <c r="K63" s="115">
        <v>5225944</v>
      </c>
      <c r="L63" s="89">
        <f t="shared" ref="L63:L76" si="16">J63-K63</f>
        <v>633307</v>
      </c>
    </row>
    <row r="64" spans="1:12" x14ac:dyDescent="0.25">
      <c r="A64" s="258"/>
      <c r="B64" s="268"/>
      <c r="C64" s="2" t="s">
        <v>32</v>
      </c>
      <c r="D64" s="3">
        <v>105000</v>
      </c>
      <c r="E64" s="3">
        <v>91486</v>
      </c>
      <c r="F64" s="3">
        <v>0</v>
      </c>
      <c r="G64" s="3"/>
      <c r="H64" s="3"/>
      <c r="I64" s="3"/>
      <c r="J64" s="20">
        <f t="shared" si="15"/>
        <v>91486</v>
      </c>
      <c r="K64" s="112">
        <v>24820</v>
      </c>
      <c r="L64" s="3">
        <f t="shared" si="16"/>
        <v>66666</v>
      </c>
    </row>
    <row r="65" spans="1:12" x14ac:dyDescent="0.25">
      <c r="A65" s="258"/>
      <c r="B65" s="268"/>
      <c r="C65" s="2" t="s">
        <v>33</v>
      </c>
      <c r="D65" s="3">
        <v>700000</v>
      </c>
      <c r="E65" s="3">
        <v>700000</v>
      </c>
      <c r="F65" s="3">
        <v>-500000</v>
      </c>
      <c r="G65" s="3"/>
      <c r="H65" s="3"/>
      <c r="I65" s="3"/>
      <c r="J65" s="20">
        <f t="shared" si="15"/>
        <v>200000</v>
      </c>
      <c r="K65" s="112">
        <v>44094</v>
      </c>
      <c r="L65" s="3">
        <f t="shared" si="16"/>
        <v>155906</v>
      </c>
    </row>
    <row r="66" spans="1:12" x14ac:dyDescent="0.25">
      <c r="A66" s="258"/>
      <c r="B66" s="268"/>
      <c r="C66" s="2" t="s">
        <v>34</v>
      </c>
      <c r="D66" s="3">
        <v>213000</v>
      </c>
      <c r="E66" s="3">
        <v>213000</v>
      </c>
      <c r="F66" s="3"/>
      <c r="G66" s="3"/>
      <c r="H66" s="3"/>
      <c r="I66" s="3"/>
      <c r="J66" s="20">
        <f t="shared" si="15"/>
        <v>213000</v>
      </c>
      <c r="K66" s="112">
        <v>116899</v>
      </c>
      <c r="L66" s="3">
        <f t="shared" si="16"/>
        <v>96101</v>
      </c>
    </row>
    <row r="67" spans="1:12" x14ac:dyDescent="0.25">
      <c r="A67" s="258"/>
      <c r="B67" s="268"/>
      <c r="C67" s="2" t="s">
        <v>35</v>
      </c>
      <c r="D67" s="3">
        <v>288000</v>
      </c>
      <c r="E67" s="3">
        <v>122200</v>
      </c>
      <c r="F67" s="3"/>
      <c r="G67" s="3"/>
      <c r="H67" s="3"/>
      <c r="I67" s="3"/>
      <c r="J67" s="20">
        <f t="shared" si="15"/>
        <v>122200</v>
      </c>
      <c r="K67" s="112">
        <v>102470</v>
      </c>
      <c r="L67" s="3">
        <f t="shared" si="16"/>
        <v>19730</v>
      </c>
    </row>
    <row r="68" spans="1:12" x14ac:dyDescent="0.25">
      <c r="A68" s="258"/>
      <c r="B68" s="268"/>
      <c r="C68" s="2" t="s">
        <v>36</v>
      </c>
      <c r="D68" s="3">
        <v>669540</v>
      </c>
      <c r="E68" s="3">
        <v>669540</v>
      </c>
      <c r="F68" s="3"/>
      <c r="G68" s="3"/>
      <c r="H68" s="3"/>
      <c r="I68" s="3"/>
      <c r="J68" s="20">
        <f t="shared" si="15"/>
        <v>669540</v>
      </c>
      <c r="K68" s="112">
        <v>526938</v>
      </c>
      <c r="L68" s="3">
        <f t="shared" si="16"/>
        <v>142602</v>
      </c>
    </row>
    <row r="69" spans="1:12" x14ac:dyDescent="0.25">
      <c r="A69" s="258"/>
      <c r="B69" s="268"/>
      <c r="C69" s="2" t="s">
        <v>37</v>
      </c>
      <c r="D69" s="3">
        <v>123000</v>
      </c>
      <c r="E69" s="3">
        <v>123000</v>
      </c>
      <c r="F69" s="3"/>
      <c r="G69" s="3"/>
      <c r="H69" s="3"/>
      <c r="I69" s="3"/>
      <c r="J69" s="20">
        <f t="shared" si="15"/>
        <v>123000</v>
      </c>
      <c r="K69" s="112">
        <v>0</v>
      </c>
      <c r="L69" s="3">
        <f t="shared" si="16"/>
        <v>123000</v>
      </c>
    </row>
    <row r="70" spans="1:12" x14ac:dyDescent="0.25">
      <c r="A70" s="258"/>
      <c r="B70" s="268"/>
      <c r="C70" s="2" t="s">
        <v>38</v>
      </c>
      <c r="D70" s="3">
        <v>460000</v>
      </c>
      <c r="E70" s="3">
        <v>460000</v>
      </c>
      <c r="F70" s="3"/>
      <c r="G70" s="3"/>
      <c r="H70" s="3"/>
      <c r="I70" s="3"/>
      <c r="J70" s="20">
        <f t="shared" si="15"/>
        <v>460000</v>
      </c>
      <c r="K70" s="112">
        <v>232805</v>
      </c>
      <c r="L70" s="3">
        <f t="shared" si="16"/>
        <v>227195</v>
      </c>
    </row>
    <row r="71" spans="1:12" x14ac:dyDescent="0.25">
      <c r="A71" s="258"/>
      <c r="B71" s="268"/>
      <c r="C71" s="2" t="s">
        <v>40</v>
      </c>
      <c r="D71" s="3">
        <v>1361904</v>
      </c>
      <c r="E71" s="3">
        <v>1253268</v>
      </c>
      <c r="F71" s="3"/>
      <c r="G71" s="3"/>
      <c r="H71" s="3"/>
      <c r="I71" s="3"/>
      <c r="J71" s="20">
        <f t="shared" si="15"/>
        <v>1253268</v>
      </c>
      <c r="K71" s="112">
        <v>821304</v>
      </c>
      <c r="L71" s="3">
        <f t="shared" si="16"/>
        <v>431964</v>
      </c>
    </row>
    <row r="72" spans="1:12" x14ac:dyDescent="0.25">
      <c r="A72" s="258"/>
      <c r="B72" s="268"/>
      <c r="C72" s="2" t="s">
        <v>41</v>
      </c>
      <c r="D72" s="3">
        <v>982236</v>
      </c>
      <c r="E72" s="3">
        <v>1089187</v>
      </c>
      <c r="F72" s="3">
        <v>500000</v>
      </c>
      <c r="G72" s="3"/>
      <c r="H72" s="3"/>
      <c r="I72" s="3"/>
      <c r="J72" s="20">
        <f t="shared" si="15"/>
        <v>1589187</v>
      </c>
      <c r="K72" s="112">
        <v>1318471</v>
      </c>
      <c r="L72" s="3">
        <f t="shared" si="16"/>
        <v>270716</v>
      </c>
    </row>
    <row r="73" spans="1:12" x14ac:dyDescent="0.25">
      <c r="A73" s="258"/>
      <c r="B73" s="268"/>
      <c r="C73" s="2" t="s">
        <v>42</v>
      </c>
      <c r="D73" s="3">
        <v>1200000</v>
      </c>
      <c r="E73" s="3">
        <v>1139045</v>
      </c>
      <c r="F73" s="3">
        <v>-240000</v>
      </c>
      <c r="G73" s="3"/>
      <c r="H73" s="3"/>
      <c r="I73" s="3"/>
      <c r="J73" s="20">
        <f t="shared" si="15"/>
        <v>899045</v>
      </c>
      <c r="K73" s="112">
        <v>316030</v>
      </c>
      <c r="L73" s="3">
        <f t="shared" si="16"/>
        <v>583015</v>
      </c>
    </row>
    <row r="74" spans="1:12" x14ac:dyDescent="0.25">
      <c r="A74" s="258"/>
      <c r="B74" s="268"/>
      <c r="C74" s="2" t="s">
        <v>43</v>
      </c>
      <c r="D74" s="3">
        <v>30000</v>
      </c>
      <c r="E74" s="3">
        <v>30000</v>
      </c>
      <c r="F74" s="3"/>
      <c r="G74" s="3"/>
      <c r="H74" s="3"/>
      <c r="I74" s="3"/>
      <c r="J74" s="20">
        <f t="shared" si="15"/>
        <v>30000</v>
      </c>
      <c r="K74" s="112">
        <v>0</v>
      </c>
      <c r="L74" s="3">
        <f t="shared" si="16"/>
        <v>30000</v>
      </c>
    </row>
    <row r="75" spans="1:12" x14ac:dyDescent="0.25">
      <c r="A75" s="258"/>
      <c r="B75" s="268"/>
      <c r="C75" s="2" t="s">
        <v>44</v>
      </c>
      <c r="D75" s="3">
        <v>1041508</v>
      </c>
      <c r="E75" s="3">
        <v>979438</v>
      </c>
      <c r="F75" s="3">
        <v>-1295</v>
      </c>
      <c r="G75" s="3"/>
      <c r="H75" s="3"/>
      <c r="I75" s="3"/>
      <c r="J75" s="20">
        <f t="shared" si="15"/>
        <v>978143</v>
      </c>
      <c r="K75" s="112">
        <v>376312</v>
      </c>
      <c r="L75" s="3">
        <f t="shared" si="16"/>
        <v>601831</v>
      </c>
    </row>
    <row r="76" spans="1:12" x14ac:dyDescent="0.25">
      <c r="A76" s="258"/>
      <c r="B76" s="268"/>
      <c r="C76" s="2" t="s">
        <v>45</v>
      </c>
      <c r="D76" s="3">
        <v>433021</v>
      </c>
      <c r="E76" s="3">
        <v>107603</v>
      </c>
      <c r="F76" s="3"/>
      <c r="G76" s="3"/>
      <c r="H76" s="3"/>
      <c r="I76" s="3"/>
      <c r="J76" s="20">
        <f t="shared" si="15"/>
        <v>107603</v>
      </c>
      <c r="K76" s="112">
        <v>0</v>
      </c>
      <c r="L76" s="3">
        <f t="shared" si="16"/>
        <v>107603</v>
      </c>
    </row>
    <row r="77" spans="1:12" x14ac:dyDescent="0.25">
      <c r="A77" s="258"/>
      <c r="B77" s="268"/>
      <c r="C77" s="6" t="s">
        <v>49</v>
      </c>
      <c r="D77" s="7">
        <f>SUM(D64:D76)</f>
        <v>7607209</v>
      </c>
      <c r="E77" s="7">
        <v>6977767</v>
      </c>
      <c r="F77" s="7">
        <f t="shared" ref="F77:L77" si="17">SUM(F64:F76)</f>
        <v>-241295</v>
      </c>
      <c r="G77" s="7">
        <f t="shared" si="17"/>
        <v>0</v>
      </c>
      <c r="H77" s="7">
        <f t="shared" si="17"/>
        <v>0</v>
      </c>
      <c r="I77" s="7">
        <f t="shared" si="17"/>
        <v>0</v>
      </c>
      <c r="J77" s="7">
        <f t="shared" si="17"/>
        <v>6736472</v>
      </c>
      <c r="K77" s="114">
        <f t="shared" si="17"/>
        <v>3880143</v>
      </c>
      <c r="L77" s="7">
        <f t="shared" si="17"/>
        <v>2856329</v>
      </c>
    </row>
    <row r="78" spans="1:12" x14ac:dyDescent="0.25">
      <c r="A78" s="258"/>
      <c r="B78" s="268"/>
      <c r="C78" s="2" t="s">
        <v>50</v>
      </c>
      <c r="D78" s="3">
        <v>78740</v>
      </c>
      <c r="E78" s="3">
        <v>78740</v>
      </c>
      <c r="F78" s="3"/>
      <c r="G78" s="3"/>
      <c r="H78" s="3"/>
      <c r="I78" s="3"/>
      <c r="J78" s="20">
        <f t="shared" ref="J78:J79" si="18">E78+F78+G78+H78+I78</f>
        <v>78740</v>
      </c>
      <c r="K78" s="112">
        <v>0</v>
      </c>
      <c r="L78" s="3">
        <f t="shared" ref="L78:L79" si="19">J78-K78</f>
        <v>78740</v>
      </c>
    </row>
    <row r="79" spans="1:12" x14ac:dyDescent="0.25">
      <c r="A79" s="258"/>
      <c r="B79" s="268"/>
      <c r="C79" s="2" t="s">
        <v>51</v>
      </c>
      <c r="D79" s="3">
        <v>21260</v>
      </c>
      <c r="E79" s="3">
        <v>21260</v>
      </c>
      <c r="F79" s="3"/>
      <c r="G79" s="3"/>
      <c r="H79" s="3"/>
      <c r="I79" s="3"/>
      <c r="J79" s="20">
        <f t="shared" si="18"/>
        <v>21260</v>
      </c>
      <c r="K79" s="112">
        <v>0</v>
      </c>
      <c r="L79" s="3">
        <f t="shared" si="19"/>
        <v>21260</v>
      </c>
    </row>
    <row r="80" spans="1:12" x14ac:dyDescent="0.25">
      <c r="A80" s="258"/>
      <c r="B80" s="268"/>
      <c r="C80" s="6" t="s">
        <v>52</v>
      </c>
      <c r="D80" s="7">
        <f>SUM(D78:D79)</f>
        <v>100000</v>
      </c>
      <c r="E80" s="7">
        <v>100000</v>
      </c>
      <c r="F80" s="7">
        <f t="shared" ref="F80:L80" si="20">SUM(F78:F79)</f>
        <v>0</v>
      </c>
      <c r="G80" s="7">
        <f t="shared" si="20"/>
        <v>0</v>
      </c>
      <c r="H80" s="7">
        <f t="shared" si="20"/>
        <v>0</v>
      </c>
      <c r="I80" s="7">
        <f t="shared" si="20"/>
        <v>0</v>
      </c>
      <c r="J80" s="7">
        <f t="shared" si="20"/>
        <v>100000</v>
      </c>
      <c r="K80" s="114">
        <f t="shared" si="20"/>
        <v>0</v>
      </c>
      <c r="L80" s="7">
        <f t="shared" si="20"/>
        <v>100000</v>
      </c>
    </row>
    <row r="81" spans="1:12" x14ac:dyDescent="0.25">
      <c r="A81" s="259" t="s">
        <v>58</v>
      </c>
      <c r="B81" s="261" t="s">
        <v>46</v>
      </c>
      <c r="C81" s="15" t="s">
        <v>29</v>
      </c>
      <c r="D81" s="24">
        <v>410400</v>
      </c>
      <c r="E81" s="24">
        <v>410400</v>
      </c>
      <c r="F81" s="11"/>
      <c r="G81" s="197">
        <v>36400</v>
      </c>
      <c r="H81" s="197"/>
      <c r="I81" s="11"/>
      <c r="J81" s="20">
        <f t="shared" ref="J81:J88" si="21">E81+F81+G81+H81+I81</f>
        <v>446800</v>
      </c>
      <c r="K81" s="112">
        <v>401100</v>
      </c>
      <c r="L81" s="3">
        <f t="shared" ref="L81:L88" si="22">J81-K81</f>
        <v>45700</v>
      </c>
    </row>
    <row r="82" spans="1:12" x14ac:dyDescent="0.25">
      <c r="A82" s="260"/>
      <c r="B82" s="262"/>
      <c r="C82" s="15" t="s">
        <v>31</v>
      </c>
      <c r="D82" s="24">
        <v>76266</v>
      </c>
      <c r="E82" s="24">
        <v>76266</v>
      </c>
      <c r="F82" s="11"/>
      <c r="G82" s="197">
        <v>6928</v>
      </c>
      <c r="H82" s="197"/>
      <c r="I82" s="11"/>
      <c r="J82" s="20">
        <f t="shared" si="21"/>
        <v>83194</v>
      </c>
      <c r="K82" s="112">
        <v>75198</v>
      </c>
      <c r="L82" s="3">
        <f t="shared" si="22"/>
        <v>7996</v>
      </c>
    </row>
    <row r="83" spans="1:12" x14ac:dyDescent="0.25">
      <c r="A83" s="259" t="s">
        <v>59</v>
      </c>
      <c r="B83" s="261" t="s">
        <v>23</v>
      </c>
      <c r="C83" s="15" t="s">
        <v>29</v>
      </c>
      <c r="D83" s="24">
        <v>603600</v>
      </c>
      <c r="E83" s="24">
        <v>603600</v>
      </c>
      <c r="F83" s="11"/>
      <c r="G83" s="197">
        <v>-261800</v>
      </c>
      <c r="H83" s="197"/>
      <c r="I83" s="11"/>
      <c r="J83" s="20">
        <f t="shared" si="21"/>
        <v>341800</v>
      </c>
      <c r="K83" s="112">
        <v>315300</v>
      </c>
      <c r="L83" s="3">
        <f t="shared" si="22"/>
        <v>26500</v>
      </c>
    </row>
    <row r="84" spans="1:12" x14ac:dyDescent="0.25">
      <c r="A84" s="260"/>
      <c r="B84" s="262"/>
      <c r="C84" s="15" t="s">
        <v>31</v>
      </c>
      <c r="D84" s="24">
        <v>112169</v>
      </c>
      <c r="E84" s="24">
        <v>112169</v>
      </c>
      <c r="F84" s="11"/>
      <c r="G84" s="197">
        <v>-48166</v>
      </c>
      <c r="H84" s="197"/>
      <c r="I84" s="11"/>
      <c r="J84" s="20">
        <f t="shared" si="21"/>
        <v>64003</v>
      </c>
      <c r="K84" s="112">
        <v>59369</v>
      </c>
      <c r="L84" s="3">
        <f t="shared" si="22"/>
        <v>4634</v>
      </c>
    </row>
    <row r="85" spans="1:12" x14ac:dyDescent="0.25">
      <c r="A85" s="259" t="s">
        <v>60</v>
      </c>
      <c r="B85" s="261" t="s">
        <v>23</v>
      </c>
      <c r="C85" s="15" t="s">
        <v>24</v>
      </c>
      <c r="D85" s="24">
        <v>10676226</v>
      </c>
      <c r="E85" s="24">
        <v>10676226</v>
      </c>
      <c r="F85" s="11"/>
      <c r="G85" s="197"/>
      <c r="H85" s="197">
        <v>-303175</v>
      </c>
      <c r="I85" s="11"/>
      <c r="J85" s="20">
        <f t="shared" si="21"/>
        <v>10373051</v>
      </c>
      <c r="K85" s="112">
        <v>9491730</v>
      </c>
      <c r="L85" s="3">
        <f t="shared" si="22"/>
        <v>881321</v>
      </c>
    </row>
    <row r="86" spans="1:12" x14ac:dyDescent="0.25">
      <c r="A86" s="260"/>
      <c r="B86" s="262"/>
      <c r="C86" s="15" t="s">
        <v>31</v>
      </c>
      <c r="D86" s="24">
        <v>1989265</v>
      </c>
      <c r="E86" s="24">
        <v>1989265</v>
      </c>
      <c r="F86" s="11"/>
      <c r="G86" s="197"/>
      <c r="H86" s="197">
        <v>-53750</v>
      </c>
      <c r="I86" s="11"/>
      <c r="J86" s="20">
        <f t="shared" si="21"/>
        <v>1935515</v>
      </c>
      <c r="K86" s="112">
        <v>1781284</v>
      </c>
      <c r="L86" s="3">
        <f t="shared" si="22"/>
        <v>154231</v>
      </c>
    </row>
    <row r="87" spans="1:12" x14ac:dyDescent="0.25">
      <c r="A87" s="259" t="s">
        <v>61</v>
      </c>
      <c r="B87" s="261" t="s">
        <v>46</v>
      </c>
      <c r="C87" s="15" t="s">
        <v>24</v>
      </c>
      <c r="D87" s="24">
        <v>8397674</v>
      </c>
      <c r="E87" s="24">
        <v>8397674</v>
      </c>
      <c r="F87" s="11"/>
      <c r="G87" s="197"/>
      <c r="H87" s="197">
        <v>-685857</v>
      </c>
      <c r="I87" s="11"/>
      <c r="J87" s="20">
        <f t="shared" si="21"/>
        <v>7711817</v>
      </c>
      <c r="K87" s="112">
        <v>6988734</v>
      </c>
      <c r="L87" s="3">
        <f t="shared" si="22"/>
        <v>723083</v>
      </c>
    </row>
    <row r="88" spans="1:12" x14ac:dyDescent="0.25">
      <c r="A88" s="260"/>
      <c r="B88" s="262"/>
      <c r="C88" s="15" t="s">
        <v>31</v>
      </c>
      <c r="D88" s="24">
        <v>1563353</v>
      </c>
      <c r="E88" s="24">
        <v>1563353</v>
      </c>
      <c r="F88" s="11"/>
      <c r="G88" s="197"/>
      <c r="H88" s="197">
        <v>-125527</v>
      </c>
      <c r="I88" s="11"/>
      <c r="J88" s="20">
        <f t="shared" si="21"/>
        <v>1437826</v>
      </c>
      <c r="K88" s="112">
        <v>1311282</v>
      </c>
      <c r="L88" s="3">
        <f t="shared" si="22"/>
        <v>126544</v>
      </c>
    </row>
    <row r="89" spans="1:12" x14ac:dyDescent="0.25">
      <c r="A89" s="304" t="s">
        <v>76</v>
      </c>
      <c r="B89" s="305"/>
      <c r="C89" s="306"/>
      <c r="D89" s="84">
        <f t="shared" ref="D89:L89" si="23">SUM(D33+D34+D49+D52+D62+D63+D77+D80+D81+D82+D83+D84+D85+D86+D87+D88)</f>
        <v>118207303</v>
      </c>
      <c r="E89" s="84">
        <v>117235517</v>
      </c>
      <c r="F89" s="84">
        <f t="shared" si="23"/>
        <v>-241295</v>
      </c>
      <c r="G89" s="84">
        <f t="shared" si="23"/>
        <v>-266638</v>
      </c>
      <c r="H89" s="84">
        <f t="shared" si="23"/>
        <v>-1168309</v>
      </c>
      <c r="I89" s="84">
        <f t="shared" si="23"/>
        <v>0</v>
      </c>
      <c r="J89" s="84">
        <f t="shared" si="23"/>
        <v>115559275</v>
      </c>
      <c r="K89" s="84">
        <f t="shared" si="23"/>
        <v>97266080</v>
      </c>
      <c r="L89" s="84">
        <f t="shared" si="23"/>
        <v>18293195</v>
      </c>
    </row>
    <row r="90" spans="1:12" x14ac:dyDescent="0.25">
      <c r="A90" s="258" t="s">
        <v>12</v>
      </c>
      <c r="B90" s="268" t="s">
        <v>23</v>
      </c>
      <c r="C90" s="2" t="s">
        <v>24</v>
      </c>
      <c r="D90" s="3">
        <v>4811583</v>
      </c>
      <c r="E90" s="3">
        <v>4921040</v>
      </c>
      <c r="F90" s="3">
        <v>-6878</v>
      </c>
      <c r="G90" s="3"/>
      <c r="H90" s="3"/>
      <c r="I90" s="3"/>
      <c r="J90" s="20">
        <f t="shared" ref="J90:J96" si="24">E90+F90+G90+H90+I90</f>
        <v>4914162</v>
      </c>
      <c r="K90" s="112">
        <v>4208552</v>
      </c>
      <c r="L90" s="3">
        <f t="shared" ref="L90:L96" si="25">J90-K90</f>
        <v>705610</v>
      </c>
    </row>
    <row r="91" spans="1:12" x14ac:dyDescent="0.25">
      <c r="A91" s="258"/>
      <c r="B91" s="268"/>
      <c r="C91" s="2" t="s">
        <v>25</v>
      </c>
      <c r="D91" s="3">
        <v>200000</v>
      </c>
      <c r="E91" s="3">
        <v>200000</v>
      </c>
      <c r="F91" s="3"/>
      <c r="G91" s="3"/>
      <c r="H91" s="3"/>
      <c r="I91" s="3"/>
      <c r="J91" s="20">
        <f t="shared" si="24"/>
        <v>200000</v>
      </c>
      <c r="K91" s="112">
        <v>200000</v>
      </c>
      <c r="L91" s="3">
        <f t="shared" si="25"/>
        <v>0</v>
      </c>
    </row>
    <row r="92" spans="1:12" x14ac:dyDescent="0.25">
      <c r="A92" s="258"/>
      <c r="B92" s="268"/>
      <c r="C92" s="2" t="s">
        <v>26</v>
      </c>
      <c r="D92" s="3">
        <v>10000</v>
      </c>
      <c r="E92" s="3">
        <v>10000</v>
      </c>
      <c r="F92" s="3"/>
      <c r="G92" s="3"/>
      <c r="H92" s="3"/>
      <c r="I92" s="3"/>
      <c r="J92" s="20">
        <f t="shared" si="24"/>
        <v>10000</v>
      </c>
      <c r="K92" s="112">
        <v>10000</v>
      </c>
      <c r="L92" s="3">
        <f t="shared" si="25"/>
        <v>0</v>
      </c>
    </row>
    <row r="93" spans="1:12" x14ac:dyDescent="0.25">
      <c r="A93" s="258"/>
      <c r="B93" s="268"/>
      <c r="C93" s="2" t="s">
        <v>27</v>
      </c>
      <c r="D93" s="3">
        <v>198000</v>
      </c>
      <c r="E93" s="3">
        <v>198000</v>
      </c>
      <c r="F93" s="3"/>
      <c r="G93" s="3"/>
      <c r="H93" s="3"/>
      <c r="I93" s="3"/>
      <c r="J93" s="20">
        <f t="shared" si="24"/>
        <v>198000</v>
      </c>
      <c r="K93" s="112">
        <v>137700</v>
      </c>
      <c r="L93" s="3">
        <f t="shared" si="25"/>
        <v>60300</v>
      </c>
    </row>
    <row r="94" spans="1:12" x14ac:dyDescent="0.25">
      <c r="A94" s="258"/>
      <c r="B94" s="268"/>
      <c r="C94" s="2" t="s">
        <v>28</v>
      </c>
      <c r="D94" s="3">
        <v>24000</v>
      </c>
      <c r="E94" s="3">
        <v>24000</v>
      </c>
      <c r="F94" s="3"/>
      <c r="G94" s="3"/>
      <c r="H94" s="3"/>
      <c r="I94" s="3"/>
      <c r="J94" s="20">
        <f t="shared" si="24"/>
        <v>24000</v>
      </c>
      <c r="K94" s="112">
        <v>24000</v>
      </c>
      <c r="L94" s="3">
        <f t="shared" si="25"/>
        <v>0</v>
      </c>
    </row>
    <row r="95" spans="1:12" x14ac:dyDescent="0.25">
      <c r="A95" s="258"/>
      <c r="B95" s="268"/>
      <c r="C95" s="2" t="s">
        <v>29</v>
      </c>
      <c r="D95" s="3">
        <v>75000</v>
      </c>
      <c r="E95" s="3">
        <v>253715</v>
      </c>
      <c r="F95" s="3"/>
      <c r="G95" s="3"/>
      <c r="H95" s="3"/>
      <c r="I95" s="3"/>
      <c r="J95" s="20">
        <f t="shared" si="24"/>
        <v>253715</v>
      </c>
      <c r="K95" s="112">
        <v>157715</v>
      </c>
      <c r="L95" s="3">
        <f t="shared" si="25"/>
        <v>96000</v>
      </c>
    </row>
    <row r="96" spans="1:12" x14ac:dyDescent="0.25">
      <c r="A96" s="258"/>
      <c r="B96" s="268"/>
      <c r="C96" s="2" t="s">
        <v>30</v>
      </c>
      <c r="D96" s="3">
        <v>0</v>
      </c>
      <c r="E96" s="3">
        <v>0</v>
      </c>
      <c r="F96" s="3">
        <v>6878</v>
      </c>
      <c r="G96" s="3"/>
      <c r="H96" s="3"/>
      <c r="I96" s="3"/>
      <c r="J96" s="20">
        <f t="shared" si="24"/>
        <v>6878</v>
      </c>
      <c r="K96" s="112">
        <v>6878</v>
      </c>
      <c r="L96" s="3">
        <f t="shared" si="25"/>
        <v>0</v>
      </c>
    </row>
    <row r="97" spans="1:12" x14ac:dyDescent="0.25">
      <c r="A97" s="258"/>
      <c r="B97" s="268"/>
      <c r="C97" s="6" t="s">
        <v>53</v>
      </c>
      <c r="D97" s="7">
        <f>SUM(D90:D96)</f>
        <v>5318583</v>
      </c>
      <c r="E97" s="7">
        <v>5606755</v>
      </c>
      <c r="F97" s="7">
        <f t="shared" ref="F97:L97" si="26">SUM(F90:F96)</f>
        <v>0</v>
      </c>
      <c r="G97" s="7">
        <f t="shared" si="26"/>
        <v>0</v>
      </c>
      <c r="H97" s="7">
        <f t="shared" si="26"/>
        <v>0</v>
      </c>
      <c r="I97" s="7">
        <f t="shared" si="26"/>
        <v>0</v>
      </c>
      <c r="J97" s="7">
        <f t="shared" si="26"/>
        <v>5606755</v>
      </c>
      <c r="K97" s="114">
        <f t="shared" si="26"/>
        <v>4744845</v>
      </c>
      <c r="L97" s="7">
        <f t="shared" si="26"/>
        <v>861910</v>
      </c>
    </row>
    <row r="98" spans="1:12" x14ac:dyDescent="0.25">
      <c r="A98" s="258"/>
      <c r="B98" s="268"/>
      <c r="C98" s="86" t="s">
        <v>31</v>
      </c>
      <c r="D98" s="87">
        <v>1035556</v>
      </c>
      <c r="E98" s="87">
        <v>1091378</v>
      </c>
      <c r="F98" s="87"/>
      <c r="G98" s="87"/>
      <c r="H98" s="87"/>
      <c r="I98" s="87"/>
      <c r="J98" s="88">
        <f t="shared" ref="J98:J108" si="27">E98+F98+G98+H98+I98</f>
        <v>1091378</v>
      </c>
      <c r="K98" s="115">
        <v>933000</v>
      </c>
      <c r="L98" s="89">
        <f t="shared" ref="L98:L108" si="28">J98-K98</f>
        <v>158378</v>
      </c>
    </row>
    <row r="99" spans="1:12" x14ac:dyDescent="0.25">
      <c r="A99" s="258"/>
      <c r="B99" s="268"/>
      <c r="C99" s="2" t="s">
        <v>32</v>
      </c>
      <c r="D99" s="3">
        <v>100000</v>
      </c>
      <c r="E99" s="3">
        <v>100000</v>
      </c>
      <c r="F99" s="3">
        <v>204254</v>
      </c>
      <c r="G99" s="3"/>
      <c r="H99" s="3"/>
      <c r="I99" s="3"/>
      <c r="J99" s="20">
        <f t="shared" si="27"/>
        <v>304254</v>
      </c>
      <c r="K99" s="112">
        <v>0</v>
      </c>
      <c r="L99" s="3">
        <f t="shared" si="28"/>
        <v>304254</v>
      </c>
    </row>
    <row r="100" spans="1:12" x14ac:dyDescent="0.25">
      <c r="A100" s="258"/>
      <c r="B100" s="268"/>
      <c r="C100" s="2" t="s">
        <v>33</v>
      </c>
      <c r="D100" s="3">
        <v>100000</v>
      </c>
      <c r="E100" s="3">
        <v>70000</v>
      </c>
      <c r="F100" s="3">
        <v>157485</v>
      </c>
      <c r="G100" s="3"/>
      <c r="H100" s="3"/>
      <c r="I100" s="3"/>
      <c r="J100" s="20">
        <f t="shared" si="27"/>
        <v>227485</v>
      </c>
      <c r="K100" s="112">
        <v>88697</v>
      </c>
      <c r="L100" s="3">
        <f t="shared" si="28"/>
        <v>138788</v>
      </c>
    </row>
    <row r="101" spans="1:12" x14ac:dyDescent="0.25">
      <c r="A101" s="258"/>
      <c r="B101" s="268"/>
      <c r="C101" s="2" t="s">
        <v>34</v>
      </c>
      <c r="D101" s="3">
        <v>210000</v>
      </c>
      <c r="E101" s="3">
        <v>210000</v>
      </c>
      <c r="F101" s="3">
        <v>-210000</v>
      </c>
      <c r="G101" s="3"/>
      <c r="H101" s="3"/>
      <c r="I101" s="3"/>
      <c r="J101" s="20">
        <f t="shared" si="27"/>
        <v>0</v>
      </c>
      <c r="K101" s="112">
        <v>0</v>
      </c>
      <c r="L101" s="3">
        <f t="shared" si="28"/>
        <v>0</v>
      </c>
    </row>
    <row r="102" spans="1:12" x14ac:dyDescent="0.25">
      <c r="A102" s="258"/>
      <c r="B102" s="268"/>
      <c r="C102" s="2" t="s">
        <v>35</v>
      </c>
      <c r="D102" s="3">
        <v>110000</v>
      </c>
      <c r="E102" s="3">
        <v>110000</v>
      </c>
      <c r="F102" s="3">
        <v>-110000</v>
      </c>
      <c r="G102" s="3"/>
      <c r="H102" s="3"/>
      <c r="I102" s="3"/>
      <c r="J102" s="20">
        <f t="shared" si="27"/>
        <v>0</v>
      </c>
      <c r="K102" s="112">
        <v>0</v>
      </c>
      <c r="L102" s="3">
        <f t="shared" si="28"/>
        <v>0</v>
      </c>
    </row>
    <row r="103" spans="1:12" x14ac:dyDescent="0.25">
      <c r="A103" s="258"/>
      <c r="B103" s="268"/>
      <c r="C103" s="2" t="s">
        <v>36</v>
      </c>
      <c r="D103" s="3">
        <v>500000</v>
      </c>
      <c r="E103" s="3">
        <v>499100</v>
      </c>
      <c r="F103" s="3"/>
      <c r="G103" s="3"/>
      <c r="H103" s="3"/>
      <c r="I103" s="3"/>
      <c r="J103" s="20">
        <f t="shared" si="27"/>
        <v>499100</v>
      </c>
      <c r="K103" s="112">
        <v>398950</v>
      </c>
      <c r="L103" s="3">
        <f t="shared" si="28"/>
        <v>100150</v>
      </c>
    </row>
    <row r="104" spans="1:12" x14ac:dyDescent="0.25">
      <c r="A104" s="258"/>
      <c r="B104" s="268"/>
      <c r="C104" s="2" t="s">
        <v>38</v>
      </c>
      <c r="D104" s="3">
        <v>140000</v>
      </c>
      <c r="E104" s="3">
        <v>135380</v>
      </c>
      <c r="F104" s="3">
        <v>-41739</v>
      </c>
      <c r="G104" s="3"/>
      <c r="H104" s="3"/>
      <c r="I104" s="3"/>
      <c r="J104" s="20">
        <f t="shared" si="27"/>
        <v>93641</v>
      </c>
      <c r="K104" s="112">
        <v>2241</v>
      </c>
      <c r="L104" s="3">
        <f t="shared" si="28"/>
        <v>91400</v>
      </c>
    </row>
    <row r="105" spans="1:12" x14ac:dyDescent="0.25">
      <c r="A105" s="258"/>
      <c r="B105" s="268"/>
      <c r="C105" s="2" t="s">
        <v>40</v>
      </c>
      <c r="D105" s="3">
        <v>16800</v>
      </c>
      <c r="E105" s="3">
        <v>20200</v>
      </c>
      <c r="F105" s="3"/>
      <c r="G105" s="3"/>
      <c r="H105" s="3"/>
      <c r="I105" s="3"/>
      <c r="J105" s="20">
        <f t="shared" si="27"/>
        <v>20200</v>
      </c>
      <c r="K105" s="112">
        <v>10200</v>
      </c>
      <c r="L105" s="3">
        <f t="shared" si="28"/>
        <v>10000</v>
      </c>
    </row>
    <row r="106" spans="1:12" x14ac:dyDescent="0.25">
      <c r="A106" s="258"/>
      <c r="B106" s="268"/>
      <c r="C106" s="2" t="s">
        <v>41</v>
      </c>
      <c r="D106" s="3">
        <v>80000</v>
      </c>
      <c r="E106" s="3">
        <v>117280</v>
      </c>
      <c r="F106" s="3"/>
      <c r="G106" s="3"/>
      <c r="H106" s="3"/>
      <c r="I106" s="3"/>
      <c r="J106" s="20">
        <f t="shared" si="27"/>
        <v>117280</v>
      </c>
      <c r="K106" s="112">
        <v>88760</v>
      </c>
      <c r="L106" s="60">
        <f t="shared" si="28"/>
        <v>28520</v>
      </c>
    </row>
    <row r="107" spans="1:12" x14ac:dyDescent="0.25">
      <c r="A107" s="258"/>
      <c r="B107" s="268"/>
      <c r="C107" s="2" t="s">
        <v>42</v>
      </c>
      <c r="D107" s="3">
        <v>240000</v>
      </c>
      <c r="E107" s="3">
        <v>240000</v>
      </c>
      <c r="F107" s="3"/>
      <c r="G107" s="3"/>
      <c r="H107" s="3"/>
      <c r="I107" s="3"/>
      <c r="J107" s="20">
        <f t="shared" si="27"/>
        <v>240000</v>
      </c>
      <c r="K107" s="112">
        <v>162210</v>
      </c>
      <c r="L107" s="3">
        <f t="shared" si="28"/>
        <v>77790</v>
      </c>
    </row>
    <row r="108" spans="1:12" x14ac:dyDescent="0.25">
      <c r="A108" s="258"/>
      <c r="B108" s="268"/>
      <c r="C108" s="2" t="s">
        <v>44</v>
      </c>
      <c r="D108" s="3">
        <v>200600</v>
      </c>
      <c r="E108" s="3">
        <v>195440</v>
      </c>
      <c r="F108" s="3"/>
      <c r="G108" s="3"/>
      <c r="H108" s="3"/>
      <c r="I108" s="3"/>
      <c r="J108" s="20">
        <f t="shared" si="27"/>
        <v>195440</v>
      </c>
      <c r="K108" s="112">
        <v>56118</v>
      </c>
      <c r="L108" s="3">
        <f t="shared" si="28"/>
        <v>139322</v>
      </c>
    </row>
    <row r="109" spans="1:12" x14ac:dyDescent="0.25">
      <c r="A109" s="258"/>
      <c r="B109" s="268"/>
      <c r="C109" s="6" t="s">
        <v>49</v>
      </c>
      <c r="D109" s="7">
        <f>SUM(D99:D108)</f>
        <v>1697400</v>
      </c>
      <c r="E109" s="7">
        <v>1697400</v>
      </c>
      <c r="F109" s="7">
        <f t="shared" ref="F109:L109" si="29">SUM(F99:F108)</f>
        <v>0</v>
      </c>
      <c r="G109" s="7">
        <f t="shared" si="29"/>
        <v>0</v>
      </c>
      <c r="H109" s="7">
        <f t="shared" si="29"/>
        <v>0</v>
      </c>
      <c r="I109" s="7">
        <f t="shared" si="29"/>
        <v>0</v>
      </c>
      <c r="J109" s="7">
        <f t="shared" si="29"/>
        <v>1697400</v>
      </c>
      <c r="K109" s="114">
        <f t="shared" si="29"/>
        <v>807176</v>
      </c>
      <c r="L109" s="7">
        <f t="shared" si="29"/>
        <v>890224</v>
      </c>
    </row>
    <row r="110" spans="1:12" x14ac:dyDescent="0.25">
      <c r="A110" s="255" t="s">
        <v>62</v>
      </c>
      <c r="B110" s="252" t="s">
        <v>23</v>
      </c>
      <c r="C110" s="15" t="s">
        <v>29</v>
      </c>
      <c r="D110" s="24">
        <v>111600</v>
      </c>
      <c r="E110" s="24">
        <v>111600</v>
      </c>
      <c r="F110" s="11"/>
      <c r="G110" s="197">
        <v>-44000</v>
      </c>
      <c r="H110" s="197"/>
      <c r="I110" s="11"/>
      <c r="J110" s="20">
        <f t="shared" ref="J110:J113" si="30">E110+F110+G110+H110+I110</f>
        <v>67600</v>
      </c>
      <c r="K110" s="112">
        <v>62300</v>
      </c>
      <c r="L110" s="3">
        <f t="shared" ref="L110:L113" si="31">J110-K110</f>
        <v>5300</v>
      </c>
    </row>
    <row r="111" spans="1:12" x14ac:dyDescent="0.25">
      <c r="A111" s="257"/>
      <c r="B111" s="254"/>
      <c r="C111" s="15" t="s">
        <v>31</v>
      </c>
      <c r="D111" s="24">
        <v>20739</v>
      </c>
      <c r="E111" s="24">
        <v>20739</v>
      </c>
      <c r="F111" s="11"/>
      <c r="G111" s="197">
        <v>-8089</v>
      </c>
      <c r="H111" s="197"/>
      <c r="I111" s="11"/>
      <c r="J111" s="20">
        <f t="shared" si="30"/>
        <v>12650</v>
      </c>
      <c r="K111" s="112">
        <v>11722</v>
      </c>
      <c r="L111" s="3">
        <f t="shared" si="31"/>
        <v>928</v>
      </c>
    </row>
    <row r="112" spans="1:12" x14ac:dyDescent="0.25">
      <c r="A112" s="255" t="s">
        <v>63</v>
      </c>
      <c r="B112" s="252" t="s">
        <v>23</v>
      </c>
      <c r="C112" s="15" t="s">
        <v>24</v>
      </c>
      <c r="D112" s="24">
        <v>1460272</v>
      </c>
      <c r="E112" s="24">
        <v>1460272</v>
      </c>
      <c r="F112" s="11"/>
      <c r="G112" s="197"/>
      <c r="H112" s="197">
        <v>43958</v>
      </c>
      <c r="I112" s="11"/>
      <c r="J112" s="20">
        <f t="shared" si="30"/>
        <v>1504230</v>
      </c>
      <c r="K112" s="112">
        <v>1378383</v>
      </c>
      <c r="L112" s="3">
        <f t="shared" si="31"/>
        <v>125847</v>
      </c>
    </row>
    <row r="113" spans="1:12" x14ac:dyDescent="0.25">
      <c r="A113" s="257"/>
      <c r="B113" s="254"/>
      <c r="C113" s="15" t="s">
        <v>31</v>
      </c>
      <c r="D113" s="24">
        <v>272168</v>
      </c>
      <c r="E113" s="24">
        <v>272168</v>
      </c>
      <c r="F113" s="11"/>
      <c r="G113" s="197"/>
      <c r="H113" s="197">
        <v>8572</v>
      </c>
      <c r="I113" s="11"/>
      <c r="J113" s="20">
        <f t="shared" si="30"/>
        <v>280740</v>
      </c>
      <c r="K113" s="112">
        <v>258716</v>
      </c>
      <c r="L113" s="3">
        <f t="shared" si="31"/>
        <v>22024</v>
      </c>
    </row>
    <row r="114" spans="1:12" x14ac:dyDescent="0.25">
      <c r="A114" s="304" t="s">
        <v>77</v>
      </c>
      <c r="B114" s="305"/>
      <c r="C114" s="306"/>
      <c r="D114" s="84">
        <f>SUM(D97+D98+D109+D110+D111+D112+D113)</f>
        <v>9916318</v>
      </c>
      <c r="E114" s="84">
        <v>10260312</v>
      </c>
      <c r="F114" s="84">
        <f t="shared" ref="F114:L114" si="32">SUM(F97+F98+F109+F110+F111+F112+F113)</f>
        <v>0</v>
      </c>
      <c r="G114" s="84">
        <f t="shared" si="32"/>
        <v>-52089</v>
      </c>
      <c r="H114" s="84">
        <f t="shared" si="32"/>
        <v>52530</v>
      </c>
      <c r="I114" s="84">
        <f t="shared" si="32"/>
        <v>0</v>
      </c>
      <c r="J114" s="84">
        <f t="shared" si="32"/>
        <v>10260753</v>
      </c>
      <c r="K114" s="116">
        <f t="shared" si="32"/>
        <v>8196142</v>
      </c>
      <c r="L114" s="84">
        <f t="shared" si="32"/>
        <v>2064611</v>
      </c>
    </row>
    <row r="115" spans="1:12" x14ac:dyDescent="0.25">
      <c r="A115" s="258" t="s">
        <v>13</v>
      </c>
      <c r="B115" s="268" t="s">
        <v>23</v>
      </c>
      <c r="C115" s="2" t="s">
        <v>24</v>
      </c>
      <c r="D115" s="3">
        <v>4871210</v>
      </c>
      <c r="E115" s="3">
        <v>5014296</v>
      </c>
      <c r="F115" s="3">
        <v>-69902</v>
      </c>
      <c r="G115" s="3"/>
      <c r="H115" s="3"/>
      <c r="I115" s="3"/>
      <c r="J115" s="20">
        <f t="shared" ref="J115:J120" si="33">E115+F115+G115+H115+I115</f>
        <v>4944394</v>
      </c>
      <c r="K115" s="112">
        <v>4369883</v>
      </c>
      <c r="L115" s="3">
        <f t="shared" ref="L115:L120" si="34">J115-K115</f>
        <v>574511</v>
      </c>
    </row>
    <row r="116" spans="1:12" x14ac:dyDescent="0.25">
      <c r="A116" s="258"/>
      <c r="B116" s="268"/>
      <c r="C116" s="2" t="s">
        <v>25</v>
      </c>
      <c r="D116" s="3">
        <v>200000</v>
      </c>
      <c r="E116" s="3">
        <v>200000</v>
      </c>
      <c r="F116" s="3"/>
      <c r="G116" s="3"/>
      <c r="H116" s="3"/>
      <c r="I116" s="3"/>
      <c r="J116" s="20">
        <f t="shared" si="33"/>
        <v>200000</v>
      </c>
      <c r="K116" s="112">
        <v>200000</v>
      </c>
      <c r="L116" s="3">
        <f t="shared" si="34"/>
        <v>0</v>
      </c>
    </row>
    <row r="117" spans="1:12" x14ac:dyDescent="0.25">
      <c r="A117" s="258"/>
      <c r="B117" s="268"/>
      <c r="C117" s="2" t="s">
        <v>26</v>
      </c>
      <c r="D117" s="3">
        <v>10000</v>
      </c>
      <c r="E117" s="3">
        <v>10000</v>
      </c>
      <c r="F117" s="3"/>
      <c r="G117" s="3"/>
      <c r="H117" s="3"/>
      <c r="I117" s="3"/>
      <c r="J117" s="20">
        <f t="shared" si="33"/>
        <v>10000</v>
      </c>
      <c r="K117" s="112">
        <v>10000</v>
      </c>
      <c r="L117" s="3">
        <f t="shared" si="34"/>
        <v>0</v>
      </c>
    </row>
    <row r="118" spans="1:12" x14ac:dyDescent="0.25">
      <c r="A118" s="258"/>
      <c r="B118" s="268"/>
      <c r="C118" s="2" t="s">
        <v>28</v>
      </c>
      <c r="D118" s="3">
        <v>24000</v>
      </c>
      <c r="E118" s="3">
        <v>24000</v>
      </c>
      <c r="F118" s="3"/>
      <c r="G118" s="3"/>
      <c r="H118" s="3"/>
      <c r="I118" s="3"/>
      <c r="J118" s="20">
        <f t="shared" si="33"/>
        <v>24000</v>
      </c>
      <c r="K118" s="112">
        <v>24000</v>
      </c>
      <c r="L118" s="3">
        <f t="shared" si="34"/>
        <v>0</v>
      </c>
    </row>
    <row r="119" spans="1:12" x14ac:dyDescent="0.25">
      <c r="A119" s="258"/>
      <c r="B119" s="268"/>
      <c r="C119" s="2" t="s">
        <v>29</v>
      </c>
      <c r="D119" s="3">
        <v>75000</v>
      </c>
      <c r="E119" s="3">
        <v>133601</v>
      </c>
      <c r="F119" s="3">
        <v>63016</v>
      </c>
      <c r="G119" s="3"/>
      <c r="H119" s="3"/>
      <c r="I119" s="3"/>
      <c r="J119" s="20">
        <f t="shared" si="33"/>
        <v>196617</v>
      </c>
      <c r="K119" s="112">
        <v>121617</v>
      </c>
      <c r="L119" s="3">
        <f t="shared" si="34"/>
        <v>75000</v>
      </c>
    </row>
    <row r="120" spans="1:12" x14ac:dyDescent="0.25">
      <c r="A120" s="258"/>
      <c r="B120" s="268"/>
      <c r="C120" s="2" t="s">
        <v>30</v>
      </c>
      <c r="D120" s="3">
        <v>0</v>
      </c>
      <c r="E120" s="3">
        <v>0</v>
      </c>
      <c r="F120" s="3">
        <v>6886</v>
      </c>
      <c r="G120" s="3"/>
      <c r="H120" s="3"/>
      <c r="I120" s="3"/>
      <c r="J120" s="20">
        <f t="shared" si="33"/>
        <v>6886</v>
      </c>
      <c r="K120" s="112">
        <v>6886</v>
      </c>
      <c r="L120" s="3">
        <f t="shared" si="34"/>
        <v>0</v>
      </c>
    </row>
    <row r="121" spans="1:12" x14ac:dyDescent="0.25">
      <c r="A121" s="258"/>
      <c r="B121" s="268"/>
      <c r="C121" s="6" t="s">
        <v>53</v>
      </c>
      <c r="D121" s="7">
        <f>SUM(D115:D120)</f>
        <v>5180210</v>
      </c>
      <c r="E121" s="7">
        <v>5381897</v>
      </c>
      <c r="F121" s="7">
        <f t="shared" ref="F121:L121" si="35">SUM(F115:F120)</f>
        <v>0</v>
      </c>
      <c r="G121" s="7">
        <f t="shared" si="35"/>
        <v>0</v>
      </c>
      <c r="H121" s="7">
        <f t="shared" si="35"/>
        <v>0</v>
      </c>
      <c r="I121" s="7">
        <f t="shared" si="35"/>
        <v>0</v>
      </c>
      <c r="J121" s="7">
        <f t="shared" si="35"/>
        <v>5381897</v>
      </c>
      <c r="K121" s="114">
        <f t="shared" si="35"/>
        <v>4732386</v>
      </c>
      <c r="L121" s="7">
        <f t="shared" si="35"/>
        <v>649511</v>
      </c>
    </row>
    <row r="122" spans="1:12" x14ac:dyDescent="0.25">
      <c r="A122" s="258"/>
      <c r="B122" s="268"/>
      <c r="C122" s="86" t="s">
        <v>31</v>
      </c>
      <c r="D122" s="87">
        <v>1046402</v>
      </c>
      <c r="E122" s="87">
        <v>1085449</v>
      </c>
      <c r="F122" s="87"/>
      <c r="G122" s="87"/>
      <c r="H122" s="87"/>
      <c r="I122" s="87"/>
      <c r="J122" s="88">
        <f t="shared" ref="J122:J130" si="36">E122+F122+G122+H122+I122</f>
        <v>1085449</v>
      </c>
      <c r="K122" s="115">
        <v>956863</v>
      </c>
      <c r="L122" s="89">
        <f t="shared" ref="L122:L130" si="37">J122-K122</f>
        <v>128586</v>
      </c>
    </row>
    <row r="123" spans="1:12" x14ac:dyDescent="0.25">
      <c r="A123" s="258"/>
      <c r="B123" s="268"/>
      <c r="C123" s="2" t="s">
        <v>32</v>
      </c>
      <c r="D123" s="3">
        <v>50000</v>
      </c>
      <c r="E123" s="3">
        <v>50000</v>
      </c>
      <c r="F123" s="3"/>
      <c r="G123" s="3"/>
      <c r="H123" s="3"/>
      <c r="I123" s="3"/>
      <c r="J123" s="20">
        <f t="shared" si="36"/>
        <v>50000</v>
      </c>
      <c r="K123" s="112">
        <v>0</v>
      </c>
      <c r="L123" s="3">
        <f t="shared" si="37"/>
        <v>50000</v>
      </c>
    </row>
    <row r="124" spans="1:12" x14ac:dyDescent="0.25">
      <c r="A124" s="258"/>
      <c r="B124" s="268"/>
      <c r="C124" s="2" t="s">
        <v>33</v>
      </c>
      <c r="D124" s="3">
        <v>100000</v>
      </c>
      <c r="E124" s="3">
        <v>70000</v>
      </c>
      <c r="F124" s="3"/>
      <c r="G124" s="3"/>
      <c r="H124" s="3"/>
      <c r="I124" s="3"/>
      <c r="J124" s="20">
        <f t="shared" si="36"/>
        <v>70000</v>
      </c>
      <c r="K124" s="112">
        <v>0</v>
      </c>
      <c r="L124" s="3">
        <f t="shared" si="37"/>
        <v>70000</v>
      </c>
    </row>
    <row r="125" spans="1:12" x14ac:dyDescent="0.25">
      <c r="A125" s="258"/>
      <c r="B125" s="268"/>
      <c r="C125" s="2" t="s">
        <v>34</v>
      </c>
      <c r="D125" s="3">
        <v>150000</v>
      </c>
      <c r="E125" s="3">
        <v>116000</v>
      </c>
      <c r="F125" s="3"/>
      <c r="G125" s="3"/>
      <c r="H125" s="3"/>
      <c r="I125" s="3"/>
      <c r="J125" s="20">
        <f t="shared" si="36"/>
        <v>116000</v>
      </c>
      <c r="K125" s="112">
        <v>0</v>
      </c>
      <c r="L125" s="3">
        <f t="shared" si="37"/>
        <v>116000</v>
      </c>
    </row>
    <row r="126" spans="1:12" x14ac:dyDescent="0.25">
      <c r="A126" s="258"/>
      <c r="B126" s="268"/>
      <c r="C126" s="2" t="s">
        <v>38</v>
      </c>
      <c r="D126" s="3">
        <v>50000</v>
      </c>
      <c r="E126" s="3">
        <v>46600</v>
      </c>
      <c r="F126" s="3"/>
      <c r="G126" s="3"/>
      <c r="H126" s="3"/>
      <c r="I126" s="3"/>
      <c r="J126" s="20">
        <f t="shared" si="36"/>
        <v>46600</v>
      </c>
      <c r="K126" s="112">
        <v>0</v>
      </c>
      <c r="L126" s="3">
        <f t="shared" si="37"/>
        <v>46600</v>
      </c>
    </row>
    <row r="127" spans="1:12" x14ac:dyDescent="0.25">
      <c r="A127" s="258"/>
      <c r="B127" s="268"/>
      <c r="C127" s="2" t="s">
        <v>40</v>
      </c>
      <c r="D127" s="3">
        <v>16800</v>
      </c>
      <c r="E127" s="3">
        <v>20200</v>
      </c>
      <c r="F127" s="3"/>
      <c r="G127" s="3"/>
      <c r="H127" s="3"/>
      <c r="I127" s="3"/>
      <c r="J127" s="20">
        <f t="shared" si="36"/>
        <v>20200</v>
      </c>
      <c r="K127" s="112">
        <v>10200</v>
      </c>
      <c r="L127" s="3">
        <f t="shared" si="37"/>
        <v>10000</v>
      </c>
    </row>
    <row r="128" spans="1:12" x14ac:dyDescent="0.25">
      <c r="A128" s="258"/>
      <c r="B128" s="268"/>
      <c r="C128" s="2" t="s">
        <v>41</v>
      </c>
      <c r="D128" s="3">
        <v>0</v>
      </c>
      <c r="E128" s="3">
        <v>70280</v>
      </c>
      <c r="F128" s="3"/>
      <c r="G128" s="3"/>
      <c r="H128" s="3"/>
      <c r="I128" s="3"/>
      <c r="J128" s="20">
        <f t="shared" si="36"/>
        <v>70280</v>
      </c>
      <c r="K128" s="112">
        <v>41760</v>
      </c>
      <c r="L128" s="3">
        <f t="shared" si="37"/>
        <v>28520</v>
      </c>
    </row>
    <row r="129" spans="1:12" x14ac:dyDescent="0.25">
      <c r="A129" s="258"/>
      <c r="B129" s="268"/>
      <c r="C129" s="2" t="s">
        <v>42</v>
      </c>
      <c r="D129" s="3">
        <v>240000</v>
      </c>
      <c r="E129" s="3">
        <v>233720</v>
      </c>
      <c r="F129" s="3"/>
      <c r="G129" s="3"/>
      <c r="H129" s="3"/>
      <c r="I129" s="3"/>
      <c r="J129" s="20">
        <f t="shared" si="36"/>
        <v>233720</v>
      </c>
      <c r="K129" s="112">
        <v>133400</v>
      </c>
      <c r="L129" s="3">
        <f t="shared" si="37"/>
        <v>100320</v>
      </c>
    </row>
    <row r="130" spans="1:12" x14ac:dyDescent="0.25">
      <c r="A130" s="258"/>
      <c r="B130" s="268"/>
      <c r="C130" s="2" t="s">
        <v>44</v>
      </c>
      <c r="D130" s="3">
        <v>94500</v>
      </c>
      <c r="E130" s="3">
        <v>94500</v>
      </c>
      <c r="F130" s="3"/>
      <c r="G130" s="3"/>
      <c r="H130" s="3"/>
      <c r="I130" s="3"/>
      <c r="J130" s="20">
        <f t="shared" si="36"/>
        <v>94500</v>
      </c>
      <c r="K130" s="112">
        <v>11618</v>
      </c>
      <c r="L130" s="3">
        <f t="shared" si="37"/>
        <v>82882</v>
      </c>
    </row>
    <row r="131" spans="1:12" x14ac:dyDescent="0.25">
      <c r="A131" s="258"/>
      <c r="B131" s="268"/>
      <c r="C131" s="6" t="s">
        <v>49</v>
      </c>
      <c r="D131" s="7">
        <f>SUM(D123:D130)</f>
        <v>701300</v>
      </c>
      <c r="E131" s="7">
        <v>701300</v>
      </c>
      <c r="F131" s="7">
        <f t="shared" ref="F131:L131" si="38">SUM(F123:F130)</f>
        <v>0</v>
      </c>
      <c r="G131" s="7">
        <f t="shared" si="38"/>
        <v>0</v>
      </c>
      <c r="H131" s="7">
        <f t="shared" si="38"/>
        <v>0</v>
      </c>
      <c r="I131" s="7">
        <f t="shared" si="38"/>
        <v>0</v>
      </c>
      <c r="J131" s="7">
        <f t="shared" si="38"/>
        <v>701300</v>
      </c>
      <c r="K131" s="114">
        <f t="shared" si="38"/>
        <v>196978</v>
      </c>
      <c r="L131" s="7">
        <f t="shared" si="38"/>
        <v>504322</v>
      </c>
    </row>
    <row r="132" spans="1:12" x14ac:dyDescent="0.25">
      <c r="A132" s="255" t="s">
        <v>64</v>
      </c>
      <c r="B132" s="252" t="s">
        <v>23</v>
      </c>
      <c r="C132" s="15" t="s">
        <v>29</v>
      </c>
      <c r="D132" s="24">
        <v>39600</v>
      </c>
      <c r="E132" s="24">
        <v>39600</v>
      </c>
      <c r="F132" s="11"/>
      <c r="G132" s="197">
        <v>0</v>
      </c>
      <c r="H132" s="197"/>
      <c r="I132" s="11"/>
      <c r="J132" s="20">
        <f t="shared" ref="J132:J135" si="39">E132+F132+G132+H132+I132</f>
        <v>39600</v>
      </c>
      <c r="K132" s="112">
        <v>36300</v>
      </c>
      <c r="L132" s="3">
        <f t="shared" ref="L132:L135" si="40">J132-K132</f>
        <v>3300</v>
      </c>
    </row>
    <row r="133" spans="1:12" x14ac:dyDescent="0.25">
      <c r="A133" s="257"/>
      <c r="B133" s="254"/>
      <c r="C133" s="15" t="s">
        <v>31</v>
      </c>
      <c r="D133" s="24">
        <v>7359</v>
      </c>
      <c r="E133" s="24">
        <v>7359</v>
      </c>
      <c r="F133" s="11"/>
      <c r="G133" s="197">
        <v>32</v>
      </c>
      <c r="H133" s="197"/>
      <c r="I133" s="11"/>
      <c r="J133" s="20">
        <f t="shared" si="39"/>
        <v>7391</v>
      </c>
      <c r="K133" s="112">
        <v>6815</v>
      </c>
      <c r="L133" s="3">
        <f t="shared" si="40"/>
        <v>576</v>
      </c>
    </row>
    <row r="134" spans="1:12" x14ac:dyDescent="0.25">
      <c r="A134" s="255" t="s">
        <v>65</v>
      </c>
      <c r="B134" s="252" t="s">
        <v>23</v>
      </c>
      <c r="C134" s="15" t="s">
        <v>24</v>
      </c>
      <c r="D134" s="24">
        <v>1357158</v>
      </c>
      <c r="E134" s="24">
        <v>1357158</v>
      </c>
      <c r="F134" s="11"/>
      <c r="G134" s="197"/>
      <c r="H134" s="197">
        <v>1075</v>
      </c>
      <c r="I134" s="11"/>
      <c r="J134" s="20">
        <f t="shared" si="39"/>
        <v>1358233</v>
      </c>
      <c r="K134" s="112">
        <v>1245047</v>
      </c>
      <c r="L134" s="3">
        <f t="shared" si="40"/>
        <v>113186</v>
      </c>
    </row>
    <row r="135" spans="1:12" x14ac:dyDescent="0.25">
      <c r="A135" s="257"/>
      <c r="B135" s="254"/>
      <c r="C135" s="15" t="s">
        <v>31</v>
      </c>
      <c r="D135" s="24">
        <v>253327</v>
      </c>
      <c r="E135" s="24">
        <v>253327</v>
      </c>
      <c r="F135" s="11"/>
      <c r="G135" s="197"/>
      <c r="H135" s="197">
        <v>206</v>
      </c>
      <c r="I135" s="11"/>
      <c r="J135" s="20">
        <f t="shared" si="39"/>
        <v>253533</v>
      </c>
      <c r="K135" s="112">
        <v>233725</v>
      </c>
      <c r="L135" s="3">
        <f t="shared" si="40"/>
        <v>19808</v>
      </c>
    </row>
    <row r="136" spans="1:12" x14ac:dyDescent="0.25">
      <c r="A136" s="304" t="s">
        <v>78</v>
      </c>
      <c r="B136" s="305"/>
      <c r="C136" s="306"/>
      <c r="D136" s="84">
        <f>SUM(D121+D122+D131+D132+D133+D134+D135)</f>
        <v>8585356</v>
      </c>
      <c r="E136" s="84">
        <v>8826090</v>
      </c>
      <c r="F136" s="84">
        <f t="shared" ref="F136:L136" si="41">SUM(F121+F122+F131+F132+F133+F134+F135)</f>
        <v>0</v>
      </c>
      <c r="G136" s="84">
        <f t="shared" si="41"/>
        <v>32</v>
      </c>
      <c r="H136" s="84">
        <f t="shared" si="41"/>
        <v>1281</v>
      </c>
      <c r="I136" s="84">
        <f t="shared" si="41"/>
        <v>0</v>
      </c>
      <c r="J136" s="84">
        <f t="shared" si="41"/>
        <v>8827403</v>
      </c>
      <c r="K136" s="116">
        <f t="shared" si="41"/>
        <v>7408114</v>
      </c>
      <c r="L136" s="84">
        <f t="shared" si="41"/>
        <v>1419289</v>
      </c>
    </row>
    <row r="137" spans="1:12" x14ac:dyDescent="0.25">
      <c r="A137" s="258" t="s">
        <v>14</v>
      </c>
      <c r="B137" s="268" t="s">
        <v>23</v>
      </c>
      <c r="C137" s="2" t="s">
        <v>24</v>
      </c>
      <c r="D137" s="3">
        <v>4756797</v>
      </c>
      <c r="E137" s="3">
        <v>4966659</v>
      </c>
      <c r="F137" s="3">
        <v>-6878</v>
      </c>
      <c r="G137" s="3"/>
      <c r="H137" s="3"/>
      <c r="I137" s="3"/>
      <c r="J137" s="20">
        <f t="shared" ref="J137:J143" si="42">E137+F137+G137+H137+I137</f>
        <v>4959781</v>
      </c>
      <c r="K137" s="112">
        <v>4191997</v>
      </c>
      <c r="L137" s="3">
        <f t="shared" ref="L137:L143" si="43">J137-K137</f>
        <v>767784</v>
      </c>
    </row>
    <row r="138" spans="1:12" x14ac:dyDescent="0.25">
      <c r="A138" s="258"/>
      <c r="B138" s="268"/>
      <c r="C138" s="2" t="s">
        <v>25</v>
      </c>
      <c r="D138" s="3">
        <v>200000</v>
      </c>
      <c r="E138" s="3">
        <v>200000</v>
      </c>
      <c r="F138" s="3"/>
      <c r="G138" s="3"/>
      <c r="H138" s="3"/>
      <c r="I138" s="3"/>
      <c r="J138" s="20">
        <f t="shared" si="42"/>
        <v>200000</v>
      </c>
      <c r="K138" s="112">
        <v>200000</v>
      </c>
      <c r="L138" s="3">
        <f t="shared" si="43"/>
        <v>0</v>
      </c>
    </row>
    <row r="139" spans="1:12" x14ac:dyDescent="0.25">
      <c r="A139" s="258"/>
      <c r="B139" s="268"/>
      <c r="C139" s="2" t="s">
        <v>26</v>
      </c>
      <c r="D139" s="3">
        <v>10000</v>
      </c>
      <c r="E139" s="3">
        <v>10000</v>
      </c>
      <c r="F139" s="3"/>
      <c r="G139" s="3"/>
      <c r="H139" s="3"/>
      <c r="I139" s="3"/>
      <c r="J139" s="20">
        <f t="shared" si="42"/>
        <v>10000</v>
      </c>
      <c r="K139" s="112">
        <v>10000</v>
      </c>
      <c r="L139" s="3">
        <f t="shared" si="43"/>
        <v>0</v>
      </c>
    </row>
    <row r="140" spans="1:12" x14ac:dyDescent="0.25">
      <c r="A140" s="258"/>
      <c r="B140" s="268"/>
      <c r="C140" s="2" t="s">
        <v>27</v>
      </c>
      <c r="D140" s="3">
        <v>255000</v>
      </c>
      <c r="E140" s="3">
        <v>255000</v>
      </c>
      <c r="F140" s="3"/>
      <c r="G140" s="3"/>
      <c r="H140" s="3"/>
      <c r="I140" s="3"/>
      <c r="J140" s="20">
        <f t="shared" si="42"/>
        <v>255000</v>
      </c>
      <c r="K140" s="112">
        <v>190360</v>
      </c>
      <c r="L140" s="3">
        <f t="shared" si="43"/>
        <v>64640</v>
      </c>
    </row>
    <row r="141" spans="1:12" x14ac:dyDescent="0.25">
      <c r="A141" s="258"/>
      <c r="B141" s="268"/>
      <c r="C141" s="2" t="s">
        <v>28</v>
      </c>
      <c r="D141" s="3">
        <v>24000</v>
      </c>
      <c r="E141" s="3">
        <v>24000</v>
      </c>
      <c r="F141" s="3"/>
      <c r="G141" s="3"/>
      <c r="H141" s="3"/>
      <c r="I141" s="3"/>
      <c r="J141" s="20">
        <f t="shared" si="42"/>
        <v>24000</v>
      </c>
      <c r="K141" s="112">
        <v>24000</v>
      </c>
      <c r="L141" s="3">
        <f t="shared" si="43"/>
        <v>0</v>
      </c>
    </row>
    <row r="142" spans="1:12" x14ac:dyDescent="0.25">
      <c r="A142" s="258"/>
      <c r="B142" s="268"/>
      <c r="C142" s="2" t="s">
        <v>29</v>
      </c>
      <c r="D142" s="3">
        <v>0</v>
      </c>
      <c r="E142" s="3">
        <v>128307</v>
      </c>
      <c r="F142" s="3"/>
      <c r="G142" s="3"/>
      <c r="H142" s="3"/>
      <c r="I142" s="3"/>
      <c r="J142" s="20">
        <f t="shared" si="42"/>
        <v>128307</v>
      </c>
      <c r="K142" s="112">
        <v>111887</v>
      </c>
      <c r="L142" s="3">
        <f t="shared" si="43"/>
        <v>16420</v>
      </c>
    </row>
    <row r="143" spans="1:12" x14ac:dyDescent="0.25">
      <c r="A143" s="258"/>
      <c r="B143" s="268"/>
      <c r="C143" s="2" t="s">
        <v>30</v>
      </c>
      <c r="D143" s="3">
        <v>0</v>
      </c>
      <c r="E143" s="3">
        <v>0</v>
      </c>
      <c r="F143" s="3">
        <v>6878</v>
      </c>
      <c r="G143" s="3"/>
      <c r="H143" s="3"/>
      <c r="I143" s="3"/>
      <c r="J143" s="20">
        <f t="shared" si="42"/>
        <v>6878</v>
      </c>
      <c r="K143" s="112">
        <v>6878</v>
      </c>
      <c r="L143" s="3">
        <f t="shared" si="43"/>
        <v>0</v>
      </c>
    </row>
    <row r="144" spans="1:12" x14ac:dyDescent="0.25">
      <c r="A144" s="258"/>
      <c r="B144" s="268"/>
      <c r="C144" s="6" t="s">
        <v>53</v>
      </c>
      <c r="D144" s="7">
        <f>SUM(D137:D143)</f>
        <v>5245797</v>
      </c>
      <c r="E144" s="7">
        <v>5583966</v>
      </c>
      <c r="F144" s="7">
        <f t="shared" ref="F144:L144" si="44">SUM(F137:F143)</f>
        <v>0</v>
      </c>
      <c r="G144" s="7">
        <f t="shared" si="44"/>
        <v>0</v>
      </c>
      <c r="H144" s="7">
        <f t="shared" si="44"/>
        <v>0</v>
      </c>
      <c r="I144" s="7">
        <f t="shared" si="44"/>
        <v>0</v>
      </c>
      <c r="J144" s="7">
        <f t="shared" si="44"/>
        <v>5583966</v>
      </c>
      <c r="K144" s="114">
        <f t="shared" si="44"/>
        <v>4735122</v>
      </c>
      <c r="L144" s="7">
        <f t="shared" si="44"/>
        <v>848844</v>
      </c>
    </row>
    <row r="145" spans="1:12" x14ac:dyDescent="0.25">
      <c r="A145" s="258"/>
      <c r="B145" s="268"/>
      <c r="C145" s="86" t="s">
        <v>31</v>
      </c>
      <c r="D145" s="87">
        <v>1025121</v>
      </c>
      <c r="E145" s="87">
        <v>1090873</v>
      </c>
      <c r="F145" s="87"/>
      <c r="G145" s="87"/>
      <c r="H145" s="87"/>
      <c r="I145" s="87"/>
      <c r="J145" s="88">
        <f t="shared" ref="J145:J153" si="45">E145+F145+G145+H145+I145</f>
        <v>1090873</v>
      </c>
      <c r="K145" s="115">
        <v>935458</v>
      </c>
      <c r="L145" s="89">
        <f t="shared" ref="L145:L153" si="46">J145-K145</f>
        <v>155415</v>
      </c>
    </row>
    <row r="146" spans="1:12" x14ac:dyDescent="0.25">
      <c r="A146" s="258"/>
      <c r="B146" s="268"/>
      <c r="C146" s="2" t="s">
        <v>32</v>
      </c>
      <c r="D146" s="3">
        <v>80000</v>
      </c>
      <c r="E146" s="3">
        <v>80000</v>
      </c>
      <c r="F146" s="3"/>
      <c r="G146" s="3"/>
      <c r="H146" s="3"/>
      <c r="I146" s="3"/>
      <c r="J146" s="20">
        <f t="shared" si="45"/>
        <v>80000</v>
      </c>
      <c r="K146" s="112">
        <v>0</v>
      </c>
      <c r="L146" s="3">
        <f t="shared" si="46"/>
        <v>80000</v>
      </c>
    </row>
    <row r="147" spans="1:12" x14ac:dyDescent="0.25">
      <c r="A147" s="258"/>
      <c r="B147" s="268"/>
      <c r="C147" s="2" t="s">
        <v>33</v>
      </c>
      <c r="D147" s="3">
        <v>110000</v>
      </c>
      <c r="E147" s="3">
        <v>50000</v>
      </c>
      <c r="F147" s="3">
        <v>50000</v>
      </c>
      <c r="G147" s="3"/>
      <c r="H147" s="3"/>
      <c r="I147" s="3"/>
      <c r="J147" s="20">
        <f t="shared" si="45"/>
        <v>100000</v>
      </c>
      <c r="K147" s="112">
        <v>99415</v>
      </c>
      <c r="L147" s="3">
        <f t="shared" si="46"/>
        <v>585</v>
      </c>
    </row>
    <row r="148" spans="1:12" x14ac:dyDescent="0.25">
      <c r="A148" s="258"/>
      <c r="B148" s="268"/>
      <c r="C148" s="2" t="s">
        <v>34</v>
      </c>
      <c r="D148" s="3">
        <v>150000</v>
      </c>
      <c r="E148" s="3">
        <v>136000</v>
      </c>
      <c r="F148" s="3">
        <v>-50000</v>
      </c>
      <c r="G148" s="3"/>
      <c r="H148" s="3"/>
      <c r="I148" s="3"/>
      <c r="J148" s="20">
        <f t="shared" si="45"/>
        <v>86000</v>
      </c>
      <c r="K148" s="112">
        <v>0</v>
      </c>
      <c r="L148" s="3">
        <f t="shared" si="46"/>
        <v>86000</v>
      </c>
    </row>
    <row r="149" spans="1:12" x14ac:dyDescent="0.25">
      <c r="A149" s="258"/>
      <c r="B149" s="268"/>
      <c r="C149" s="2" t="s">
        <v>38</v>
      </c>
      <c r="D149" s="3">
        <v>144000</v>
      </c>
      <c r="E149" s="3">
        <v>140600</v>
      </c>
      <c r="F149" s="3"/>
      <c r="G149" s="3"/>
      <c r="H149" s="3"/>
      <c r="I149" s="3"/>
      <c r="J149" s="20">
        <f t="shared" si="45"/>
        <v>140600</v>
      </c>
      <c r="K149" s="112">
        <v>14778</v>
      </c>
      <c r="L149" s="3">
        <f t="shared" si="46"/>
        <v>125822</v>
      </c>
    </row>
    <row r="150" spans="1:12" x14ac:dyDescent="0.25">
      <c r="A150" s="258"/>
      <c r="B150" s="268"/>
      <c r="C150" s="2" t="s">
        <v>40</v>
      </c>
      <c r="D150" s="3">
        <v>16800</v>
      </c>
      <c r="E150" s="3">
        <v>20200</v>
      </c>
      <c r="F150" s="3"/>
      <c r="G150" s="3"/>
      <c r="H150" s="3"/>
      <c r="I150" s="3"/>
      <c r="J150" s="20">
        <f t="shared" si="45"/>
        <v>20200</v>
      </c>
      <c r="K150" s="112">
        <v>10200</v>
      </c>
      <c r="L150" s="3">
        <f t="shared" si="46"/>
        <v>10000</v>
      </c>
    </row>
    <row r="151" spans="1:12" x14ac:dyDescent="0.25">
      <c r="A151" s="258"/>
      <c r="B151" s="268"/>
      <c r="C151" s="2" t="s">
        <v>41</v>
      </c>
      <c r="D151" s="3">
        <v>40000</v>
      </c>
      <c r="E151" s="3">
        <v>120280</v>
      </c>
      <c r="F151" s="3"/>
      <c r="G151" s="3"/>
      <c r="H151" s="3"/>
      <c r="I151" s="3"/>
      <c r="J151" s="20">
        <f t="shared" si="45"/>
        <v>120280</v>
      </c>
      <c r="K151" s="112">
        <v>81760</v>
      </c>
      <c r="L151" s="3">
        <f t="shared" si="46"/>
        <v>38520</v>
      </c>
    </row>
    <row r="152" spans="1:12" x14ac:dyDescent="0.25">
      <c r="A152" s="258"/>
      <c r="B152" s="268"/>
      <c r="C152" s="2" t="s">
        <v>42</v>
      </c>
      <c r="D152" s="3">
        <v>150000</v>
      </c>
      <c r="E152" s="3">
        <v>143720</v>
      </c>
      <c r="F152" s="3"/>
      <c r="G152" s="3"/>
      <c r="H152" s="3"/>
      <c r="I152" s="3"/>
      <c r="J152" s="20">
        <f t="shared" si="45"/>
        <v>143720</v>
      </c>
      <c r="K152" s="112">
        <v>101315</v>
      </c>
      <c r="L152" s="3">
        <f t="shared" si="46"/>
        <v>42405</v>
      </c>
    </row>
    <row r="153" spans="1:12" x14ac:dyDescent="0.25">
      <c r="A153" s="258"/>
      <c r="B153" s="268"/>
      <c r="C153" s="2" t="s">
        <v>44</v>
      </c>
      <c r="D153" s="3">
        <v>141480</v>
      </c>
      <c r="E153" s="3">
        <v>141480</v>
      </c>
      <c r="F153" s="3"/>
      <c r="G153" s="3"/>
      <c r="H153" s="3"/>
      <c r="I153" s="3"/>
      <c r="J153" s="20">
        <f t="shared" si="45"/>
        <v>141480</v>
      </c>
      <c r="K153" s="112">
        <v>42451</v>
      </c>
      <c r="L153" s="3">
        <f t="shared" si="46"/>
        <v>99029</v>
      </c>
    </row>
    <row r="154" spans="1:12" x14ac:dyDescent="0.25">
      <c r="A154" s="258"/>
      <c r="B154" s="268"/>
      <c r="C154" s="6" t="s">
        <v>49</v>
      </c>
      <c r="D154" s="7">
        <f>SUM(D146:D153)</f>
        <v>832280</v>
      </c>
      <c r="E154" s="7">
        <v>832280</v>
      </c>
      <c r="F154" s="7">
        <f t="shared" ref="F154:L154" si="47">SUM(F146:F153)</f>
        <v>0</v>
      </c>
      <c r="G154" s="7">
        <f t="shared" si="47"/>
        <v>0</v>
      </c>
      <c r="H154" s="7">
        <f t="shared" si="47"/>
        <v>0</v>
      </c>
      <c r="I154" s="7">
        <f t="shared" si="47"/>
        <v>0</v>
      </c>
      <c r="J154" s="7">
        <f t="shared" si="47"/>
        <v>832280</v>
      </c>
      <c r="K154" s="114">
        <f t="shared" si="47"/>
        <v>349919</v>
      </c>
      <c r="L154" s="7">
        <f t="shared" si="47"/>
        <v>482361</v>
      </c>
    </row>
    <row r="155" spans="1:12" x14ac:dyDescent="0.25">
      <c r="A155" s="255" t="s">
        <v>66</v>
      </c>
      <c r="B155" s="252" t="s">
        <v>23</v>
      </c>
      <c r="C155" s="15" t="s">
        <v>24</v>
      </c>
      <c r="D155" s="24">
        <v>832628</v>
      </c>
      <c r="E155" s="24">
        <v>832628</v>
      </c>
      <c r="F155" s="11"/>
      <c r="G155" s="11"/>
      <c r="H155" s="197">
        <v>-10559</v>
      </c>
      <c r="I155" s="11"/>
      <c r="J155" s="20">
        <f t="shared" ref="J155:J156" si="48">E155+F155+G155+H155+I155</f>
        <v>822069</v>
      </c>
      <c r="K155" s="112">
        <v>752545</v>
      </c>
      <c r="L155" s="3">
        <f t="shared" ref="L155:L156" si="49">J155-K155</f>
        <v>69524</v>
      </c>
    </row>
    <row r="156" spans="1:12" x14ac:dyDescent="0.25">
      <c r="A156" s="257"/>
      <c r="B156" s="254"/>
      <c r="C156" s="15" t="s">
        <v>31</v>
      </c>
      <c r="D156" s="24">
        <v>155410</v>
      </c>
      <c r="E156" s="24">
        <v>155410</v>
      </c>
      <c r="F156" s="11"/>
      <c r="G156" s="11"/>
      <c r="H156" s="197">
        <v>-2059</v>
      </c>
      <c r="I156" s="11"/>
      <c r="J156" s="20">
        <f t="shared" si="48"/>
        <v>153351</v>
      </c>
      <c r="K156" s="112">
        <v>141185</v>
      </c>
      <c r="L156" s="3">
        <f t="shared" si="49"/>
        <v>12166</v>
      </c>
    </row>
    <row r="157" spans="1:12" x14ac:dyDescent="0.25">
      <c r="A157" s="304" t="s">
        <v>79</v>
      </c>
      <c r="B157" s="305"/>
      <c r="C157" s="306"/>
      <c r="D157" s="84">
        <f>SUM(D144+D145+D154+D155+D156)</f>
        <v>8091236</v>
      </c>
      <c r="E157" s="84">
        <v>8495157</v>
      </c>
      <c r="F157" s="84">
        <f t="shared" ref="F157:L157" si="50">SUM(F144+F145+F154+F155+F156)</f>
        <v>0</v>
      </c>
      <c r="G157" s="84">
        <f t="shared" si="50"/>
        <v>0</v>
      </c>
      <c r="H157" s="84">
        <f t="shared" si="50"/>
        <v>-12618</v>
      </c>
      <c r="I157" s="84">
        <f t="shared" si="50"/>
        <v>0</v>
      </c>
      <c r="J157" s="84">
        <f t="shared" si="50"/>
        <v>8482539</v>
      </c>
      <c r="K157" s="116">
        <f t="shared" si="50"/>
        <v>6914229</v>
      </c>
      <c r="L157" s="84">
        <f t="shared" si="50"/>
        <v>1568310</v>
      </c>
    </row>
    <row r="158" spans="1:12" x14ac:dyDescent="0.25">
      <c r="A158" s="258" t="s">
        <v>55</v>
      </c>
      <c r="B158" s="268" t="s">
        <v>23</v>
      </c>
      <c r="C158" s="10" t="s">
        <v>24</v>
      </c>
      <c r="D158" s="24">
        <v>5055869</v>
      </c>
      <c r="E158" s="24">
        <v>5275466</v>
      </c>
      <c r="F158" s="197">
        <v>-47179</v>
      </c>
      <c r="G158" s="11"/>
      <c r="H158" s="11"/>
      <c r="I158" s="11"/>
      <c r="J158" s="20">
        <f t="shared" ref="J158:J163" si="51">E158+F158+G158+H158+I158</f>
        <v>5228287</v>
      </c>
      <c r="K158" s="112">
        <v>4575213</v>
      </c>
      <c r="L158" s="3">
        <f t="shared" ref="L158:L163" si="52">J158-K158</f>
        <v>653074</v>
      </c>
    </row>
    <row r="159" spans="1:12" x14ac:dyDescent="0.25">
      <c r="A159" s="258"/>
      <c r="B159" s="268"/>
      <c r="C159" s="10" t="s">
        <v>25</v>
      </c>
      <c r="D159" s="24">
        <v>425000</v>
      </c>
      <c r="E159" s="24">
        <v>425000</v>
      </c>
      <c r="F159" s="197"/>
      <c r="G159" s="11"/>
      <c r="H159" s="11"/>
      <c r="I159" s="11"/>
      <c r="J159" s="20">
        <f t="shared" si="51"/>
        <v>425000</v>
      </c>
      <c r="K159" s="112">
        <v>402500</v>
      </c>
      <c r="L159" s="3">
        <f t="shared" si="52"/>
        <v>22500</v>
      </c>
    </row>
    <row r="160" spans="1:12" x14ac:dyDescent="0.25">
      <c r="A160" s="258"/>
      <c r="B160" s="268"/>
      <c r="C160" s="10" t="s">
        <v>26</v>
      </c>
      <c r="D160" s="24">
        <v>10000</v>
      </c>
      <c r="E160" s="24">
        <v>10000</v>
      </c>
      <c r="F160" s="197"/>
      <c r="G160" s="11"/>
      <c r="H160" s="11"/>
      <c r="I160" s="11"/>
      <c r="J160" s="20">
        <f t="shared" si="51"/>
        <v>10000</v>
      </c>
      <c r="K160" s="112">
        <v>10000</v>
      </c>
      <c r="L160" s="3">
        <f t="shared" si="52"/>
        <v>0</v>
      </c>
    </row>
    <row r="161" spans="1:12" x14ac:dyDescent="0.25">
      <c r="A161" s="258"/>
      <c r="B161" s="268"/>
      <c r="C161" s="10" t="s">
        <v>28</v>
      </c>
      <c r="D161" s="24">
        <v>24000</v>
      </c>
      <c r="E161" s="24">
        <v>24000</v>
      </c>
      <c r="F161" s="197"/>
      <c r="G161" s="11"/>
      <c r="H161" s="11"/>
      <c r="I161" s="11"/>
      <c r="J161" s="20">
        <f t="shared" si="51"/>
        <v>24000</v>
      </c>
      <c r="K161" s="112">
        <v>24000</v>
      </c>
      <c r="L161" s="3">
        <f t="shared" si="52"/>
        <v>0</v>
      </c>
    </row>
    <row r="162" spans="1:12" x14ac:dyDescent="0.25">
      <c r="A162" s="258"/>
      <c r="B162" s="268"/>
      <c r="C162" s="10" t="s">
        <v>29</v>
      </c>
      <c r="D162" s="24">
        <v>75000</v>
      </c>
      <c r="E162" s="24">
        <v>125000</v>
      </c>
      <c r="F162" s="197">
        <v>40301</v>
      </c>
      <c r="G162" s="11"/>
      <c r="H162" s="11"/>
      <c r="I162" s="11"/>
      <c r="J162" s="20">
        <f t="shared" si="51"/>
        <v>165301</v>
      </c>
      <c r="K162" s="112">
        <v>112801</v>
      </c>
      <c r="L162" s="3">
        <f t="shared" si="52"/>
        <v>52500</v>
      </c>
    </row>
    <row r="163" spans="1:12" x14ac:dyDescent="0.25">
      <c r="A163" s="258"/>
      <c r="B163" s="268"/>
      <c r="C163" s="10" t="s">
        <v>30</v>
      </c>
      <c r="D163" s="24">
        <v>0</v>
      </c>
      <c r="E163" s="24">
        <v>0</v>
      </c>
      <c r="F163" s="197">
        <v>6878</v>
      </c>
      <c r="G163" s="11"/>
      <c r="H163" s="11"/>
      <c r="I163" s="11"/>
      <c r="J163" s="20">
        <f t="shared" si="51"/>
        <v>6878</v>
      </c>
      <c r="K163" s="112">
        <v>6878</v>
      </c>
      <c r="L163" s="3">
        <f t="shared" si="52"/>
        <v>0</v>
      </c>
    </row>
    <row r="164" spans="1:12" x14ac:dyDescent="0.25">
      <c r="A164" s="258"/>
      <c r="B164" s="268"/>
      <c r="C164" s="6" t="s">
        <v>53</v>
      </c>
      <c r="D164" s="7">
        <f>SUM(D158:D163)</f>
        <v>5589869</v>
      </c>
      <c r="E164" s="7">
        <v>5859466</v>
      </c>
      <c r="F164" s="7">
        <f t="shared" ref="F164:L164" si="53">SUM(F158:F163)</f>
        <v>0</v>
      </c>
      <c r="G164" s="7">
        <f t="shared" si="53"/>
        <v>0</v>
      </c>
      <c r="H164" s="7">
        <f t="shared" si="53"/>
        <v>0</v>
      </c>
      <c r="I164" s="7">
        <f t="shared" si="53"/>
        <v>0</v>
      </c>
      <c r="J164" s="7">
        <f t="shared" si="53"/>
        <v>5859466</v>
      </c>
      <c r="K164" s="114">
        <f t="shared" si="53"/>
        <v>5131392</v>
      </c>
      <c r="L164" s="7">
        <f t="shared" si="53"/>
        <v>728074</v>
      </c>
    </row>
    <row r="165" spans="1:12" x14ac:dyDescent="0.25">
      <c r="A165" s="258"/>
      <c r="B165" s="268"/>
      <c r="C165" s="86" t="s">
        <v>31</v>
      </c>
      <c r="D165" s="87">
        <v>1124913</v>
      </c>
      <c r="E165" s="87">
        <v>1177484</v>
      </c>
      <c r="F165" s="87"/>
      <c r="G165" s="87"/>
      <c r="H165" s="87"/>
      <c r="I165" s="87"/>
      <c r="J165" s="88">
        <f t="shared" ref="J165:J174" si="54">E165+F165+G165+H165+I165</f>
        <v>1177484</v>
      </c>
      <c r="K165" s="115">
        <v>1030812</v>
      </c>
      <c r="L165" s="89">
        <f t="shared" ref="L165:L174" si="55">J165-K165</f>
        <v>146672</v>
      </c>
    </row>
    <row r="166" spans="1:12" x14ac:dyDescent="0.25">
      <c r="A166" s="258"/>
      <c r="B166" s="268"/>
      <c r="C166" s="10" t="s">
        <v>32</v>
      </c>
      <c r="D166" s="24">
        <v>100000</v>
      </c>
      <c r="E166" s="24">
        <v>50000</v>
      </c>
      <c r="F166" s="11"/>
      <c r="G166" s="11"/>
      <c r="H166" s="11"/>
      <c r="I166" s="11"/>
      <c r="J166" s="20">
        <f t="shared" si="54"/>
        <v>50000</v>
      </c>
      <c r="K166" s="112">
        <v>0</v>
      </c>
      <c r="L166" s="3">
        <f t="shared" si="55"/>
        <v>50000</v>
      </c>
    </row>
    <row r="167" spans="1:12" x14ac:dyDescent="0.25">
      <c r="A167" s="258"/>
      <c r="B167" s="268"/>
      <c r="C167" s="10" t="s">
        <v>33</v>
      </c>
      <c r="D167" s="24">
        <v>100000</v>
      </c>
      <c r="E167" s="24">
        <v>100000</v>
      </c>
      <c r="F167" s="11"/>
      <c r="G167" s="11"/>
      <c r="H167" s="11"/>
      <c r="I167" s="11"/>
      <c r="J167" s="20">
        <f t="shared" si="54"/>
        <v>100000</v>
      </c>
      <c r="K167" s="112">
        <v>93234</v>
      </c>
      <c r="L167" s="3">
        <f t="shared" si="55"/>
        <v>6766</v>
      </c>
    </row>
    <row r="168" spans="1:12" x14ac:dyDescent="0.25">
      <c r="A168" s="258"/>
      <c r="B168" s="268"/>
      <c r="C168" s="10" t="s">
        <v>34</v>
      </c>
      <c r="D168" s="24">
        <v>100000</v>
      </c>
      <c r="E168" s="24">
        <v>100000</v>
      </c>
      <c r="F168" s="197">
        <v>-50000</v>
      </c>
      <c r="G168" s="11"/>
      <c r="H168" s="11"/>
      <c r="I168" s="11"/>
      <c r="J168" s="20">
        <f t="shared" si="54"/>
        <v>50000</v>
      </c>
      <c r="K168" s="112">
        <v>0</v>
      </c>
      <c r="L168" s="3">
        <f t="shared" si="55"/>
        <v>50000</v>
      </c>
    </row>
    <row r="169" spans="1:12" x14ac:dyDescent="0.25">
      <c r="A169" s="258"/>
      <c r="B169" s="268"/>
      <c r="C169" s="10" t="s">
        <v>35</v>
      </c>
      <c r="D169" s="24">
        <v>50000</v>
      </c>
      <c r="E169" s="24">
        <v>50000</v>
      </c>
      <c r="F169" s="197"/>
      <c r="G169" s="11"/>
      <c r="H169" s="11"/>
      <c r="I169" s="11"/>
      <c r="J169" s="20">
        <f t="shared" si="54"/>
        <v>50000</v>
      </c>
      <c r="K169" s="112">
        <v>0</v>
      </c>
      <c r="L169" s="3">
        <f t="shared" si="55"/>
        <v>50000</v>
      </c>
    </row>
    <row r="170" spans="1:12" x14ac:dyDescent="0.25">
      <c r="A170" s="258"/>
      <c r="B170" s="268"/>
      <c r="C170" s="10" t="s">
        <v>38</v>
      </c>
      <c r="D170" s="24">
        <v>140000</v>
      </c>
      <c r="E170" s="24">
        <v>136600</v>
      </c>
      <c r="F170" s="197"/>
      <c r="G170" s="11"/>
      <c r="H170" s="11"/>
      <c r="I170" s="11"/>
      <c r="J170" s="20">
        <f t="shared" si="54"/>
        <v>136600</v>
      </c>
      <c r="K170" s="112">
        <v>60347</v>
      </c>
      <c r="L170" s="3">
        <f t="shared" si="55"/>
        <v>76253</v>
      </c>
    </row>
    <row r="171" spans="1:12" x14ac:dyDescent="0.25">
      <c r="A171" s="258"/>
      <c r="B171" s="268"/>
      <c r="C171" s="10" t="s">
        <v>40</v>
      </c>
      <c r="D171" s="24">
        <v>15000</v>
      </c>
      <c r="E171" s="24">
        <v>18400</v>
      </c>
      <c r="F171" s="197"/>
      <c r="G171" s="11"/>
      <c r="H171" s="11"/>
      <c r="I171" s="11"/>
      <c r="J171" s="20">
        <f t="shared" si="54"/>
        <v>18400</v>
      </c>
      <c r="K171" s="112">
        <v>9300</v>
      </c>
      <c r="L171" s="3">
        <f t="shared" si="55"/>
        <v>9100</v>
      </c>
    </row>
    <row r="172" spans="1:12" x14ac:dyDescent="0.25">
      <c r="A172" s="258"/>
      <c r="B172" s="268"/>
      <c r="C172" s="10" t="s">
        <v>41</v>
      </c>
      <c r="D172" s="24">
        <v>80000</v>
      </c>
      <c r="E172" s="24">
        <v>144188</v>
      </c>
      <c r="F172" s="197"/>
      <c r="G172" s="11"/>
      <c r="H172" s="11"/>
      <c r="I172" s="11"/>
      <c r="J172" s="20">
        <f t="shared" si="54"/>
        <v>144188</v>
      </c>
      <c r="K172" s="112">
        <v>95668</v>
      </c>
      <c r="L172" s="3">
        <f t="shared" si="55"/>
        <v>48520</v>
      </c>
    </row>
    <row r="173" spans="1:12" x14ac:dyDescent="0.25">
      <c r="A173" s="258"/>
      <c r="B173" s="268"/>
      <c r="C173" s="10" t="s">
        <v>42</v>
      </c>
      <c r="D173" s="24">
        <v>240000</v>
      </c>
      <c r="E173" s="24">
        <v>240000</v>
      </c>
      <c r="F173" s="197">
        <v>50000</v>
      </c>
      <c r="G173" s="11"/>
      <c r="H173" s="11"/>
      <c r="I173" s="11"/>
      <c r="J173" s="20">
        <f t="shared" si="54"/>
        <v>290000</v>
      </c>
      <c r="K173" s="112">
        <v>248260</v>
      </c>
      <c r="L173" s="3">
        <f t="shared" si="55"/>
        <v>41740</v>
      </c>
    </row>
    <row r="174" spans="1:12" x14ac:dyDescent="0.25">
      <c r="A174" s="258"/>
      <c r="B174" s="268"/>
      <c r="C174" s="10" t="s">
        <v>44</v>
      </c>
      <c r="D174" s="24">
        <v>142900</v>
      </c>
      <c r="E174" s="24">
        <v>128712</v>
      </c>
      <c r="F174" s="197"/>
      <c r="G174" s="11"/>
      <c r="H174" s="11"/>
      <c r="I174" s="11"/>
      <c r="J174" s="20">
        <f t="shared" si="54"/>
        <v>128712</v>
      </c>
      <c r="K174" s="112">
        <v>49390</v>
      </c>
      <c r="L174" s="3">
        <f t="shared" si="55"/>
        <v>79322</v>
      </c>
    </row>
    <row r="175" spans="1:12" x14ac:dyDescent="0.25">
      <c r="A175" s="258"/>
      <c r="B175" s="268"/>
      <c r="C175" s="6" t="s">
        <v>49</v>
      </c>
      <c r="D175" s="7">
        <f>SUM(D166:D174)</f>
        <v>967900</v>
      </c>
      <c r="E175" s="7">
        <v>967900</v>
      </c>
      <c r="F175" s="7">
        <f t="shared" ref="F175:L175" si="56">SUM(F166:F174)</f>
        <v>0</v>
      </c>
      <c r="G175" s="7">
        <f t="shared" si="56"/>
        <v>0</v>
      </c>
      <c r="H175" s="7">
        <f t="shared" si="56"/>
        <v>0</v>
      </c>
      <c r="I175" s="7">
        <f t="shared" si="56"/>
        <v>0</v>
      </c>
      <c r="J175" s="7">
        <f t="shared" si="56"/>
        <v>967900</v>
      </c>
      <c r="K175" s="114">
        <f t="shared" si="56"/>
        <v>556199</v>
      </c>
      <c r="L175" s="7">
        <f t="shared" si="56"/>
        <v>411701</v>
      </c>
    </row>
    <row r="176" spans="1:12" x14ac:dyDescent="0.25">
      <c r="A176" s="255" t="s">
        <v>67</v>
      </c>
      <c r="B176" s="252" t="s">
        <v>23</v>
      </c>
      <c r="C176" s="25" t="s">
        <v>29</v>
      </c>
      <c r="D176" s="24">
        <v>157200</v>
      </c>
      <c r="E176" s="24">
        <v>157200</v>
      </c>
      <c r="F176" s="11"/>
      <c r="G176" s="197">
        <v>-85800</v>
      </c>
      <c r="H176" s="197"/>
      <c r="I176" s="11"/>
      <c r="J176" s="20">
        <f t="shared" ref="J176:J192" si="57">E176+F176+G176+H176+I176</f>
        <v>71400</v>
      </c>
      <c r="K176" s="112">
        <v>66100</v>
      </c>
      <c r="L176" s="3">
        <f t="shared" ref="L176:L192" si="58">J176-K176</f>
        <v>5300</v>
      </c>
    </row>
    <row r="177" spans="1:12" x14ac:dyDescent="0.25">
      <c r="A177" s="257"/>
      <c r="B177" s="254"/>
      <c r="C177" s="25" t="s">
        <v>31</v>
      </c>
      <c r="D177" s="24">
        <v>29213</v>
      </c>
      <c r="E177" s="24">
        <v>29213</v>
      </c>
      <c r="F177" s="11"/>
      <c r="G177" s="197">
        <v>-15818</v>
      </c>
      <c r="H177" s="197"/>
      <c r="I177" s="11"/>
      <c r="J177" s="20">
        <f t="shared" si="57"/>
        <v>13395</v>
      </c>
      <c r="K177" s="112">
        <v>12468</v>
      </c>
      <c r="L177" s="3">
        <f t="shared" si="58"/>
        <v>927</v>
      </c>
    </row>
    <row r="178" spans="1:12" x14ac:dyDescent="0.25">
      <c r="A178" s="255" t="s">
        <v>75</v>
      </c>
      <c r="B178" s="252" t="s">
        <v>23</v>
      </c>
      <c r="C178" s="15" t="s">
        <v>24</v>
      </c>
      <c r="D178" s="24">
        <v>1604509</v>
      </c>
      <c r="E178" s="24">
        <v>1604509</v>
      </c>
      <c r="F178" s="11"/>
      <c r="G178" s="197"/>
      <c r="H178" s="197">
        <v>40559</v>
      </c>
      <c r="I178" s="11"/>
      <c r="J178" s="20">
        <f t="shared" si="57"/>
        <v>1645068</v>
      </c>
      <c r="K178" s="112">
        <v>1507463</v>
      </c>
      <c r="L178" s="3">
        <f t="shared" si="58"/>
        <v>137605</v>
      </c>
    </row>
    <row r="179" spans="1:12" x14ac:dyDescent="0.25">
      <c r="A179" s="257"/>
      <c r="B179" s="254"/>
      <c r="C179" s="15" t="s">
        <v>31</v>
      </c>
      <c r="D179" s="24">
        <v>299119</v>
      </c>
      <c r="E179" s="24">
        <v>299119</v>
      </c>
      <c r="F179" s="11"/>
      <c r="G179" s="197"/>
      <c r="H179" s="197">
        <v>7911</v>
      </c>
      <c r="I179" s="11"/>
      <c r="J179" s="20">
        <f t="shared" si="57"/>
        <v>307030</v>
      </c>
      <c r="K179" s="112">
        <v>282949</v>
      </c>
      <c r="L179" s="3">
        <f t="shared" si="58"/>
        <v>24081</v>
      </c>
    </row>
    <row r="180" spans="1:12" x14ac:dyDescent="0.25">
      <c r="A180" s="310" t="s">
        <v>80</v>
      </c>
      <c r="B180" s="310"/>
      <c r="C180" s="310"/>
      <c r="D180" s="85">
        <f>SUM(D164+D165+D175+D176+D177+D178+D179)</f>
        <v>9772723</v>
      </c>
      <c r="E180" s="85">
        <v>10094891</v>
      </c>
      <c r="F180" s="85">
        <f t="shared" ref="F180:L180" si="59">SUM(F164+F165+F175+F176+F177+F178+F179)</f>
        <v>0</v>
      </c>
      <c r="G180" s="85">
        <f t="shared" si="59"/>
        <v>-101618</v>
      </c>
      <c r="H180" s="85">
        <f t="shared" si="59"/>
        <v>48470</v>
      </c>
      <c r="I180" s="85">
        <f t="shared" si="59"/>
        <v>0</v>
      </c>
      <c r="J180" s="85">
        <f t="shared" si="59"/>
        <v>10041743</v>
      </c>
      <c r="K180" s="116">
        <f t="shared" si="59"/>
        <v>8587383</v>
      </c>
      <c r="L180" s="85">
        <f t="shared" si="59"/>
        <v>1454360</v>
      </c>
    </row>
    <row r="181" spans="1:12" x14ac:dyDescent="0.25">
      <c r="A181" s="258" t="s">
        <v>15</v>
      </c>
      <c r="B181" s="252" t="s">
        <v>23</v>
      </c>
      <c r="C181" s="43" t="s">
        <v>24</v>
      </c>
      <c r="D181" s="44">
        <v>11144060</v>
      </c>
      <c r="E181" s="44">
        <v>11144060</v>
      </c>
      <c r="F181" s="44"/>
      <c r="G181" s="44"/>
      <c r="H181" s="44"/>
      <c r="I181" s="44"/>
      <c r="J181" s="20">
        <f t="shared" si="57"/>
        <v>11144060</v>
      </c>
      <c r="K181" s="56">
        <v>8187749</v>
      </c>
      <c r="L181" s="3">
        <f t="shared" si="58"/>
        <v>2956311</v>
      </c>
    </row>
    <row r="182" spans="1:12" x14ac:dyDescent="0.25">
      <c r="A182" s="258"/>
      <c r="B182" s="253"/>
      <c r="C182" s="43" t="s">
        <v>30</v>
      </c>
      <c r="D182" s="44">
        <v>0</v>
      </c>
      <c r="E182" s="44">
        <v>0</v>
      </c>
      <c r="F182" s="44"/>
      <c r="G182" s="44"/>
      <c r="H182" s="44"/>
      <c r="I182" s="44"/>
      <c r="J182" s="20">
        <f t="shared" si="57"/>
        <v>0</v>
      </c>
      <c r="K182" s="56">
        <v>0</v>
      </c>
      <c r="L182" s="3">
        <f t="shared" si="58"/>
        <v>0</v>
      </c>
    </row>
    <row r="183" spans="1:12" x14ac:dyDescent="0.25">
      <c r="A183" s="258"/>
      <c r="B183" s="253"/>
      <c r="C183" s="6" t="s">
        <v>53</v>
      </c>
      <c r="D183" s="7">
        <f>D181+D182</f>
        <v>11144060</v>
      </c>
      <c r="E183" s="7">
        <v>11144060</v>
      </c>
      <c r="F183" s="7">
        <f t="shared" ref="F183:L183" si="60">F181+F182</f>
        <v>0</v>
      </c>
      <c r="G183" s="7">
        <f t="shared" si="60"/>
        <v>0</v>
      </c>
      <c r="H183" s="7">
        <f t="shared" si="60"/>
        <v>0</v>
      </c>
      <c r="I183" s="7">
        <f t="shared" si="60"/>
        <v>0</v>
      </c>
      <c r="J183" s="8">
        <f t="shared" si="57"/>
        <v>11144060</v>
      </c>
      <c r="K183" s="117">
        <f t="shared" si="60"/>
        <v>8187749</v>
      </c>
      <c r="L183" s="7">
        <f t="shared" si="60"/>
        <v>2956311</v>
      </c>
    </row>
    <row r="184" spans="1:12" x14ac:dyDescent="0.25">
      <c r="A184" s="258"/>
      <c r="B184" s="253"/>
      <c r="C184" s="86" t="s">
        <v>31</v>
      </c>
      <c r="D184" s="87">
        <v>2295657</v>
      </c>
      <c r="E184" s="87">
        <v>6570207</v>
      </c>
      <c r="F184" s="87"/>
      <c r="G184" s="87"/>
      <c r="H184" s="87"/>
      <c r="I184" s="87"/>
      <c r="J184" s="89">
        <f t="shared" si="57"/>
        <v>6570207</v>
      </c>
      <c r="K184" s="115">
        <v>4345532</v>
      </c>
      <c r="L184" s="89">
        <f t="shared" si="58"/>
        <v>2224675</v>
      </c>
    </row>
    <row r="185" spans="1:12" x14ac:dyDescent="0.25">
      <c r="A185" s="258"/>
      <c r="B185" s="253"/>
      <c r="C185" s="10" t="s">
        <v>33</v>
      </c>
      <c r="D185" s="3">
        <v>90000</v>
      </c>
      <c r="E185" s="3">
        <v>232959</v>
      </c>
      <c r="F185" s="3"/>
      <c r="G185" s="3"/>
      <c r="H185" s="3"/>
      <c r="I185" s="3"/>
      <c r="J185" s="3">
        <f t="shared" si="57"/>
        <v>232959</v>
      </c>
      <c r="K185" s="112">
        <v>232959</v>
      </c>
      <c r="L185" s="3">
        <f t="shared" si="58"/>
        <v>0</v>
      </c>
    </row>
    <row r="186" spans="1:12" x14ac:dyDescent="0.25">
      <c r="A186" s="258"/>
      <c r="B186" s="253"/>
      <c r="C186" s="10" t="s">
        <v>37</v>
      </c>
      <c r="D186" s="3">
        <v>230000</v>
      </c>
      <c r="E186" s="3">
        <v>230000</v>
      </c>
      <c r="F186" s="3"/>
      <c r="G186" s="3"/>
      <c r="H186" s="3"/>
      <c r="I186" s="3"/>
      <c r="J186" s="3">
        <f t="shared" si="57"/>
        <v>230000</v>
      </c>
      <c r="K186" s="112">
        <v>138000</v>
      </c>
      <c r="L186" s="3">
        <f t="shared" si="58"/>
        <v>92000</v>
      </c>
    </row>
    <row r="187" spans="1:12" x14ac:dyDescent="0.25">
      <c r="A187" s="258"/>
      <c r="B187" s="253"/>
      <c r="C187" s="10" t="s">
        <v>40</v>
      </c>
      <c r="D187" s="3">
        <v>14850000</v>
      </c>
      <c r="E187" s="3">
        <v>14850000</v>
      </c>
      <c r="F187" s="3"/>
      <c r="G187" s="3"/>
      <c r="H187" s="3"/>
      <c r="I187" s="3"/>
      <c r="J187" s="3">
        <f t="shared" si="57"/>
        <v>14850000</v>
      </c>
      <c r="K187" s="112">
        <v>0</v>
      </c>
      <c r="L187" s="3">
        <f t="shared" si="58"/>
        <v>14850000</v>
      </c>
    </row>
    <row r="188" spans="1:12" x14ac:dyDescent="0.25">
      <c r="A188" s="258"/>
      <c r="B188" s="253"/>
      <c r="C188" s="10" t="s">
        <v>41</v>
      </c>
      <c r="D188" s="3">
        <v>25112271</v>
      </c>
      <c r="E188" s="3">
        <v>12427045</v>
      </c>
      <c r="F188" s="3"/>
      <c r="G188" s="3"/>
      <c r="H188" s="3"/>
      <c r="I188" s="3"/>
      <c r="J188" s="3">
        <f t="shared" si="57"/>
        <v>12427045</v>
      </c>
      <c r="K188" s="112">
        <v>6157972</v>
      </c>
      <c r="L188" s="3">
        <f t="shared" si="58"/>
        <v>6269073</v>
      </c>
    </row>
    <row r="189" spans="1:12" x14ac:dyDescent="0.25">
      <c r="A189" s="258"/>
      <c r="B189" s="253"/>
      <c r="C189" s="10" t="s">
        <v>42</v>
      </c>
      <c r="D189" s="3">
        <v>230000</v>
      </c>
      <c r="E189" s="3">
        <v>230000</v>
      </c>
      <c r="F189" s="3"/>
      <c r="G189" s="3"/>
      <c r="H189" s="3"/>
      <c r="I189" s="3"/>
      <c r="J189" s="3">
        <f t="shared" si="57"/>
        <v>230000</v>
      </c>
      <c r="K189" s="112">
        <v>38298</v>
      </c>
      <c r="L189" s="3">
        <f t="shared" si="58"/>
        <v>191702</v>
      </c>
    </row>
    <row r="190" spans="1:12" x14ac:dyDescent="0.25">
      <c r="A190" s="258"/>
      <c r="B190" s="253"/>
      <c r="C190" s="10" t="s">
        <v>43</v>
      </c>
      <c r="D190" s="3">
        <v>230000</v>
      </c>
      <c r="E190" s="3">
        <v>230000</v>
      </c>
      <c r="F190" s="3"/>
      <c r="G190" s="3"/>
      <c r="H190" s="3"/>
      <c r="I190" s="3"/>
      <c r="J190" s="3">
        <f t="shared" si="57"/>
        <v>230000</v>
      </c>
      <c r="K190" s="112">
        <v>0</v>
      </c>
      <c r="L190" s="3">
        <f t="shared" si="58"/>
        <v>230000</v>
      </c>
    </row>
    <row r="191" spans="1:12" x14ac:dyDescent="0.25">
      <c r="A191" s="258"/>
      <c r="B191" s="253"/>
      <c r="C191" s="10" t="s">
        <v>44</v>
      </c>
      <c r="D191" s="3">
        <v>5677830</v>
      </c>
      <c r="E191" s="3">
        <v>3445547</v>
      </c>
      <c r="F191" s="3"/>
      <c r="G191" s="3"/>
      <c r="H191" s="3"/>
      <c r="I191" s="3"/>
      <c r="J191" s="3">
        <f t="shared" si="57"/>
        <v>3445547</v>
      </c>
      <c r="K191" s="112">
        <v>1572297</v>
      </c>
      <c r="L191" s="3">
        <f t="shared" si="58"/>
        <v>1873250</v>
      </c>
    </row>
    <row r="192" spans="1:12" x14ac:dyDescent="0.25">
      <c r="A192" s="258"/>
      <c r="B192" s="253"/>
      <c r="C192" s="10" t="s">
        <v>45</v>
      </c>
      <c r="D192" s="3">
        <v>229990</v>
      </c>
      <c r="E192" s="3">
        <v>229990</v>
      </c>
      <c r="F192" s="3"/>
      <c r="G192" s="3"/>
      <c r="H192" s="3"/>
      <c r="I192" s="3"/>
      <c r="J192" s="3">
        <f t="shared" si="57"/>
        <v>229990</v>
      </c>
      <c r="K192" s="112">
        <v>0</v>
      </c>
      <c r="L192" s="3">
        <f t="shared" si="58"/>
        <v>229990</v>
      </c>
    </row>
    <row r="193" spans="1:12" x14ac:dyDescent="0.25">
      <c r="A193" s="258"/>
      <c r="B193" s="253"/>
      <c r="C193" s="6" t="s">
        <v>49</v>
      </c>
      <c r="D193" s="7">
        <f>SUM(D185:D192)</f>
        <v>46650091</v>
      </c>
      <c r="E193" s="7">
        <v>31875541</v>
      </c>
      <c r="F193" s="7">
        <f t="shared" ref="F193:L193" si="61">SUM(F185:F192)</f>
        <v>0</v>
      </c>
      <c r="G193" s="7">
        <f t="shared" si="61"/>
        <v>0</v>
      </c>
      <c r="H193" s="7">
        <f t="shared" si="61"/>
        <v>0</v>
      </c>
      <c r="I193" s="7">
        <f t="shared" si="61"/>
        <v>0</v>
      </c>
      <c r="J193" s="7">
        <f t="shared" si="61"/>
        <v>31875541</v>
      </c>
      <c r="K193" s="114">
        <f t="shared" si="61"/>
        <v>8139526</v>
      </c>
      <c r="L193" s="7">
        <f t="shared" si="61"/>
        <v>23736015</v>
      </c>
    </row>
    <row r="194" spans="1:12" x14ac:dyDescent="0.25">
      <c r="A194" s="258"/>
      <c r="B194" s="253"/>
      <c r="C194" s="10" t="s">
        <v>56</v>
      </c>
      <c r="D194" s="3">
        <v>0</v>
      </c>
      <c r="E194" s="3">
        <v>0</v>
      </c>
      <c r="F194" s="3"/>
      <c r="G194" s="3"/>
      <c r="H194" s="3"/>
      <c r="I194" s="3"/>
      <c r="J194" s="3">
        <f t="shared" ref="J194:J196" si="62">E194+F194+G194+H194+I194</f>
        <v>0</v>
      </c>
      <c r="K194" s="112">
        <v>0</v>
      </c>
      <c r="L194" s="3">
        <f t="shared" ref="L194:L196" si="63">J194-K194</f>
        <v>0</v>
      </c>
    </row>
    <row r="195" spans="1:12" x14ac:dyDescent="0.25">
      <c r="A195" s="258"/>
      <c r="B195" s="253"/>
      <c r="C195" s="10" t="s">
        <v>50</v>
      </c>
      <c r="D195" s="3">
        <v>3740</v>
      </c>
      <c r="E195" s="3">
        <v>3740</v>
      </c>
      <c r="F195" s="3"/>
      <c r="G195" s="3"/>
      <c r="H195" s="3"/>
      <c r="I195" s="3"/>
      <c r="J195" s="3">
        <f t="shared" si="62"/>
        <v>3740</v>
      </c>
      <c r="K195" s="112">
        <v>0</v>
      </c>
      <c r="L195" s="3">
        <f t="shared" si="63"/>
        <v>3740</v>
      </c>
    </row>
    <row r="196" spans="1:12" x14ac:dyDescent="0.25">
      <c r="A196" s="258"/>
      <c r="B196" s="253"/>
      <c r="C196" s="10" t="s">
        <v>51</v>
      </c>
      <c r="D196" s="3">
        <v>1010</v>
      </c>
      <c r="E196" s="3">
        <v>1010</v>
      </c>
      <c r="F196" s="3"/>
      <c r="G196" s="3"/>
      <c r="H196" s="3"/>
      <c r="I196" s="3"/>
      <c r="J196" s="3">
        <f t="shared" si="62"/>
        <v>1010</v>
      </c>
      <c r="K196" s="112">
        <v>0</v>
      </c>
      <c r="L196" s="3">
        <f t="shared" si="63"/>
        <v>1010</v>
      </c>
    </row>
    <row r="197" spans="1:12" x14ac:dyDescent="0.25">
      <c r="A197" s="258"/>
      <c r="B197" s="253"/>
      <c r="C197" s="6" t="s">
        <v>52</v>
      </c>
      <c r="D197" s="7">
        <f>SUM(D194:D196)</f>
        <v>4750</v>
      </c>
      <c r="E197" s="7">
        <v>4750</v>
      </c>
      <c r="F197" s="7">
        <f t="shared" ref="F197:L197" si="64">SUM(F194:F196)</f>
        <v>0</v>
      </c>
      <c r="G197" s="7">
        <f t="shared" si="64"/>
        <v>0</v>
      </c>
      <c r="H197" s="7">
        <f t="shared" si="64"/>
        <v>0</v>
      </c>
      <c r="I197" s="7">
        <f t="shared" si="64"/>
        <v>0</v>
      </c>
      <c r="J197" s="7">
        <f t="shared" si="64"/>
        <v>4750</v>
      </c>
      <c r="K197" s="114">
        <f t="shared" si="64"/>
        <v>0</v>
      </c>
      <c r="L197" s="7">
        <f t="shared" si="64"/>
        <v>4750</v>
      </c>
    </row>
    <row r="198" spans="1:12" x14ac:dyDescent="0.25">
      <c r="A198" s="258"/>
      <c r="B198" s="254"/>
      <c r="C198" s="10" t="s">
        <v>57</v>
      </c>
      <c r="D198" s="3">
        <v>0</v>
      </c>
      <c r="E198" s="3">
        <v>10500000</v>
      </c>
      <c r="F198" s="3"/>
      <c r="G198" s="3"/>
      <c r="H198" s="3"/>
      <c r="I198" s="3"/>
      <c r="J198" s="3">
        <f t="shared" ref="J198" si="65">E198+F198+G198+H198+I198</f>
        <v>10500000</v>
      </c>
      <c r="K198" s="112">
        <v>10500000</v>
      </c>
      <c r="L198" s="3">
        <f t="shared" ref="L198" si="66">J198-K198</f>
        <v>0</v>
      </c>
    </row>
    <row r="199" spans="1:12" x14ac:dyDescent="0.25">
      <c r="A199" s="304" t="s">
        <v>81</v>
      </c>
      <c r="B199" s="305"/>
      <c r="C199" s="306"/>
      <c r="D199" s="84">
        <f>SUM(D183+D184+D193+D197+D198)</f>
        <v>60094558</v>
      </c>
      <c r="E199" s="84">
        <v>60094558</v>
      </c>
      <c r="F199" s="84">
        <f t="shared" ref="F199:L199" si="67">SUM(F183+F184+F193+F197+F198)</f>
        <v>0</v>
      </c>
      <c r="G199" s="84">
        <f t="shared" si="67"/>
        <v>0</v>
      </c>
      <c r="H199" s="84">
        <f t="shared" si="67"/>
        <v>0</v>
      </c>
      <c r="I199" s="84">
        <f t="shared" si="67"/>
        <v>0</v>
      </c>
      <c r="J199" s="84">
        <f t="shared" si="67"/>
        <v>60094558</v>
      </c>
      <c r="K199" s="116">
        <f t="shared" si="67"/>
        <v>31172807</v>
      </c>
      <c r="L199" s="84">
        <f t="shared" si="67"/>
        <v>28921751</v>
      </c>
    </row>
    <row r="200" spans="1:12" x14ac:dyDescent="0.25">
      <c r="A200" s="256" t="s">
        <v>85</v>
      </c>
      <c r="B200" s="252" t="s">
        <v>46</v>
      </c>
      <c r="C200" s="12" t="s">
        <v>24</v>
      </c>
      <c r="D200" s="3">
        <v>9880165</v>
      </c>
      <c r="E200" s="3">
        <v>9562762</v>
      </c>
      <c r="F200" s="3"/>
      <c r="G200" s="3"/>
      <c r="H200" s="3"/>
      <c r="I200" s="3"/>
      <c r="J200" s="20">
        <f t="shared" ref="J200:J205" si="68">E200+F200+G200+H200+I200</f>
        <v>9562762</v>
      </c>
      <c r="K200" s="112">
        <v>8503029</v>
      </c>
      <c r="L200" s="3">
        <f t="shared" ref="L200:L205" si="69">J200-K200</f>
        <v>1059733</v>
      </c>
    </row>
    <row r="201" spans="1:12" x14ac:dyDescent="0.25">
      <c r="A201" s="256"/>
      <c r="B201" s="253"/>
      <c r="C201" s="12" t="s">
        <v>25</v>
      </c>
      <c r="D201" s="3">
        <v>400000</v>
      </c>
      <c r="E201" s="3">
        <v>400000</v>
      </c>
      <c r="F201" s="3"/>
      <c r="G201" s="3"/>
      <c r="H201" s="3"/>
      <c r="I201" s="3"/>
      <c r="J201" s="20">
        <f t="shared" si="68"/>
        <v>400000</v>
      </c>
      <c r="K201" s="112">
        <v>400000</v>
      </c>
      <c r="L201" s="3">
        <f t="shared" si="69"/>
        <v>0</v>
      </c>
    </row>
    <row r="202" spans="1:12" x14ac:dyDescent="0.25">
      <c r="A202" s="256"/>
      <c r="B202" s="253"/>
      <c r="C202" s="12" t="s">
        <v>26</v>
      </c>
      <c r="D202" s="3">
        <v>20000</v>
      </c>
      <c r="E202" s="3">
        <v>20000</v>
      </c>
      <c r="F202" s="3"/>
      <c r="G202" s="3"/>
      <c r="H202" s="3"/>
      <c r="I202" s="3"/>
      <c r="J202" s="20">
        <f t="shared" si="68"/>
        <v>20000</v>
      </c>
      <c r="K202" s="112">
        <v>20000</v>
      </c>
      <c r="L202" s="3">
        <f t="shared" si="69"/>
        <v>0</v>
      </c>
    </row>
    <row r="203" spans="1:12" x14ac:dyDescent="0.25">
      <c r="A203" s="256"/>
      <c r="B203" s="253"/>
      <c r="C203" s="2" t="s">
        <v>27</v>
      </c>
      <c r="D203" s="3">
        <v>75000</v>
      </c>
      <c r="E203" s="3">
        <v>90912</v>
      </c>
      <c r="F203" s="3"/>
      <c r="G203" s="3"/>
      <c r="H203" s="3"/>
      <c r="I203" s="3"/>
      <c r="J203" s="20">
        <f t="shared" si="68"/>
        <v>90912</v>
      </c>
      <c r="K203" s="112">
        <v>30600</v>
      </c>
      <c r="L203" s="3">
        <f t="shared" si="69"/>
        <v>60312</v>
      </c>
    </row>
    <row r="204" spans="1:12" x14ac:dyDescent="0.25">
      <c r="A204" s="256"/>
      <c r="B204" s="253"/>
      <c r="C204" s="2" t="s">
        <v>28</v>
      </c>
      <c r="D204" s="3">
        <v>48000</v>
      </c>
      <c r="E204" s="3">
        <v>48000</v>
      </c>
      <c r="F204" s="3"/>
      <c r="G204" s="3"/>
      <c r="H204" s="3"/>
      <c r="I204" s="3"/>
      <c r="J204" s="20">
        <f t="shared" si="68"/>
        <v>48000</v>
      </c>
      <c r="K204" s="112">
        <v>48000</v>
      </c>
      <c r="L204" s="3">
        <f t="shared" si="69"/>
        <v>0</v>
      </c>
    </row>
    <row r="205" spans="1:12" x14ac:dyDescent="0.25">
      <c r="A205" s="256"/>
      <c r="B205" s="253"/>
      <c r="C205" s="2" t="s">
        <v>29</v>
      </c>
      <c r="D205" s="3">
        <v>264000</v>
      </c>
      <c r="E205" s="3">
        <v>670126</v>
      </c>
      <c r="F205" s="3"/>
      <c r="G205" s="3"/>
      <c r="H205" s="3"/>
      <c r="I205" s="3"/>
      <c r="J205" s="20">
        <f t="shared" si="68"/>
        <v>670126</v>
      </c>
      <c r="K205" s="112">
        <v>521726</v>
      </c>
      <c r="L205" s="3">
        <f t="shared" si="69"/>
        <v>148400</v>
      </c>
    </row>
    <row r="206" spans="1:12" x14ac:dyDescent="0.25">
      <c r="A206" s="256"/>
      <c r="B206" s="253"/>
      <c r="C206" s="26" t="s">
        <v>53</v>
      </c>
      <c r="D206" s="7">
        <f>SUM(D200:D205)</f>
        <v>10687165</v>
      </c>
      <c r="E206" s="7">
        <v>10791800</v>
      </c>
      <c r="F206" s="7">
        <f t="shared" ref="F206:L206" si="70">SUM(F200:F205)</f>
        <v>0</v>
      </c>
      <c r="G206" s="7">
        <f t="shared" si="70"/>
        <v>0</v>
      </c>
      <c r="H206" s="7">
        <f t="shared" si="70"/>
        <v>0</v>
      </c>
      <c r="I206" s="7">
        <f t="shared" si="70"/>
        <v>0</v>
      </c>
      <c r="J206" s="7">
        <f t="shared" si="70"/>
        <v>10791800</v>
      </c>
      <c r="K206" s="114">
        <f t="shared" si="70"/>
        <v>9523355</v>
      </c>
      <c r="L206" s="7">
        <f t="shared" si="70"/>
        <v>1268445</v>
      </c>
    </row>
    <row r="207" spans="1:12" x14ac:dyDescent="0.25">
      <c r="A207" s="256"/>
      <c r="B207" s="253"/>
      <c r="C207" s="90" t="s">
        <v>31</v>
      </c>
      <c r="D207" s="91">
        <v>2120857</v>
      </c>
      <c r="E207" s="91">
        <v>2120857</v>
      </c>
      <c r="F207" s="92"/>
      <c r="G207" s="92"/>
      <c r="H207" s="92"/>
      <c r="I207" s="92"/>
      <c r="J207" s="88">
        <f t="shared" ref="J207:J215" si="71">E207+F207+G207+H207+I207</f>
        <v>2120857</v>
      </c>
      <c r="K207" s="115">
        <v>1872358</v>
      </c>
      <c r="L207" s="89">
        <f t="shared" ref="L207:L215" si="72">J207-K207</f>
        <v>248499</v>
      </c>
    </row>
    <row r="208" spans="1:12" x14ac:dyDescent="0.25">
      <c r="A208" s="256"/>
      <c r="B208" s="253"/>
      <c r="C208" s="176" t="s">
        <v>32</v>
      </c>
      <c r="D208" s="173">
        <v>0</v>
      </c>
      <c r="E208" s="173">
        <v>13514</v>
      </c>
      <c r="F208" s="173">
        <v>20000</v>
      </c>
      <c r="G208" s="173"/>
      <c r="H208" s="173"/>
      <c r="I208" s="173"/>
      <c r="J208" s="174">
        <f t="shared" si="71"/>
        <v>33514</v>
      </c>
      <c r="K208" s="118">
        <v>13514</v>
      </c>
      <c r="L208" s="175">
        <f t="shared" si="72"/>
        <v>20000</v>
      </c>
    </row>
    <row r="209" spans="1:12" x14ac:dyDescent="0.25">
      <c r="A209" s="256"/>
      <c r="B209" s="253"/>
      <c r="C209" s="103" t="s">
        <v>33</v>
      </c>
      <c r="D209" s="104">
        <v>0</v>
      </c>
      <c r="E209" s="104">
        <v>186928</v>
      </c>
      <c r="F209" s="104"/>
      <c r="G209" s="104"/>
      <c r="H209" s="104"/>
      <c r="I209" s="104"/>
      <c r="J209" s="20">
        <f t="shared" si="71"/>
        <v>186928</v>
      </c>
      <c r="K209" s="118">
        <v>30769</v>
      </c>
      <c r="L209" s="3">
        <f t="shared" si="72"/>
        <v>156159</v>
      </c>
    </row>
    <row r="210" spans="1:12" x14ac:dyDescent="0.25">
      <c r="A210" s="256"/>
      <c r="B210" s="253"/>
      <c r="C210" s="46" t="s">
        <v>35</v>
      </c>
      <c r="D210" s="47">
        <v>0</v>
      </c>
      <c r="E210" s="47">
        <v>172800</v>
      </c>
      <c r="F210" s="47">
        <v>20000</v>
      </c>
      <c r="G210" s="47"/>
      <c r="H210" s="47"/>
      <c r="I210" s="47"/>
      <c r="J210" s="20">
        <f t="shared" si="71"/>
        <v>192800</v>
      </c>
      <c r="K210" s="118">
        <v>39564</v>
      </c>
      <c r="L210" s="3">
        <f t="shared" si="72"/>
        <v>153236</v>
      </c>
    </row>
    <row r="211" spans="1:12" x14ac:dyDescent="0.25">
      <c r="A211" s="256"/>
      <c r="B211" s="253"/>
      <c r="C211" s="102" t="s">
        <v>38</v>
      </c>
      <c r="D211" s="47">
        <v>0</v>
      </c>
      <c r="E211" s="47">
        <v>8500</v>
      </c>
      <c r="F211" s="47">
        <v>20000</v>
      </c>
      <c r="G211" s="47"/>
      <c r="H211" s="47"/>
      <c r="I211" s="47"/>
      <c r="J211" s="20">
        <f t="shared" si="71"/>
        <v>28500</v>
      </c>
      <c r="K211" s="118">
        <v>8300</v>
      </c>
      <c r="L211" s="3">
        <f t="shared" si="72"/>
        <v>20200</v>
      </c>
    </row>
    <row r="212" spans="1:12" x14ac:dyDescent="0.25">
      <c r="A212" s="256"/>
      <c r="B212" s="253"/>
      <c r="C212" s="135" t="s">
        <v>41</v>
      </c>
      <c r="D212" s="47">
        <v>0</v>
      </c>
      <c r="E212" s="47">
        <v>21685</v>
      </c>
      <c r="F212" s="47"/>
      <c r="G212" s="47"/>
      <c r="H212" s="47"/>
      <c r="I212" s="47"/>
      <c r="J212" s="20">
        <f t="shared" si="71"/>
        <v>21685</v>
      </c>
      <c r="K212" s="118">
        <v>1685</v>
      </c>
      <c r="L212" s="3">
        <f t="shared" si="72"/>
        <v>20000</v>
      </c>
    </row>
    <row r="213" spans="1:12" x14ac:dyDescent="0.25">
      <c r="A213" s="256"/>
      <c r="B213" s="253"/>
      <c r="C213" s="46" t="s">
        <v>42</v>
      </c>
      <c r="D213" s="47">
        <v>0</v>
      </c>
      <c r="E213" s="47">
        <v>128910</v>
      </c>
      <c r="F213" s="47">
        <v>100000</v>
      </c>
      <c r="G213" s="47"/>
      <c r="H213" s="47"/>
      <c r="I213" s="47"/>
      <c r="J213" s="20">
        <f t="shared" si="71"/>
        <v>228910</v>
      </c>
      <c r="K213" s="118">
        <v>100500</v>
      </c>
      <c r="L213" s="3">
        <f t="shared" si="72"/>
        <v>128410</v>
      </c>
    </row>
    <row r="214" spans="1:12" x14ac:dyDescent="0.25">
      <c r="A214" s="256"/>
      <c r="B214" s="253"/>
      <c r="C214" s="46" t="s">
        <v>44</v>
      </c>
      <c r="D214" s="47">
        <v>0</v>
      </c>
      <c r="E214" s="47">
        <v>112541</v>
      </c>
      <c r="F214" s="47">
        <v>31295</v>
      </c>
      <c r="G214" s="47"/>
      <c r="H214" s="47"/>
      <c r="I214" s="47"/>
      <c r="J214" s="20">
        <f t="shared" si="71"/>
        <v>143836</v>
      </c>
      <c r="K214" s="118">
        <v>44015</v>
      </c>
      <c r="L214" s="3">
        <f t="shared" si="72"/>
        <v>99821</v>
      </c>
    </row>
    <row r="215" spans="1:12" x14ac:dyDescent="0.25">
      <c r="A215" s="256"/>
      <c r="B215" s="253"/>
      <c r="C215" s="46" t="s">
        <v>45</v>
      </c>
      <c r="D215" s="47">
        <v>0</v>
      </c>
      <c r="E215" s="47">
        <v>329654</v>
      </c>
      <c r="F215" s="47">
        <v>50000</v>
      </c>
      <c r="G215" s="47"/>
      <c r="H215" s="47"/>
      <c r="I215" s="47"/>
      <c r="J215" s="20">
        <f t="shared" si="71"/>
        <v>379654</v>
      </c>
      <c r="K215" s="118">
        <v>237279</v>
      </c>
      <c r="L215" s="60">
        <f t="shared" si="72"/>
        <v>142375</v>
      </c>
    </row>
    <row r="216" spans="1:12" x14ac:dyDescent="0.25">
      <c r="A216" s="257"/>
      <c r="B216" s="254"/>
      <c r="C216" s="49" t="s">
        <v>49</v>
      </c>
      <c r="D216" s="50">
        <f t="shared" ref="D216:I216" si="73">SUM(D208:D215)</f>
        <v>0</v>
      </c>
      <c r="E216" s="50">
        <v>974532</v>
      </c>
      <c r="F216" s="50">
        <f t="shared" si="73"/>
        <v>241295</v>
      </c>
      <c r="G216" s="50">
        <f t="shared" si="73"/>
        <v>0</v>
      </c>
      <c r="H216" s="50">
        <f t="shared" si="73"/>
        <v>0</v>
      </c>
      <c r="I216" s="50">
        <f t="shared" si="73"/>
        <v>0</v>
      </c>
      <c r="J216" s="50">
        <f>SUM(J208:J215)</f>
        <v>1215827</v>
      </c>
      <c r="K216" s="50">
        <f t="shared" ref="K216:L216" si="74">SUM(K208:K215)</f>
        <v>475626</v>
      </c>
      <c r="L216" s="50">
        <f t="shared" si="74"/>
        <v>740201</v>
      </c>
    </row>
    <row r="217" spans="1:12" x14ac:dyDescent="0.25">
      <c r="A217" s="258" t="s">
        <v>68</v>
      </c>
      <c r="B217" s="267" t="s">
        <v>46</v>
      </c>
      <c r="C217" s="16" t="s">
        <v>24</v>
      </c>
      <c r="D217" s="17">
        <v>2501556</v>
      </c>
      <c r="E217" s="17">
        <v>2501556</v>
      </c>
      <c r="F217" s="17"/>
      <c r="G217" s="17"/>
      <c r="H217" s="17">
        <v>5602</v>
      </c>
      <c r="I217" s="17"/>
      <c r="J217" s="20">
        <f>E217+F217+G217+H217+I217</f>
        <v>2507158</v>
      </c>
      <c r="K217" s="112">
        <v>2348572</v>
      </c>
      <c r="L217" s="3">
        <f t="shared" ref="L217:L218" si="75">J217-K217</f>
        <v>158586</v>
      </c>
    </row>
    <row r="218" spans="1:12" x14ac:dyDescent="0.25">
      <c r="A218" s="255"/>
      <c r="B218" s="261"/>
      <c r="C218" s="18" t="s">
        <v>31</v>
      </c>
      <c r="D218" s="19">
        <v>466569</v>
      </c>
      <c r="E218" s="19">
        <v>466569</v>
      </c>
      <c r="F218" s="19"/>
      <c r="G218" s="19"/>
      <c r="H218" s="19">
        <v>1273</v>
      </c>
      <c r="I218" s="19"/>
      <c r="J218" s="20">
        <f t="shared" ref="J218" si="76">E218+F218+G218+H218+I218</f>
        <v>467842</v>
      </c>
      <c r="K218" s="112">
        <v>440088</v>
      </c>
      <c r="L218" s="3">
        <f t="shared" si="75"/>
        <v>27754</v>
      </c>
    </row>
    <row r="219" spans="1:12" x14ac:dyDescent="0.25">
      <c r="A219" s="304" t="s">
        <v>82</v>
      </c>
      <c r="B219" s="305"/>
      <c r="C219" s="306"/>
      <c r="D219" s="82">
        <f>SUM(D206+D207+D217+D218+D216)</f>
        <v>15776147</v>
      </c>
      <c r="E219" s="82">
        <f t="shared" ref="E219:I219" si="77">SUM(E206+E207+E217+E218+E216)</f>
        <v>16855314</v>
      </c>
      <c r="F219" s="82">
        <f t="shared" si="77"/>
        <v>241295</v>
      </c>
      <c r="G219" s="82">
        <f t="shared" si="77"/>
        <v>0</v>
      </c>
      <c r="H219" s="82">
        <f t="shared" si="77"/>
        <v>6875</v>
      </c>
      <c r="I219" s="82">
        <f t="shared" si="77"/>
        <v>0</v>
      </c>
      <c r="J219" s="82">
        <f>SUM(J206+J207+J217+J218+J216)</f>
        <v>17103484</v>
      </c>
      <c r="K219" s="120">
        <f>SUM(K206+K207+K217+K218+K216)</f>
        <v>14659999</v>
      </c>
      <c r="L219" s="83">
        <f>SUM(L206+L207+L217+L218+L216)</f>
        <v>2443485</v>
      </c>
    </row>
    <row r="220" spans="1:12" ht="30.75" customHeight="1" x14ac:dyDescent="0.25">
      <c r="A220" s="380" t="s">
        <v>74</v>
      </c>
      <c r="B220" s="381"/>
      <c r="C220" s="382"/>
      <c r="D220" s="167">
        <f t="shared" ref="D220:K220" si="78">SUM(D89+D114+D136+D157+D180+D199+D219)</f>
        <v>230443641</v>
      </c>
      <c r="E220" s="167">
        <f t="shared" si="78"/>
        <v>231861839</v>
      </c>
      <c r="F220" s="167">
        <f t="shared" si="78"/>
        <v>0</v>
      </c>
      <c r="G220" s="167">
        <f t="shared" si="78"/>
        <v>-420313</v>
      </c>
      <c r="H220" s="167">
        <f t="shared" si="78"/>
        <v>-1071771</v>
      </c>
      <c r="I220" s="167">
        <f t="shared" si="78"/>
        <v>0</v>
      </c>
      <c r="J220" s="167">
        <f t="shared" si="78"/>
        <v>230369755</v>
      </c>
      <c r="K220" s="168">
        <f t="shared" si="78"/>
        <v>174204754</v>
      </c>
      <c r="L220" s="167">
        <f>SUM(L89+L114+L136+L157+L180+L199+L219)</f>
        <v>56165001</v>
      </c>
    </row>
    <row r="221" spans="1:12" x14ac:dyDescent="0.25">
      <c r="B221" s="5"/>
      <c r="E221" s="4"/>
      <c r="F221" s="4"/>
      <c r="G221" s="4"/>
      <c r="H221" s="4"/>
      <c r="I221" s="4"/>
      <c r="J221" s="4"/>
      <c r="K221" s="111"/>
    </row>
    <row r="222" spans="1:12" x14ac:dyDescent="0.25">
      <c r="B222" s="5"/>
      <c r="E222" s="4"/>
      <c r="F222" s="4"/>
      <c r="G222" s="4"/>
      <c r="H222" s="4"/>
      <c r="I222" s="4"/>
      <c r="J222" s="4"/>
      <c r="K222" s="111"/>
    </row>
    <row r="223" spans="1:12" x14ac:dyDescent="0.25">
      <c r="B223" s="5"/>
      <c r="E223" s="4"/>
      <c r="F223" s="4"/>
      <c r="G223" s="4"/>
      <c r="H223" s="4"/>
      <c r="I223" s="4"/>
      <c r="J223" s="4"/>
      <c r="K223" s="111"/>
    </row>
    <row r="224" spans="1:12" x14ac:dyDescent="0.25">
      <c r="B224" s="5"/>
      <c r="E224" s="4"/>
      <c r="F224" s="4"/>
      <c r="G224" s="4"/>
      <c r="H224" s="4"/>
      <c r="I224" s="4"/>
      <c r="J224" s="4"/>
      <c r="K224" s="111"/>
    </row>
    <row r="225" spans="1:11" x14ac:dyDescent="0.25">
      <c r="B225" s="5"/>
      <c r="E225" s="4"/>
      <c r="F225" s="4"/>
      <c r="G225" s="4"/>
      <c r="H225" s="4"/>
      <c r="I225" s="4"/>
      <c r="J225" s="4"/>
      <c r="K225" s="111"/>
    </row>
    <row r="226" spans="1:11" ht="15.75" thickBot="1" x14ac:dyDescent="0.3">
      <c r="B226" s="5"/>
      <c r="E226" s="4"/>
      <c r="F226" s="4"/>
      <c r="G226" s="134">
        <v>43769</v>
      </c>
      <c r="H226" s="4"/>
      <c r="I226" s="4"/>
      <c r="J226" s="4"/>
      <c r="K226" s="111"/>
    </row>
    <row r="227" spans="1:11" ht="15.75" thickTop="1" x14ac:dyDescent="0.25">
      <c r="A227" s="250" t="s">
        <v>83</v>
      </c>
      <c r="B227" s="250"/>
      <c r="C227" s="250"/>
      <c r="D227" s="250"/>
      <c r="E227" s="250"/>
      <c r="F227" s="250"/>
      <c r="G227" s="250"/>
      <c r="H227" s="250"/>
      <c r="I227" s="250"/>
      <c r="J227" s="250"/>
      <c r="K227" s="250"/>
    </row>
    <row r="228" spans="1:11" s="172" customFormat="1" ht="33.75" customHeight="1" x14ac:dyDescent="0.25">
      <c r="A228" s="298" t="s">
        <v>0</v>
      </c>
      <c r="B228" s="299"/>
      <c r="C228" s="75" t="s">
        <v>3</v>
      </c>
      <c r="D228" s="75" t="s">
        <v>4</v>
      </c>
      <c r="E228" s="77" t="s">
        <v>119</v>
      </c>
      <c r="F228" s="171" t="s">
        <v>70</v>
      </c>
      <c r="G228" s="109" t="s">
        <v>163</v>
      </c>
      <c r="H228" s="110" t="s">
        <v>71</v>
      </c>
      <c r="I228" s="77" t="s">
        <v>71</v>
      </c>
      <c r="J228" s="77" t="s">
        <v>159</v>
      </c>
      <c r="K228" s="78" t="s">
        <v>161</v>
      </c>
    </row>
    <row r="229" spans="1:11" x14ac:dyDescent="0.25">
      <c r="A229" s="300"/>
      <c r="B229" s="301"/>
      <c r="C229" s="33" t="s">
        <v>16</v>
      </c>
      <c r="D229" s="61">
        <f t="shared" ref="D229:K230" si="79">D5+D15+D17+D19+D21+D23</f>
        <v>117230959</v>
      </c>
      <c r="E229" s="61">
        <f t="shared" si="79"/>
        <v>115273157</v>
      </c>
      <c r="F229" s="61">
        <f t="shared" si="79"/>
        <v>0</v>
      </c>
      <c r="G229" s="61">
        <f t="shared" si="79"/>
        <v>0</v>
      </c>
      <c r="H229" s="61">
        <f t="shared" si="79"/>
        <v>0</v>
      </c>
      <c r="I229" s="61">
        <f t="shared" si="79"/>
        <v>0</v>
      </c>
      <c r="J229" s="61">
        <f t="shared" si="79"/>
        <v>115273157</v>
      </c>
      <c r="K229" s="61">
        <f t="shared" si="79"/>
        <v>84543777</v>
      </c>
    </row>
    <row r="230" spans="1:11" x14ac:dyDescent="0.25">
      <c r="A230" s="300"/>
      <c r="B230" s="301"/>
      <c r="C230" s="33" t="s">
        <v>17</v>
      </c>
      <c r="D230" s="61">
        <f t="shared" si="79"/>
        <v>16012810</v>
      </c>
      <c r="E230" s="61">
        <f t="shared" si="79"/>
        <v>16012810</v>
      </c>
      <c r="F230" s="61">
        <f t="shared" si="79"/>
        <v>0</v>
      </c>
      <c r="G230" s="61">
        <f t="shared" si="79"/>
        <v>0</v>
      </c>
      <c r="H230" s="61">
        <f t="shared" si="79"/>
        <v>0</v>
      </c>
      <c r="I230" s="61">
        <f t="shared" si="79"/>
        <v>0</v>
      </c>
      <c r="J230" s="61">
        <f t="shared" si="79"/>
        <v>16012810</v>
      </c>
      <c r="K230" s="61">
        <f t="shared" si="79"/>
        <v>16012810</v>
      </c>
    </row>
    <row r="231" spans="1:11" x14ac:dyDescent="0.25">
      <c r="A231" s="300"/>
      <c r="B231" s="301"/>
      <c r="C231" s="33" t="s">
        <v>18</v>
      </c>
      <c r="D231" s="61">
        <f t="shared" ref="D231:K233" si="80">D8</f>
        <v>96985672</v>
      </c>
      <c r="E231" s="61">
        <f t="shared" si="80"/>
        <v>100329672</v>
      </c>
      <c r="F231" s="61">
        <f t="shared" si="80"/>
        <v>0</v>
      </c>
      <c r="G231" s="61">
        <f t="shared" si="80"/>
        <v>-420313</v>
      </c>
      <c r="H231" s="61">
        <f t="shared" si="80"/>
        <v>-1071771</v>
      </c>
      <c r="I231" s="61">
        <f t="shared" si="80"/>
        <v>0</v>
      </c>
      <c r="J231" s="61">
        <f t="shared" si="80"/>
        <v>98837588</v>
      </c>
      <c r="K231" s="61">
        <f t="shared" si="80"/>
        <v>82183746</v>
      </c>
    </row>
    <row r="232" spans="1:11" x14ac:dyDescent="0.25">
      <c r="A232" s="300"/>
      <c r="B232" s="301"/>
      <c r="C232" s="35" t="s">
        <v>22</v>
      </c>
      <c r="D232" s="61">
        <f>D9+D7</f>
        <v>200000</v>
      </c>
      <c r="E232" s="61">
        <f t="shared" ref="E232:K232" si="81">E9+E7</f>
        <v>200000</v>
      </c>
      <c r="F232" s="61">
        <f t="shared" si="81"/>
        <v>0</v>
      </c>
      <c r="G232" s="61">
        <f t="shared" si="81"/>
        <v>0</v>
      </c>
      <c r="H232" s="61">
        <f t="shared" si="81"/>
        <v>0</v>
      </c>
      <c r="I232" s="61">
        <f t="shared" si="81"/>
        <v>0</v>
      </c>
      <c r="J232" s="61">
        <f t="shared" si="81"/>
        <v>200000</v>
      </c>
      <c r="K232" s="61">
        <f t="shared" si="81"/>
        <v>200000</v>
      </c>
    </row>
    <row r="233" spans="1:11" x14ac:dyDescent="0.25">
      <c r="A233" s="300"/>
      <c r="B233" s="301"/>
      <c r="C233" s="35" t="s">
        <v>19</v>
      </c>
      <c r="D233" s="61">
        <f t="shared" si="80"/>
        <v>13200</v>
      </c>
      <c r="E233" s="61">
        <f t="shared" si="80"/>
        <v>31926</v>
      </c>
      <c r="F233" s="61">
        <f t="shared" si="80"/>
        <v>0</v>
      </c>
      <c r="G233" s="61">
        <f t="shared" si="80"/>
        <v>0</v>
      </c>
      <c r="H233" s="61">
        <f t="shared" si="80"/>
        <v>0</v>
      </c>
      <c r="I233" s="61">
        <f t="shared" si="80"/>
        <v>0</v>
      </c>
      <c r="J233" s="61">
        <f t="shared" si="80"/>
        <v>31926</v>
      </c>
      <c r="K233" s="61">
        <f t="shared" si="80"/>
        <v>25129</v>
      </c>
    </row>
    <row r="234" spans="1:11" x14ac:dyDescent="0.25">
      <c r="A234" s="300"/>
      <c r="B234" s="301"/>
      <c r="C234" s="35" t="s">
        <v>84</v>
      </c>
      <c r="D234" s="61">
        <f t="shared" ref="D234:K234" si="82">D14+D12</f>
        <v>0</v>
      </c>
      <c r="E234" s="61">
        <f t="shared" si="82"/>
        <v>12949</v>
      </c>
      <c r="F234" s="61">
        <f t="shared" si="82"/>
        <v>0</v>
      </c>
      <c r="G234" s="61">
        <f t="shared" si="82"/>
        <v>0</v>
      </c>
      <c r="H234" s="61">
        <f t="shared" si="82"/>
        <v>0</v>
      </c>
      <c r="I234" s="61">
        <f t="shared" si="82"/>
        <v>0</v>
      </c>
      <c r="J234" s="61">
        <f t="shared" si="82"/>
        <v>12949</v>
      </c>
      <c r="K234" s="61">
        <f t="shared" si="82"/>
        <v>7007</v>
      </c>
    </row>
    <row r="235" spans="1:11" x14ac:dyDescent="0.25">
      <c r="A235" s="300"/>
      <c r="B235" s="301"/>
      <c r="C235" s="33" t="s">
        <v>20</v>
      </c>
      <c r="D235" s="61">
        <f t="shared" ref="D235:K235" si="83">D11+D13</f>
        <v>1000</v>
      </c>
      <c r="E235" s="61">
        <f t="shared" si="83"/>
        <v>1325</v>
      </c>
      <c r="F235" s="61">
        <f t="shared" si="83"/>
        <v>0</v>
      </c>
      <c r="G235" s="61">
        <f t="shared" si="83"/>
        <v>0</v>
      </c>
      <c r="H235" s="61">
        <f t="shared" si="83"/>
        <v>0</v>
      </c>
      <c r="I235" s="61">
        <f t="shared" si="83"/>
        <v>0</v>
      </c>
      <c r="J235" s="61">
        <f t="shared" si="83"/>
        <v>1325</v>
      </c>
      <c r="K235" s="61">
        <f t="shared" si="83"/>
        <v>341</v>
      </c>
    </row>
    <row r="236" spans="1:11" x14ac:dyDescent="0.25">
      <c r="A236" s="300"/>
      <c r="B236" s="301"/>
      <c r="C236" s="65" t="s">
        <v>86</v>
      </c>
      <c r="D236" s="66">
        <f t="shared" ref="D236:K236" si="84">D14+D13+D12+D11+D10</f>
        <v>14200</v>
      </c>
      <c r="E236" s="66">
        <f t="shared" si="84"/>
        <v>46200</v>
      </c>
      <c r="F236" s="66">
        <f t="shared" si="84"/>
        <v>0</v>
      </c>
      <c r="G236" s="66">
        <f t="shared" si="84"/>
        <v>0</v>
      </c>
      <c r="H236" s="66">
        <f t="shared" si="84"/>
        <v>0</v>
      </c>
      <c r="I236" s="66">
        <f t="shared" si="84"/>
        <v>0</v>
      </c>
      <c r="J236" s="66">
        <f t="shared" si="84"/>
        <v>46200</v>
      </c>
      <c r="K236" s="66">
        <f t="shared" si="84"/>
        <v>32477</v>
      </c>
    </row>
    <row r="237" spans="1:11" x14ac:dyDescent="0.25">
      <c r="A237" s="300"/>
      <c r="B237" s="301"/>
      <c r="C237" s="65" t="s">
        <v>87</v>
      </c>
      <c r="D237" s="66">
        <f t="shared" ref="D237:K237" si="85">D24+D22+D20+D18+D16+D8+D6</f>
        <v>112998482</v>
      </c>
      <c r="E237" s="66">
        <f t="shared" si="85"/>
        <v>116342482</v>
      </c>
      <c r="F237" s="66">
        <f t="shared" si="85"/>
        <v>0</v>
      </c>
      <c r="G237" s="66">
        <f t="shared" si="85"/>
        <v>-420313</v>
      </c>
      <c r="H237" s="66">
        <f t="shared" si="85"/>
        <v>-1071771</v>
      </c>
      <c r="I237" s="66">
        <f t="shared" si="85"/>
        <v>0</v>
      </c>
      <c r="J237" s="66">
        <f t="shared" si="85"/>
        <v>114850398</v>
      </c>
      <c r="K237" s="66">
        <f t="shared" si="85"/>
        <v>98196556</v>
      </c>
    </row>
    <row r="238" spans="1:11" x14ac:dyDescent="0.25">
      <c r="A238" s="300"/>
      <c r="B238" s="301"/>
      <c r="C238" s="65" t="s">
        <v>94</v>
      </c>
      <c r="D238" s="66">
        <f t="shared" ref="D238:K238" si="86">D25</f>
        <v>230443641</v>
      </c>
      <c r="E238" s="66">
        <f t="shared" si="86"/>
        <v>231861839</v>
      </c>
      <c r="F238" s="66">
        <f t="shared" si="86"/>
        <v>0</v>
      </c>
      <c r="G238" s="66">
        <f t="shared" si="86"/>
        <v>-420313</v>
      </c>
      <c r="H238" s="66">
        <f t="shared" si="86"/>
        <v>-1071771</v>
      </c>
      <c r="I238" s="66">
        <f t="shared" si="86"/>
        <v>0</v>
      </c>
      <c r="J238" s="66">
        <f t="shared" si="86"/>
        <v>230369755</v>
      </c>
      <c r="K238" s="66">
        <f t="shared" si="86"/>
        <v>182972810</v>
      </c>
    </row>
    <row r="239" spans="1:11" x14ac:dyDescent="0.25">
      <c r="A239" s="300"/>
      <c r="B239" s="301"/>
      <c r="C239" s="33" t="s">
        <v>24</v>
      </c>
      <c r="D239" s="34">
        <f t="shared" ref="D239:I239" si="87">D90+D112+D115+D134+D137+D155+D158+D178+D200+D217+D181+D87+D85+D53+D26</f>
        <v>128356144</v>
      </c>
      <c r="E239" s="34">
        <f t="shared" si="87"/>
        <v>128328373</v>
      </c>
      <c r="F239" s="34">
        <f t="shared" si="87"/>
        <v>-556218</v>
      </c>
      <c r="G239" s="34">
        <f t="shared" si="87"/>
        <v>0</v>
      </c>
      <c r="H239" s="34">
        <f t="shared" si="87"/>
        <v>-908397</v>
      </c>
      <c r="I239" s="34">
        <f t="shared" si="87"/>
        <v>0</v>
      </c>
      <c r="J239" s="61">
        <f>J217+J200+J181+J178+J158+J155+J137+J134+J115+J112+J90+J87+J85+J53+J26</f>
        <v>126863758</v>
      </c>
      <c r="K239" s="61">
        <f>K217+K200+K181+K178+K158+K155+K137+K134+K115+K112+K90+K87+K85+K53+K26</f>
        <v>109384469</v>
      </c>
    </row>
    <row r="240" spans="1:11" x14ac:dyDescent="0.25">
      <c r="A240" s="300"/>
      <c r="B240" s="301"/>
      <c r="C240" s="33" t="s">
        <v>47</v>
      </c>
      <c r="D240" s="34">
        <f t="shared" ref="D240:K241" si="88">D54</f>
        <v>2040480</v>
      </c>
      <c r="E240" s="34">
        <f t="shared" si="88"/>
        <v>2040480</v>
      </c>
      <c r="F240" s="34">
        <f t="shared" si="88"/>
        <v>0</v>
      </c>
      <c r="G240" s="34">
        <f t="shared" si="88"/>
        <v>0</v>
      </c>
      <c r="H240" s="34">
        <f t="shared" si="88"/>
        <v>0</v>
      </c>
      <c r="I240" s="34">
        <f t="shared" si="88"/>
        <v>0</v>
      </c>
      <c r="J240" s="34">
        <f t="shared" si="88"/>
        <v>2040480</v>
      </c>
      <c r="K240" s="41">
        <f t="shared" si="88"/>
        <v>1755902</v>
      </c>
    </row>
    <row r="241" spans="1:12" x14ac:dyDescent="0.25">
      <c r="A241" s="300"/>
      <c r="B241" s="301"/>
      <c r="C241" s="33" t="s">
        <v>48</v>
      </c>
      <c r="D241" s="34">
        <f t="shared" si="88"/>
        <v>0</v>
      </c>
      <c r="E241" s="34">
        <f t="shared" si="88"/>
        <v>0</v>
      </c>
      <c r="F241" s="34">
        <f t="shared" si="88"/>
        <v>0</v>
      </c>
      <c r="G241" s="34">
        <f t="shared" si="88"/>
        <v>0</v>
      </c>
      <c r="H241" s="34">
        <f t="shared" si="88"/>
        <v>0</v>
      </c>
      <c r="I241" s="34">
        <f t="shared" si="88"/>
        <v>0</v>
      </c>
      <c r="J241" s="34">
        <f t="shared" si="88"/>
        <v>0</v>
      </c>
      <c r="K241" s="34">
        <f t="shared" si="88"/>
        <v>0</v>
      </c>
    </row>
    <row r="242" spans="1:12" x14ac:dyDescent="0.25">
      <c r="A242" s="300"/>
      <c r="B242" s="301"/>
      <c r="C242" s="35" t="s">
        <v>25</v>
      </c>
      <c r="D242" s="34">
        <f t="shared" ref="D242:K243" si="89">D201+D159+D138+D116+D91+D56+D27</f>
        <v>3992000</v>
      </c>
      <c r="E242" s="34">
        <f t="shared" si="89"/>
        <v>3992000</v>
      </c>
      <c r="F242" s="34">
        <f t="shared" si="89"/>
        <v>0</v>
      </c>
      <c r="G242" s="34">
        <f t="shared" si="89"/>
        <v>0</v>
      </c>
      <c r="H242" s="34">
        <f t="shared" si="89"/>
        <v>0</v>
      </c>
      <c r="I242" s="34">
        <f t="shared" si="89"/>
        <v>0</v>
      </c>
      <c r="J242" s="34">
        <f t="shared" si="89"/>
        <v>3992000</v>
      </c>
      <c r="K242" s="34">
        <f t="shared" si="89"/>
        <v>3752500</v>
      </c>
    </row>
    <row r="243" spans="1:12" x14ac:dyDescent="0.25">
      <c r="A243" s="300"/>
      <c r="B243" s="301"/>
      <c r="C243" s="35" t="s">
        <v>26</v>
      </c>
      <c r="D243" s="34">
        <f t="shared" si="89"/>
        <v>200000</v>
      </c>
      <c r="E243" s="34">
        <f t="shared" si="89"/>
        <v>200000</v>
      </c>
      <c r="F243" s="34">
        <f t="shared" si="89"/>
        <v>0</v>
      </c>
      <c r="G243" s="34">
        <f t="shared" si="89"/>
        <v>0</v>
      </c>
      <c r="H243" s="34">
        <f t="shared" si="89"/>
        <v>0</v>
      </c>
      <c r="I243" s="34">
        <f t="shared" si="89"/>
        <v>0</v>
      </c>
      <c r="J243" s="34">
        <f t="shared" si="89"/>
        <v>200000</v>
      </c>
      <c r="K243" s="34">
        <f t="shared" si="89"/>
        <v>185000</v>
      </c>
    </row>
    <row r="244" spans="1:12" x14ac:dyDescent="0.25">
      <c r="A244" s="300"/>
      <c r="B244" s="301"/>
      <c r="C244" s="33" t="s">
        <v>27</v>
      </c>
      <c r="D244" s="34">
        <f t="shared" ref="D244:K244" si="90">D203+D140+D93+D58+D29</f>
        <v>1661400</v>
      </c>
      <c r="E244" s="34">
        <f t="shared" si="90"/>
        <v>1661400</v>
      </c>
      <c r="F244" s="34">
        <f t="shared" si="90"/>
        <v>0</v>
      </c>
      <c r="G244" s="34">
        <f t="shared" si="90"/>
        <v>0</v>
      </c>
      <c r="H244" s="34">
        <f t="shared" si="90"/>
        <v>0</v>
      </c>
      <c r="I244" s="34">
        <f t="shared" si="90"/>
        <v>0</v>
      </c>
      <c r="J244" s="34">
        <f t="shared" si="90"/>
        <v>1661400</v>
      </c>
      <c r="K244" s="34">
        <f t="shared" si="90"/>
        <v>1155432</v>
      </c>
    </row>
    <row r="245" spans="1:12" x14ac:dyDescent="0.25">
      <c r="A245" s="300"/>
      <c r="B245" s="301"/>
      <c r="C245" s="35" t="s">
        <v>28</v>
      </c>
      <c r="D245" s="34">
        <f t="shared" ref="D245:K245" si="91">D204+D161+D141+D118+D59+D30+D94</f>
        <v>481000</v>
      </c>
      <c r="E245" s="34">
        <f t="shared" si="91"/>
        <v>481000</v>
      </c>
      <c r="F245" s="34">
        <f t="shared" si="91"/>
        <v>0</v>
      </c>
      <c r="G245" s="34">
        <f t="shared" si="91"/>
        <v>0</v>
      </c>
      <c r="H245" s="34">
        <f t="shared" si="91"/>
        <v>0</v>
      </c>
      <c r="I245" s="34">
        <f t="shared" si="91"/>
        <v>0</v>
      </c>
      <c r="J245" s="34">
        <f t="shared" si="91"/>
        <v>481000</v>
      </c>
      <c r="K245" s="34">
        <f t="shared" si="91"/>
        <v>444000</v>
      </c>
    </row>
    <row r="246" spans="1:12" x14ac:dyDescent="0.25">
      <c r="A246" s="300"/>
      <c r="B246" s="301"/>
      <c r="C246" s="33" t="s">
        <v>29</v>
      </c>
      <c r="D246" s="34">
        <f t="shared" ref="D246:K246" si="92">D205+D176+D162+D142+D119+D110+D95+D83+D81+D60+D31+D132</f>
        <v>3451400</v>
      </c>
      <c r="E246" s="34">
        <f t="shared" si="92"/>
        <v>4640408</v>
      </c>
      <c r="F246" s="34">
        <f t="shared" si="92"/>
        <v>528698</v>
      </c>
      <c r="G246" s="34">
        <f t="shared" si="92"/>
        <v>-355200</v>
      </c>
      <c r="H246" s="34">
        <f t="shared" si="92"/>
        <v>0</v>
      </c>
      <c r="I246" s="34">
        <f t="shared" si="92"/>
        <v>0</v>
      </c>
      <c r="J246" s="34">
        <f t="shared" si="92"/>
        <v>4813906</v>
      </c>
      <c r="K246" s="34">
        <f t="shared" si="92"/>
        <v>3719504</v>
      </c>
    </row>
    <row r="247" spans="1:12" x14ac:dyDescent="0.25">
      <c r="A247" s="300"/>
      <c r="B247" s="301"/>
      <c r="C247" s="35" t="s">
        <v>30</v>
      </c>
      <c r="D247" s="34">
        <f t="shared" ref="D247:J247" si="93">D163+D143+D120+D61+D32+D182+D96</f>
        <v>200000</v>
      </c>
      <c r="E247" s="34">
        <f t="shared" si="93"/>
        <v>200000</v>
      </c>
      <c r="F247" s="34">
        <f t="shared" si="93"/>
        <v>27520</v>
      </c>
      <c r="G247" s="34">
        <f t="shared" si="93"/>
        <v>0</v>
      </c>
      <c r="H247" s="34">
        <f t="shared" si="93"/>
        <v>0</v>
      </c>
      <c r="I247" s="34">
        <f t="shared" si="93"/>
        <v>0</v>
      </c>
      <c r="J247" s="34">
        <f t="shared" si="93"/>
        <v>227520</v>
      </c>
      <c r="K247" s="34">
        <f>K163+K143+K120+K61+K32+K182+K96</f>
        <v>163116</v>
      </c>
    </row>
    <row r="248" spans="1:12" x14ac:dyDescent="0.25">
      <c r="A248" s="300"/>
      <c r="B248" s="301"/>
      <c r="C248" s="65" t="s">
        <v>53</v>
      </c>
      <c r="D248" s="66">
        <f t="shared" ref="D248:K248" si="94">D206+D183+D164+D144+D217+D178+D155+D134+D132+D176+D121+D112+D110+D97+D87+D85+D83+D81+D62+D33</f>
        <v>140382424</v>
      </c>
      <c r="E248" s="66">
        <f t="shared" si="94"/>
        <v>141543661</v>
      </c>
      <c r="F248" s="66">
        <f t="shared" si="94"/>
        <v>0</v>
      </c>
      <c r="G248" s="66">
        <f t="shared" si="94"/>
        <v>-355200</v>
      </c>
      <c r="H248" s="66">
        <f t="shared" si="94"/>
        <v>-908397</v>
      </c>
      <c r="I248" s="66">
        <f t="shared" si="94"/>
        <v>0</v>
      </c>
      <c r="J248" s="66">
        <f t="shared" si="94"/>
        <v>140280064</v>
      </c>
      <c r="K248" s="66">
        <f t="shared" si="94"/>
        <v>120559923</v>
      </c>
    </row>
    <row r="249" spans="1:12" x14ac:dyDescent="0.25">
      <c r="A249" s="300"/>
      <c r="B249" s="301"/>
      <c r="C249" s="67" t="s">
        <v>31</v>
      </c>
      <c r="D249" s="66">
        <f t="shared" ref="D249:K249" si="95">D207+D184+D179+D177+D218+D165+D156+D145+D135+D133+D122+D113+D111+D98+D88+D86+D84+D82+D63+D34</f>
        <v>27536677</v>
      </c>
      <c r="E249" s="66">
        <f t="shared" si="95"/>
        <v>32036188</v>
      </c>
      <c r="F249" s="66">
        <f t="shared" si="95"/>
        <v>0</v>
      </c>
      <c r="G249" s="66">
        <f t="shared" si="95"/>
        <v>-65113</v>
      </c>
      <c r="H249" s="66">
        <f t="shared" si="95"/>
        <v>-163374</v>
      </c>
      <c r="I249" s="66">
        <f t="shared" si="95"/>
        <v>0</v>
      </c>
      <c r="J249" s="66">
        <f t="shared" si="95"/>
        <v>31807701</v>
      </c>
      <c r="K249" s="66">
        <f t="shared" si="95"/>
        <v>26560157</v>
      </c>
    </row>
    <row r="250" spans="1:12" x14ac:dyDescent="0.25">
      <c r="A250" s="300"/>
      <c r="B250" s="301"/>
      <c r="C250" s="33" t="s">
        <v>32</v>
      </c>
      <c r="D250" s="34">
        <f t="shared" ref="D250:K250" si="96">D166+D146+D123+D99+D64+D35+D208</f>
        <v>540000</v>
      </c>
      <c r="E250" s="34">
        <f t="shared" si="96"/>
        <v>500000</v>
      </c>
      <c r="F250" s="34">
        <f t="shared" si="96"/>
        <v>224254</v>
      </c>
      <c r="G250" s="34">
        <f t="shared" si="96"/>
        <v>0</v>
      </c>
      <c r="H250" s="34">
        <f t="shared" si="96"/>
        <v>0</v>
      </c>
      <c r="I250" s="34">
        <f t="shared" si="96"/>
        <v>0</v>
      </c>
      <c r="J250" s="34">
        <f t="shared" si="96"/>
        <v>724254</v>
      </c>
      <c r="K250" s="34">
        <f t="shared" si="96"/>
        <v>63152</v>
      </c>
    </row>
    <row r="251" spans="1:12" x14ac:dyDescent="0.25">
      <c r="A251" s="300"/>
      <c r="B251" s="301"/>
      <c r="C251" s="35" t="s">
        <v>33</v>
      </c>
      <c r="D251" s="34">
        <f t="shared" ref="D251:K251" si="97">D185+D167+D147+D124+D100+D65+D36+D209</f>
        <v>1700000</v>
      </c>
      <c r="E251" s="34">
        <f t="shared" si="97"/>
        <v>1909887</v>
      </c>
      <c r="F251" s="34">
        <f t="shared" si="97"/>
        <v>-292515</v>
      </c>
      <c r="G251" s="34">
        <f t="shared" si="97"/>
        <v>0</v>
      </c>
      <c r="H251" s="34">
        <f t="shared" si="97"/>
        <v>0</v>
      </c>
      <c r="I251" s="34">
        <f t="shared" si="97"/>
        <v>0</v>
      </c>
      <c r="J251" s="34">
        <f t="shared" si="97"/>
        <v>1617372</v>
      </c>
      <c r="K251" s="34">
        <f t="shared" si="97"/>
        <v>591290</v>
      </c>
    </row>
    <row r="252" spans="1:12" x14ac:dyDescent="0.25">
      <c r="A252" s="300"/>
      <c r="B252" s="301"/>
      <c r="C252" s="33" t="s">
        <v>34</v>
      </c>
      <c r="D252" s="34">
        <f t="shared" ref="D252:K252" si="98">D168+D148+D125+D101+D66+D37</f>
        <v>1036000</v>
      </c>
      <c r="E252" s="34">
        <f t="shared" si="98"/>
        <v>988000</v>
      </c>
      <c r="F252" s="34">
        <f t="shared" si="98"/>
        <v>-310000</v>
      </c>
      <c r="G252" s="34">
        <f t="shared" si="98"/>
        <v>0</v>
      </c>
      <c r="H252" s="34">
        <f t="shared" si="98"/>
        <v>0</v>
      </c>
      <c r="I252" s="34">
        <f t="shared" si="98"/>
        <v>0</v>
      </c>
      <c r="J252" s="34">
        <f t="shared" si="98"/>
        <v>678000</v>
      </c>
      <c r="K252" s="34">
        <f t="shared" si="98"/>
        <v>241416</v>
      </c>
    </row>
    <row r="253" spans="1:12" x14ac:dyDescent="0.25">
      <c r="A253" s="300"/>
      <c r="B253" s="301"/>
      <c r="C253" s="33" t="s">
        <v>35</v>
      </c>
      <c r="D253" s="34">
        <f t="shared" ref="D253:K253" si="99">D210+D169+D102+D67+D38</f>
        <v>610000</v>
      </c>
      <c r="E253" s="34">
        <f t="shared" si="99"/>
        <v>617000</v>
      </c>
      <c r="F253" s="34">
        <f t="shared" si="99"/>
        <v>-90000</v>
      </c>
      <c r="G253" s="34">
        <f t="shared" si="99"/>
        <v>0</v>
      </c>
      <c r="H253" s="34">
        <f t="shared" si="99"/>
        <v>0</v>
      </c>
      <c r="I253" s="34">
        <f t="shared" si="99"/>
        <v>0</v>
      </c>
      <c r="J253" s="34">
        <f t="shared" si="99"/>
        <v>527000</v>
      </c>
      <c r="K253" s="34">
        <f t="shared" si="99"/>
        <v>204109</v>
      </c>
    </row>
    <row r="254" spans="1:12" x14ac:dyDescent="0.25">
      <c r="A254" s="300"/>
      <c r="B254" s="301"/>
      <c r="C254" s="33" t="s">
        <v>36</v>
      </c>
      <c r="D254" s="34">
        <f t="shared" ref="D254:K254" si="100">D103+D68+D39</f>
        <v>1739080</v>
      </c>
      <c r="E254" s="34">
        <f t="shared" si="100"/>
        <v>1738180</v>
      </c>
      <c r="F254" s="34">
        <f t="shared" si="100"/>
        <v>0</v>
      </c>
      <c r="G254" s="34">
        <f t="shared" si="100"/>
        <v>0</v>
      </c>
      <c r="H254" s="34">
        <f t="shared" si="100"/>
        <v>0</v>
      </c>
      <c r="I254" s="34">
        <f t="shared" si="100"/>
        <v>0</v>
      </c>
      <c r="J254" s="34">
        <f t="shared" si="100"/>
        <v>1738180</v>
      </c>
      <c r="K254" s="34">
        <f t="shared" si="100"/>
        <v>1362736</v>
      </c>
    </row>
    <row r="255" spans="1:12" x14ac:dyDescent="0.25">
      <c r="A255" s="300"/>
      <c r="B255" s="301"/>
      <c r="C255" s="73" t="s">
        <v>37</v>
      </c>
      <c r="D255" s="61">
        <f t="shared" ref="D255:K255" si="101">D186+D69+D40</f>
        <v>356000</v>
      </c>
      <c r="E255" s="61">
        <f t="shared" si="101"/>
        <v>356000</v>
      </c>
      <c r="F255" s="61">
        <f t="shared" si="101"/>
        <v>0</v>
      </c>
      <c r="G255" s="61">
        <f t="shared" si="101"/>
        <v>0</v>
      </c>
      <c r="H255" s="61">
        <f t="shared" si="101"/>
        <v>0</v>
      </c>
      <c r="I255" s="61">
        <f t="shared" si="101"/>
        <v>0</v>
      </c>
      <c r="J255" s="61">
        <f t="shared" si="101"/>
        <v>356000</v>
      </c>
      <c r="K255" s="61">
        <f t="shared" si="101"/>
        <v>138000</v>
      </c>
      <c r="L255" s="74"/>
    </row>
    <row r="256" spans="1:12" x14ac:dyDescent="0.25">
      <c r="A256" s="300"/>
      <c r="B256" s="301"/>
      <c r="C256" s="33" t="s">
        <v>38</v>
      </c>
      <c r="D256" s="34">
        <f t="shared" ref="D256:K256" si="102">D170+D149+D126+D104+D70+D41+D211</f>
        <v>1394000</v>
      </c>
      <c r="E256" s="34">
        <f t="shared" si="102"/>
        <v>1384180</v>
      </c>
      <c r="F256" s="34">
        <f t="shared" si="102"/>
        <v>-21739</v>
      </c>
      <c r="G256" s="34">
        <f t="shared" si="102"/>
        <v>0</v>
      </c>
      <c r="H256" s="34">
        <f t="shared" si="102"/>
        <v>0</v>
      </c>
      <c r="I256" s="34">
        <f t="shared" si="102"/>
        <v>0</v>
      </c>
      <c r="J256" s="61">
        <f t="shared" si="102"/>
        <v>1362441</v>
      </c>
      <c r="K256" s="34">
        <f t="shared" si="102"/>
        <v>546773</v>
      </c>
    </row>
    <row r="257" spans="1:11" x14ac:dyDescent="0.25">
      <c r="A257" s="300"/>
      <c r="B257" s="301"/>
      <c r="C257" s="33" t="s">
        <v>39</v>
      </c>
      <c r="D257" s="34">
        <f t="shared" ref="D257:K257" si="103">D42</f>
        <v>13200</v>
      </c>
      <c r="E257" s="34">
        <f t="shared" si="103"/>
        <v>31926</v>
      </c>
      <c r="F257" s="34">
        <f t="shared" si="103"/>
        <v>0</v>
      </c>
      <c r="G257" s="34">
        <f t="shared" si="103"/>
        <v>0</v>
      </c>
      <c r="H257" s="34">
        <f t="shared" si="103"/>
        <v>0</v>
      </c>
      <c r="I257" s="34">
        <f t="shared" si="103"/>
        <v>0</v>
      </c>
      <c r="J257" s="61">
        <f t="shared" si="103"/>
        <v>31926</v>
      </c>
      <c r="K257" s="34">
        <f t="shared" si="103"/>
        <v>25129</v>
      </c>
    </row>
    <row r="258" spans="1:11" x14ac:dyDescent="0.25">
      <c r="A258" s="300"/>
      <c r="B258" s="301"/>
      <c r="C258" s="36" t="s">
        <v>40</v>
      </c>
      <c r="D258" s="34">
        <f t="shared" ref="D258:K258" si="104">D187+D171+D150+D127+D105+D71+D43</f>
        <v>16415104</v>
      </c>
      <c r="E258" s="34">
        <f t="shared" si="104"/>
        <v>16245068</v>
      </c>
      <c r="F258" s="34">
        <f t="shared" si="104"/>
        <v>0</v>
      </c>
      <c r="G258" s="34">
        <f t="shared" si="104"/>
        <v>0</v>
      </c>
      <c r="H258" s="34">
        <f t="shared" si="104"/>
        <v>0</v>
      </c>
      <c r="I258" s="34">
        <f t="shared" si="104"/>
        <v>0</v>
      </c>
      <c r="J258" s="61">
        <f t="shared" si="104"/>
        <v>16245068</v>
      </c>
      <c r="K258" s="34">
        <f t="shared" si="104"/>
        <v>941404</v>
      </c>
    </row>
    <row r="259" spans="1:11" x14ac:dyDescent="0.25">
      <c r="A259" s="300"/>
      <c r="B259" s="301"/>
      <c r="C259" s="33" t="s">
        <v>41</v>
      </c>
      <c r="D259" s="34">
        <f t="shared" ref="D259:K259" si="105">D188+D172+D151+D128+D106+D72+D44+D212</f>
        <v>26876743</v>
      </c>
      <c r="E259" s="34">
        <f t="shared" si="105"/>
        <v>14568455</v>
      </c>
      <c r="F259" s="34">
        <f t="shared" si="105"/>
        <v>530000</v>
      </c>
      <c r="G259" s="34">
        <f t="shared" si="105"/>
        <v>0</v>
      </c>
      <c r="H259" s="34">
        <f t="shared" si="105"/>
        <v>0</v>
      </c>
      <c r="I259" s="34">
        <f t="shared" si="105"/>
        <v>0</v>
      </c>
      <c r="J259" s="61">
        <f t="shared" si="105"/>
        <v>15098455</v>
      </c>
      <c r="K259" s="34">
        <f t="shared" si="105"/>
        <v>8393962</v>
      </c>
    </row>
    <row r="260" spans="1:11" x14ac:dyDescent="0.25">
      <c r="A260" s="300"/>
      <c r="B260" s="301"/>
      <c r="C260" s="35" t="s">
        <v>42</v>
      </c>
      <c r="D260" s="34">
        <f t="shared" ref="D260:K260" si="106">D213+D189+D173+D152+D129+D107+D73+D45</f>
        <v>2852000</v>
      </c>
      <c r="E260" s="34">
        <f t="shared" si="106"/>
        <v>2889440</v>
      </c>
      <c r="F260" s="34">
        <f t="shared" si="106"/>
        <v>-120000</v>
      </c>
      <c r="G260" s="34">
        <f t="shared" si="106"/>
        <v>0</v>
      </c>
      <c r="H260" s="34">
        <f t="shared" si="106"/>
        <v>0</v>
      </c>
      <c r="I260" s="34">
        <f t="shared" si="106"/>
        <v>0</v>
      </c>
      <c r="J260" s="34">
        <f t="shared" si="106"/>
        <v>2769440</v>
      </c>
      <c r="K260" s="34">
        <f t="shared" si="106"/>
        <v>1453353</v>
      </c>
    </row>
    <row r="261" spans="1:11" x14ac:dyDescent="0.25">
      <c r="A261" s="300"/>
      <c r="B261" s="301"/>
      <c r="C261" s="35" t="s">
        <v>43</v>
      </c>
      <c r="D261" s="34">
        <f t="shared" ref="D261:K261" si="107">D46+D74+D190</f>
        <v>290000</v>
      </c>
      <c r="E261" s="34">
        <f t="shared" si="107"/>
        <v>290000</v>
      </c>
      <c r="F261" s="34">
        <f t="shared" si="107"/>
        <v>0</v>
      </c>
      <c r="G261" s="34">
        <f t="shared" si="107"/>
        <v>0</v>
      </c>
      <c r="H261" s="34">
        <f t="shared" si="107"/>
        <v>0</v>
      </c>
      <c r="I261" s="34">
        <f t="shared" si="107"/>
        <v>0</v>
      </c>
      <c r="J261" s="34">
        <f t="shared" si="107"/>
        <v>290000</v>
      </c>
      <c r="K261" s="34">
        <f t="shared" si="107"/>
        <v>0</v>
      </c>
    </row>
    <row r="262" spans="1:11" x14ac:dyDescent="0.25">
      <c r="A262" s="300"/>
      <c r="B262" s="301"/>
      <c r="C262" s="33" t="s">
        <v>44</v>
      </c>
      <c r="D262" s="34">
        <f t="shared" ref="D262:K262" si="108">D214+D191+D174+D153+D130+D108+D75+D47</f>
        <v>7754652</v>
      </c>
      <c r="E262" s="34">
        <f t="shared" si="108"/>
        <v>5316093</v>
      </c>
      <c r="F262" s="34">
        <f t="shared" si="108"/>
        <v>30000</v>
      </c>
      <c r="G262" s="34">
        <f t="shared" si="108"/>
        <v>0</v>
      </c>
      <c r="H262" s="34">
        <f t="shared" si="108"/>
        <v>0</v>
      </c>
      <c r="I262" s="34">
        <f t="shared" si="108"/>
        <v>0</v>
      </c>
      <c r="J262" s="34">
        <f t="shared" si="108"/>
        <v>5346093</v>
      </c>
      <c r="K262" s="34">
        <f t="shared" si="108"/>
        <v>2320771</v>
      </c>
    </row>
    <row r="263" spans="1:11" x14ac:dyDescent="0.25">
      <c r="A263" s="300"/>
      <c r="B263" s="301"/>
      <c r="C263" s="37" t="s">
        <v>45</v>
      </c>
      <c r="D263" s="34">
        <f t="shared" ref="D263:K263" si="109">D215+D192+D76+D48</f>
        <v>743011</v>
      </c>
      <c r="E263" s="34">
        <f t="shared" si="109"/>
        <v>743011</v>
      </c>
      <c r="F263" s="34">
        <f t="shared" si="109"/>
        <v>50000</v>
      </c>
      <c r="G263" s="34">
        <f t="shared" si="109"/>
        <v>0</v>
      </c>
      <c r="H263" s="34">
        <f t="shared" si="109"/>
        <v>0</v>
      </c>
      <c r="I263" s="34">
        <f t="shared" si="109"/>
        <v>0</v>
      </c>
      <c r="J263" s="34">
        <f t="shared" si="109"/>
        <v>793011</v>
      </c>
      <c r="K263" s="34">
        <f t="shared" si="109"/>
        <v>302579</v>
      </c>
    </row>
    <row r="264" spans="1:11" x14ac:dyDescent="0.25">
      <c r="A264" s="300"/>
      <c r="B264" s="301"/>
      <c r="C264" s="65" t="s">
        <v>49</v>
      </c>
      <c r="D264" s="66">
        <f t="shared" ref="D264:K264" si="110">D216+D193+D175+D154+D131+D109+D77+D49</f>
        <v>62319790</v>
      </c>
      <c r="E264" s="66">
        <f t="shared" si="110"/>
        <v>47577240</v>
      </c>
      <c r="F264" s="66">
        <f t="shared" si="110"/>
        <v>0</v>
      </c>
      <c r="G264" s="66">
        <f t="shared" si="110"/>
        <v>0</v>
      </c>
      <c r="H264" s="66">
        <f t="shared" si="110"/>
        <v>0</v>
      </c>
      <c r="I264" s="66">
        <f t="shared" si="110"/>
        <v>0</v>
      </c>
      <c r="J264" s="66">
        <f t="shared" si="110"/>
        <v>47577240</v>
      </c>
      <c r="K264" s="66">
        <f t="shared" si="110"/>
        <v>16584674</v>
      </c>
    </row>
    <row r="265" spans="1:11" x14ac:dyDescent="0.25">
      <c r="A265" s="300"/>
      <c r="B265" s="301"/>
      <c r="C265" s="65" t="s">
        <v>100</v>
      </c>
      <c r="D265" s="66">
        <f>D198</f>
        <v>0</v>
      </c>
      <c r="E265" s="66">
        <f t="shared" ref="E265:K265" si="111">E198</f>
        <v>10500000</v>
      </c>
      <c r="F265" s="66">
        <f t="shared" si="111"/>
        <v>0</v>
      </c>
      <c r="G265" s="66">
        <f t="shared" si="111"/>
        <v>0</v>
      </c>
      <c r="H265" s="66">
        <f t="shared" si="111"/>
        <v>0</v>
      </c>
      <c r="I265" s="66">
        <f t="shared" si="111"/>
        <v>0</v>
      </c>
      <c r="J265" s="66">
        <f t="shared" si="111"/>
        <v>10500000</v>
      </c>
      <c r="K265" s="66">
        <f t="shared" si="111"/>
        <v>10500000</v>
      </c>
    </row>
    <row r="266" spans="1:11" x14ac:dyDescent="0.25">
      <c r="A266" s="300"/>
      <c r="B266" s="301"/>
      <c r="C266" s="38" t="s">
        <v>50</v>
      </c>
      <c r="D266" s="34">
        <f t="shared" ref="D266:K268" si="112">D195+D78+D50</f>
        <v>161220</v>
      </c>
      <c r="E266" s="34">
        <f t="shared" si="112"/>
        <v>161220</v>
      </c>
      <c r="F266" s="34">
        <f t="shared" si="112"/>
        <v>0</v>
      </c>
      <c r="G266" s="34">
        <f t="shared" si="112"/>
        <v>0</v>
      </c>
      <c r="H266" s="34">
        <f t="shared" si="112"/>
        <v>0</v>
      </c>
      <c r="I266" s="34">
        <f t="shared" si="112"/>
        <v>0</v>
      </c>
      <c r="J266" s="34">
        <f t="shared" si="112"/>
        <v>161220</v>
      </c>
      <c r="K266" s="34">
        <f t="shared" si="112"/>
        <v>0</v>
      </c>
    </row>
    <row r="267" spans="1:11" x14ac:dyDescent="0.25">
      <c r="A267" s="300"/>
      <c r="B267" s="301"/>
      <c r="C267" s="37" t="s">
        <v>51</v>
      </c>
      <c r="D267" s="34">
        <f t="shared" si="112"/>
        <v>43530</v>
      </c>
      <c r="E267" s="34">
        <f t="shared" si="112"/>
        <v>43530</v>
      </c>
      <c r="F267" s="34">
        <f t="shared" si="112"/>
        <v>0</v>
      </c>
      <c r="G267" s="34">
        <f t="shared" si="112"/>
        <v>0</v>
      </c>
      <c r="H267" s="34">
        <f t="shared" si="112"/>
        <v>0</v>
      </c>
      <c r="I267" s="34">
        <f t="shared" si="112"/>
        <v>0</v>
      </c>
      <c r="J267" s="34">
        <f t="shared" si="112"/>
        <v>43530</v>
      </c>
      <c r="K267" s="34">
        <f t="shared" si="112"/>
        <v>0</v>
      </c>
    </row>
    <row r="268" spans="1:11" x14ac:dyDescent="0.25">
      <c r="A268" s="300"/>
      <c r="B268" s="301"/>
      <c r="C268" s="65" t="s">
        <v>52</v>
      </c>
      <c r="D268" s="68">
        <f t="shared" si="112"/>
        <v>204750</v>
      </c>
      <c r="E268" s="68">
        <f t="shared" si="112"/>
        <v>204750</v>
      </c>
      <c r="F268" s="68">
        <f t="shared" si="112"/>
        <v>0</v>
      </c>
      <c r="G268" s="68">
        <f t="shared" si="112"/>
        <v>0</v>
      </c>
      <c r="H268" s="68">
        <f t="shared" si="112"/>
        <v>0</v>
      </c>
      <c r="I268" s="68">
        <f t="shared" si="112"/>
        <v>0</v>
      </c>
      <c r="J268" s="68">
        <f t="shared" si="112"/>
        <v>204750</v>
      </c>
      <c r="K268" s="66">
        <f t="shared" si="112"/>
        <v>0</v>
      </c>
    </row>
    <row r="269" spans="1:11" x14ac:dyDescent="0.25">
      <c r="A269" s="302"/>
      <c r="B269" s="303"/>
      <c r="C269" s="69" t="s">
        <v>88</v>
      </c>
      <c r="D269" s="70">
        <f>D220</f>
        <v>230443641</v>
      </c>
      <c r="E269" s="70">
        <f>E220</f>
        <v>231861839</v>
      </c>
      <c r="F269" s="70">
        <f t="shared" ref="F269:K269" si="113">F220</f>
        <v>0</v>
      </c>
      <c r="G269" s="70">
        <f t="shared" si="113"/>
        <v>-420313</v>
      </c>
      <c r="H269" s="70">
        <f t="shared" si="113"/>
        <v>-1071771</v>
      </c>
      <c r="I269" s="70">
        <f t="shared" si="113"/>
        <v>0</v>
      </c>
      <c r="J269" s="70">
        <f t="shared" si="113"/>
        <v>230369755</v>
      </c>
      <c r="K269" s="70">
        <f t="shared" si="113"/>
        <v>174204754</v>
      </c>
    </row>
    <row r="270" spans="1:11" x14ac:dyDescent="0.25">
      <c r="B270" s="5"/>
      <c r="E270" s="4"/>
      <c r="F270" s="4"/>
      <c r="G270" s="4"/>
      <c r="H270" s="4"/>
      <c r="I270" s="4"/>
      <c r="J270" s="4"/>
      <c r="K270" s="111"/>
    </row>
    <row r="271" spans="1:11" x14ac:dyDescent="0.25">
      <c r="B271" s="5"/>
      <c r="E271" s="4"/>
      <c r="F271" s="4"/>
      <c r="G271" s="4"/>
      <c r="H271" s="4"/>
      <c r="I271" s="4"/>
      <c r="J271" s="4"/>
      <c r="K271" s="111"/>
    </row>
  </sheetData>
  <autoFilter ref="A4:L4" xr:uid="{00000000-0009-0000-0000-00000B000000}"/>
  <mergeCells count="74">
    <mergeCell ref="A1:L1"/>
    <mergeCell ref="A3:A4"/>
    <mergeCell ref="B3:B4"/>
    <mergeCell ref="C3:C4"/>
    <mergeCell ref="D3:D4"/>
    <mergeCell ref="E3:E4"/>
    <mergeCell ref="F3:I3"/>
    <mergeCell ref="J3:J4"/>
    <mergeCell ref="K3:K4"/>
    <mergeCell ref="L3:L4"/>
    <mergeCell ref="A5:A14"/>
    <mergeCell ref="B5:B8"/>
    <mergeCell ref="B9:B12"/>
    <mergeCell ref="B13:B14"/>
    <mergeCell ref="A15:A16"/>
    <mergeCell ref="B15:B16"/>
    <mergeCell ref="A17:A18"/>
    <mergeCell ref="B17:B18"/>
    <mergeCell ref="A19:A20"/>
    <mergeCell ref="B19:B20"/>
    <mergeCell ref="A21:A22"/>
    <mergeCell ref="B21:B22"/>
    <mergeCell ref="A23:A24"/>
    <mergeCell ref="B23:B24"/>
    <mergeCell ref="A25:C25"/>
    <mergeCell ref="A26:A80"/>
    <mergeCell ref="B26:B52"/>
    <mergeCell ref="B53:B80"/>
    <mergeCell ref="A81:A82"/>
    <mergeCell ref="B81:B82"/>
    <mergeCell ref="A83:A84"/>
    <mergeCell ref="B83:B84"/>
    <mergeCell ref="A85:A86"/>
    <mergeCell ref="B85:B86"/>
    <mergeCell ref="A132:A133"/>
    <mergeCell ref="B132:B133"/>
    <mergeCell ref="A87:A88"/>
    <mergeCell ref="B87:B88"/>
    <mergeCell ref="A89:C89"/>
    <mergeCell ref="A90:A109"/>
    <mergeCell ref="B90:B109"/>
    <mergeCell ref="A110:A111"/>
    <mergeCell ref="B110:B111"/>
    <mergeCell ref="A112:A113"/>
    <mergeCell ref="B112:B113"/>
    <mergeCell ref="A114:C114"/>
    <mergeCell ref="A115:A131"/>
    <mergeCell ref="B115:B131"/>
    <mergeCell ref="A178:A179"/>
    <mergeCell ref="B178:B179"/>
    <mergeCell ref="A134:A135"/>
    <mergeCell ref="B134:B135"/>
    <mergeCell ref="A136:C136"/>
    <mergeCell ref="A137:A154"/>
    <mergeCell ref="B137:B154"/>
    <mergeCell ref="A155:A156"/>
    <mergeCell ref="B155:B156"/>
    <mergeCell ref="A157:C157"/>
    <mergeCell ref="A158:A175"/>
    <mergeCell ref="B158:B175"/>
    <mergeCell ref="A176:A177"/>
    <mergeCell ref="B176:B177"/>
    <mergeCell ref="A228:B269"/>
    <mergeCell ref="A180:C180"/>
    <mergeCell ref="A181:A198"/>
    <mergeCell ref="B181:B198"/>
    <mergeCell ref="A199:C199"/>
    <mergeCell ref="A200:A216"/>
    <mergeCell ref="B200:B216"/>
    <mergeCell ref="A217:A218"/>
    <mergeCell ref="B217:B218"/>
    <mergeCell ref="A219:C219"/>
    <mergeCell ref="A220:C220"/>
    <mergeCell ref="A227:K227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  <rowBreaks count="2" manualBreakCount="2">
    <brk id="89" max="16383" man="1"/>
    <brk id="180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354"/>
  <sheetViews>
    <sheetView zoomScaleSheetLayoutView="71" workbookViewId="0">
      <pane xSplit="3" ySplit="4" topLeftCell="D5" activePane="bottomRight" state="frozen"/>
      <selection activeCell="D8" sqref="D8"/>
      <selection pane="topRight" activeCell="D8" sqref="D8"/>
      <selection pane="bottomLeft" activeCell="D8" sqref="D8"/>
      <selection pane="bottomRight" activeCell="D8" sqref="D8"/>
    </sheetView>
  </sheetViews>
  <sheetFormatPr defaultRowHeight="15" x14ac:dyDescent="0.25"/>
  <cols>
    <col min="1" max="1" width="42.7109375" customWidth="1"/>
    <col min="3" max="3" width="7.7109375" customWidth="1"/>
    <col min="4" max="5" width="13.7109375" customWidth="1"/>
    <col min="6" max="7" width="13.42578125" customWidth="1"/>
    <col min="8" max="9" width="10.28515625" bestFit="1" customWidth="1"/>
    <col min="10" max="11" width="10.28515625" customWidth="1"/>
    <col min="12" max="12" width="13.85546875" bestFit="1" customWidth="1"/>
    <col min="13" max="13" width="16.42578125" style="122" customWidth="1"/>
    <col min="14" max="14" width="13.85546875" customWidth="1"/>
  </cols>
  <sheetData>
    <row r="1" spans="1:14" ht="21" x14ac:dyDescent="0.25">
      <c r="A1" s="402" t="s">
        <v>0</v>
      </c>
      <c r="B1" s="402"/>
      <c r="C1" s="402"/>
      <c r="D1" s="402"/>
      <c r="E1" s="402"/>
      <c r="F1" s="402"/>
      <c r="G1" s="402"/>
      <c r="H1" s="402"/>
      <c r="I1" s="402"/>
      <c r="J1" s="402"/>
      <c r="K1" s="402"/>
      <c r="L1" s="402"/>
      <c r="M1" s="402"/>
      <c r="N1" s="402"/>
    </row>
    <row r="2" spans="1:14" x14ac:dyDescent="0.25">
      <c r="B2" s="5"/>
      <c r="E2" s="4"/>
      <c r="F2" s="4"/>
      <c r="G2" s="4"/>
      <c r="H2" s="4"/>
      <c r="I2" s="4"/>
      <c r="J2" s="4"/>
      <c r="K2" s="4"/>
      <c r="L2" s="4"/>
      <c r="M2" s="111"/>
    </row>
    <row r="3" spans="1:14" ht="15" customHeight="1" x14ac:dyDescent="0.25">
      <c r="A3" s="403" t="s">
        <v>104</v>
      </c>
      <c r="B3" s="405" t="s">
        <v>105</v>
      </c>
      <c r="C3" s="403" t="s">
        <v>3</v>
      </c>
      <c r="D3" s="403" t="s">
        <v>4</v>
      </c>
      <c r="E3" s="407" t="s">
        <v>166</v>
      </c>
      <c r="F3" s="411" t="s">
        <v>175</v>
      </c>
      <c r="G3" s="412"/>
      <c r="H3" s="412"/>
      <c r="I3" s="412"/>
      <c r="J3" s="412"/>
      <c r="K3" s="413"/>
      <c r="L3" s="407" t="s">
        <v>176</v>
      </c>
      <c r="M3" s="409" t="s">
        <v>177</v>
      </c>
      <c r="N3" s="410" t="s">
        <v>178</v>
      </c>
    </row>
    <row r="4" spans="1:14" ht="66.75" customHeight="1" x14ac:dyDescent="0.25">
      <c r="A4" s="404"/>
      <c r="B4" s="406"/>
      <c r="C4" s="404"/>
      <c r="D4" s="404"/>
      <c r="E4" s="408"/>
      <c r="F4" s="210" t="s">
        <v>70</v>
      </c>
      <c r="G4" s="200" t="s">
        <v>183</v>
      </c>
      <c r="H4" s="200" t="s">
        <v>179</v>
      </c>
      <c r="I4" s="200" t="s">
        <v>180</v>
      </c>
      <c r="J4" s="200" t="s">
        <v>181</v>
      </c>
      <c r="K4" s="200" t="s">
        <v>182</v>
      </c>
      <c r="L4" s="408"/>
      <c r="M4" s="409"/>
      <c r="N4" s="410"/>
    </row>
    <row r="5" spans="1:14" x14ac:dyDescent="0.25">
      <c r="A5" s="255" t="s">
        <v>6</v>
      </c>
      <c r="B5" s="268" t="s">
        <v>21</v>
      </c>
      <c r="C5" s="2" t="s">
        <v>16</v>
      </c>
      <c r="D5" s="3">
        <v>54810810</v>
      </c>
      <c r="E5" s="3">
        <v>52775258</v>
      </c>
      <c r="F5" s="3"/>
      <c r="G5" s="3"/>
      <c r="H5" s="3"/>
      <c r="I5" s="3"/>
      <c r="J5" s="20"/>
      <c r="K5" s="20"/>
      <c r="L5" s="20">
        <f>E5+F5+G5+H5+I5+J5+K5</f>
        <v>52775258</v>
      </c>
      <c r="M5" s="112">
        <v>52775258</v>
      </c>
      <c r="N5" s="3">
        <f>L5-M5</f>
        <v>0</v>
      </c>
    </row>
    <row r="6" spans="1:14" x14ac:dyDescent="0.25">
      <c r="A6" s="256"/>
      <c r="B6" s="268"/>
      <c r="C6" s="2" t="s">
        <v>17</v>
      </c>
      <c r="D6" s="3">
        <v>7273070</v>
      </c>
      <c r="E6" s="3">
        <v>7273070</v>
      </c>
      <c r="F6" s="3"/>
      <c r="G6" s="3"/>
      <c r="H6" s="3"/>
      <c r="I6" s="3"/>
      <c r="J6" s="20"/>
      <c r="K6" s="20"/>
      <c r="L6" s="20">
        <f t="shared" ref="L6:L69" si="0">E6+F6+G6+H6+I6+J6+K6</f>
        <v>7273070</v>
      </c>
      <c r="M6" s="112">
        <v>7273070</v>
      </c>
      <c r="N6" s="3">
        <f t="shared" ref="N6:N24" si="1">L6-M6</f>
        <v>0</v>
      </c>
    </row>
    <row r="7" spans="1:14" x14ac:dyDescent="0.25">
      <c r="A7" s="256"/>
      <c r="B7" s="268"/>
      <c r="C7" s="196" t="s">
        <v>22</v>
      </c>
      <c r="D7" s="3">
        <v>200000</v>
      </c>
      <c r="E7" s="3">
        <v>200000</v>
      </c>
      <c r="F7" s="3"/>
      <c r="G7" s="3"/>
      <c r="H7" s="3"/>
      <c r="I7" s="3"/>
      <c r="J7" s="20"/>
      <c r="K7" s="20"/>
      <c r="L7" s="20">
        <f t="shared" si="0"/>
        <v>200000</v>
      </c>
      <c r="M7" s="112">
        <v>200000</v>
      </c>
      <c r="N7" s="3">
        <f t="shared" si="1"/>
        <v>0</v>
      </c>
    </row>
    <row r="8" spans="1:14" x14ac:dyDescent="0.25">
      <c r="A8" s="256"/>
      <c r="B8" s="268"/>
      <c r="C8" s="2" t="s">
        <v>18</v>
      </c>
      <c r="D8" s="3">
        <v>96985672</v>
      </c>
      <c r="E8" s="3">
        <v>98837588</v>
      </c>
      <c r="F8" s="3"/>
      <c r="G8" s="3"/>
      <c r="H8" s="3">
        <v>16016</v>
      </c>
      <c r="I8" s="3"/>
      <c r="J8" s="20">
        <v>-4692</v>
      </c>
      <c r="K8" s="20">
        <v>-42719</v>
      </c>
      <c r="L8" s="20">
        <f>E8+F8+G8+H8+I8+J8+K8</f>
        <v>98806193</v>
      </c>
      <c r="M8" s="112">
        <v>98806193</v>
      </c>
      <c r="N8" s="60">
        <f t="shared" si="1"/>
        <v>0</v>
      </c>
    </row>
    <row r="9" spans="1:14" x14ac:dyDescent="0.25">
      <c r="A9" s="256"/>
      <c r="B9" s="252">
        <v>104042</v>
      </c>
      <c r="C9" s="2" t="s">
        <v>22</v>
      </c>
      <c r="D9" s="3">
        <v>0</v>
      </c>
      <c r="E9" s="3">
        <v>0</v>
      </c>
      <c r="F9" s="3"/>
      <c r="G9" s="3"/>
      <c r="H9" s="3"/>
      <c r="I9" s="3"/>
      <c r="J9" s="20"/>
      <c r="K9" s="20"/>
      <c r="L9" s="20">
        <f t="shared" si="0"/>
        <v>0</v>
      </c>
      <c r="M9" s="112">
        <v>0</v>
      </c>
      <c r="N9" s="3">
        <f t="shared" si="1"/>
        <v>0</v>
      </c>
    </row>
    <row r="10" spans="1:14" x14ac:dyDescent="0.25">
      <c r="A10" s="256"/>
      <c r="B10" s="253"/>
      <c r="C10" s="2" t="s">
        <v>19</v>
      </c>
      <c r="D10" s="3">
        <v>13200</v>
      </c>
      <c r="E10" s="3">
        <v>31926</v>
      </c>
      <c r="F10" s="3"/>
      <c r="G10" s="3"/>
      <c r="H10" s="3"/>
      <c r="I10" s="3">
        <v>-5724</v>
      </c>
      <c r="J10" s="20"/>
      <c r="K10" s="20"/>
      <c r="L10" s="20">
        <f t="shared" si="0"/>
        <v>26202</v>
      </c>
      <c r="M10" s="112">
        <v>26202</v>
      </c>
      <c r="N10" s="60">
        <f t="shared" si="1"/>
        <v>0</v>
      </c>
    </row>
    <row r="11" spans="1:14" x14ac:dyDescent="0.25">
      <c r="A11" s="256"/>
      <c r="B11" s="253"/>
      <c r="C11" s="2" t="s">
        <v>20</v>
      </c>
      <c r="D11" s="3">
        <v>500</v>
      </c>
      <c r="E11" s="3">
        <v>1152</v>
      </c>
      <c r="F11" s="3">
        <v>-21</v>
      </c>
      <c r="G11" s="3"/>
      <c r="H11" s="3"/>
      <c r="I11" s="3">
        <v>-938</v>
      </c>
      <c r="J11" s="20"/>
      <c r="K11" s="20"/>
      <c r="L11" s="20">
        <f t="shared" si="0"/>
        <v>193</v>
      </c>
      <c r="M11" s="112">
        <v>193</v>
      </c>
      <c r="N11" s="3">
        <f t="shared" si="1"/>
        <v>0</v>
      </c>
    </row>
    <row r="12" spans="1:14" x14ac:dyDescent="0.25">
      <c r="A12" s="256"/>
      <c r="B12" s="254"/>
      <c r="C12" s="2" t="s">
        <v>84</v>
      </c>
      <c r="D12" s="3">
        <v>0</v>
      </c>
      <c r="E12" s="3">
        <v>11687</v>
      </c>
      <c r="F12" s="3">
        <v>1</v>
      </c>
      <c r="G12" s="3"/>
      <c r="H12" s="3"/>
      <c r="I12" s="3">
        <v>-5942</v>
      </c>
      <c r="J12" s="20"/>
      <c r="K12" s="20"/>
      <c r="L12" s="20">
        <f t="shared" si="0"/>
        <v>5746</v>
      </c>
      <c r="M12" s="112">
        <v>5746</v>
      </c>
      <c r="N12" s="60">
        <f t="shared" si="1"/>
        <v>0</v>
      </c>
    </row>
    <row r="13" spans="1:14" x14ac:dyDescent="0.25">
      <c r="A13" s="256"/>
      <c r="B13" s="252">
        <v>104043</v>
      </c>
      <c r="C13" s="2" t="s">
        <v>20</v>
      </c>
      <c r="D13" s="3">
        <v>500</v>
      </c>
      <c r="E13" s="3">
        <v>173</v>
      </c>
      <c r="F13" s="3">
        <v>21</v>
      </c>
      <c r="G13" s="3"/>
      <c r="H13" s="3"/>
      <c r="I13" s="3"/>
      <c r="J13" s="20"/>
      <c r="K13" s="20"/>
      <c r="L13" s="20">
        <f t="shared" si="0"/>
        <v>194</v>
      </c>
      <c r="M13" s="112">
        <v>194</v>
      </c>
      <c r="N13" s="3">
        <f t="shared" si="1"/>
        <v>0</v>
      </c>
    </row>
    <row r="14" spans="1:14" x14ac:dyDescent="0.25">
      <c r="A14" s="257"/>
      <c r="B14" s="254"/>
      <c r="C14" s="2" t="s">
        <v>84</v>
      </c>
      <c r="D14" s="3">
        <v>0</v>
      </c>
      <c r="E14" s="3">
        <v>1262</v>
      </c>
      <c r="F14" s="3">
        <v>-1</v>
      </c>
      <c r="G14" s="3"/>
      <c r="H14" s="3"/>
      <c r="I14" s="3"/>
      <c r="J14" s="20"/>
      <c r="K14" s="20"/>
      <c r="L14" s="20">
        <f t="shared" si="0"/>
        <v>1261</v>
      </c>
      <c r="M14" s="112">
        <v>1261</v>
      </c>
      <c r="N14" s="3">
        <f t="shared" si="1"/>
        <v>0</v>
      </c>
    </row>
    <row r="15" spans="1:14" x14ac:dyDescent="0.25">
      <c r="A15" s="258" t="s">
        <v>7</v>
      </c>
      <c r="B15" s="268" t="s">
        <v>21</v>
      </c>
      <c r="C15" s="2" t="s">
        <v>16</v>
      </c>
      <c r="D15" s="3">
        <v>245982</v>
      </c>
      <c r="E15" s="3">
        <v>267808</v>
      </c>
      <c r="F15" s="3"/>
      <c r="G15" s="3"/>
      <c r="H15" s="3"/>
      <c r="I15" s="3"/>
      <c r="J15" s="20"/>
      <c r="K15" s="20"/>
      <c r="L15" s="20">
        <f t="shared" si="0"/>
        <v>267808</v>
      </c>
      <c r="M15" s="112">
        <v>267808</v>
      </c>
      <c r="N15" s="3">
        <f t="shared" si="1"/>
        <v>0</v>
      </c>
    </row>
    <row r="16" spans="1:14" x14ac:dyDescent="0.25">
      <c r="A16" s="258"/>
      <c r="B16" s="268"/>
      <c r="C16" s="2" t="s">
        <v>17</v>
      </c>
      <c r="D16" s="3">
        <v>1005557</v>
      </c>
      <c r="E16" s="3">
        <v>1005557</v>
      </c>
      <c r="F16" s="3"/>
      <c r="G16" s="3"/>
      <c r="H16" s="3"/>
      <c r="I16" s="3"/>
      <c r="J16" s="20"/>
      <c r="K16" s="20"/>
      <c r="L16" s="20">
        <f t="shared" si="0"/>
        <v>1005557</v>
      </c>
      <c r="M16" s="112">
        <v>1005557</v>
      </c>
      <c r="N16" s="3">
        <f t="shared" si="1"/>
        <v>0</v>
      </c>
    </row>
    <row r="17" spans="1:14" x14ac:dyDescent="0.25">
      <c r="A17" s="258" t="s">
        <v>8</v>
      </c>
      <c r="B17" s="268" t="s">
        <v>21</v>
      </c>
      <c r="C17" s="2" t="s">
        <v>16</v>
      </c>
      <c r="D17" s="3">
        <v>3086953</v>
      </c>
      <c r="E17" s="3">
        <v>3120172</v>
      </c>
      <c r="F17" s="3"/>
      <c r="G17" s="3"/>
      <c r="H17" s="3"/>
      <c r="I17" s="3"/>
      <c r="J17" s="20"/>
      <c r="K17" s="20"/>
      <c r="L17" s="20">
        <f t="shared" si="0"/>
        <v>3120172</v>
      </c>
      <c r="M17" s="112">
        <v>3120172</v>
      </c>
      <c r="N17" s="3">
        <f t="shared" si="1"/>
        <v>0</v>
      </c>
    </row>
    <row r="18" spans="1:14" x14ac:dyDescent="0.25">
      <c r="A18" s="258"/>
      <c r="B18" s="268"/>
      <c r="C18" s="2" t="s">
        <v>17</v>
      </c>
      <c r="D18" s="3">
        <v>440959</v>
      </c>
      <c r="E18" s="3">
        <v>440959</v>
      </c>
      <c r="F18" s="3"/>
      <c r="G18" s="3"/>
      <c r="H18" s="3"/>
      <c r="I18" s="3"/>
      <c r="J18" s="20"/>
      <c r="K18" s="20"/>
      <c r="L18" s="20">
        <f t="shared" si="0"/>
        <v>440959</v>
      </c>
      <c r="M18" s="112">
        <v>440959</v>
      </c>
      <c r="N18" s="3">
        <f t="shared" si="1"/>
        <v>0</v>
      </c>
    </row>
    <row r="19" spans="1:14" x14ac:dyDescent="0.25">
      <c r="A19" s="258" t="s">
        <v>9</v>
      </c>
      <c r="B19" s="268" t="s">
        <v>21</v>
      </c>
      <c r="C19" s="2" t="s">
        <v>16</v>
      </c>
      <c r="D19" s="3">
        <v>1403439</v>
      </c>
      <c r="E19" s="3">
        <v>1426144</v>
      </c>
      <c r="F19" s="3"/>
      <c r="G19" s="3"/>
      <c r="H19" s="3"/>
      <c r="I19" s="3"/>
      <c r="J19" s="20"/>
      <c r="K19" s="20"/>
      <c r="L19" s="20">
        <f t="shared" si="0"/>
        <v>1426144</v>
      </c>
      <c r="M19" s="112">
        <v>1426144</v>
      </c>
      <c r="N19" s="3">
        <f t="shared" si="1"/>
        <v>0</v>
      </c>
    </row>
    <row r="20" spans="1:14" x14ac:dyDescent="0.25">
      <c r="A20" s="258"/>
      <c r="B20" s="268"/>
      <c r="C20" s="2" t="s">
        <v>17</v>
      </c>
      <c r="D20" s="3">
        <v>599759</v>
      </c>
      <c r="E20" s="3">
        <v>599759</v>
      </c>
      <c r="F20" s="3"/>
      <c r="G20" s="3"/>
      <c r="H20" s="3"/>
      <c r="I20" s="3"/>
      <c r="J20" s="20"/>
      <c r="K20" s="20"/>
      <c r="L20" s="20">
        <f t="shared" si="0"/>
        <v>599759</v>
      </c>
      <c r="M20" s="112">
        <v>599759</v>
      </c>
      <c r="N20" s="3">
        <f t="shared" si="1"/>
        <v>0</v>
      </c>
    </row>
    <row r="21" spans="1:14" x14ac:dyDescent="0.25">
      <c r="A21" s="255" t="s">
        <v>54</v>
      </c>
      <c r="B21" s="252" t="s">
        <v>21</v>
      </c>
      <c r="C21" s="2" t="s">
        <v>16</v>
      </c>
      <c r="D21" s="3">
        <v>4056383</v>
      </c>
      <c r="E21" s="3">
        <v>4056383</v>
      </c>
      <c r="F21" s="3"/>
      <c r="G21" s="3"/>
      <c r="H21" s="3"/>
      <c r="I21" s="3"/>
      <c r="J21" s="20"/>
      <c r="K21" s="20"/>
      <c r="L21" s="20">
        <f t="shared" si="0"/>
        <v>4056383</v>
      </c>
      <c r="M21" s="112">
        <v>4056383</v>
      </c>
      <c r="N21" s="3">
        <f t="shared" si="1"/>
        <v>0</v>
      </c>
    </row>
    <row r="22" spans="1:14" x14ac:dyDescent="0.25">
      <c r="A22" s="257"/>
      <c r="B22" s="254"/>
      <c r="C22" s="2" t="s">
        <v>17</v>
      </c>
      <c r="D22" s="3">
        <v>226299</v>
      </c>
      <c r="E22" s="3">
        <v>226299</v>
      </c>
      <c r="F22" s="3"/>
      <c r="G22" s="3"/>
      <c r="H22" s="3"/>
      <c r="I22" s="3"/>
      <c r="J22" s="20"/>
      <c r="K22" s="20"/>
      <c r="L22" s="20">
        <f t="shared" si="0"/>
        <v>226299</v>
      </c>
      <c r="M22" s="112">
        <v>226299</v>
      </c>
      <c r="N22" s="3">
        <f t="shared" si="1"/>
        <v>0</v>
      </c>
    </row>
    <row r="23" spans="1:14" x14ac:dyDescent="0.25">
      <c r="A23" s="258" t="s">
        <v>10</v>
      </c>
      <c r="B23" s="268" t="s">
        <v>21</v>
      </c>
      <c r="C23" s="2" t="s">
        <v>16</v>
      </c>
      <c r="D23" s="3">
        <v>53627392</v>
      </c>
      <c r="E23" s="3">
        <v>53627392</v>
      </c>
      <c r="F23" s="3"/>
      <c r="G23" s="3">
        <v>-25298732</v>
      </c>
      <c r="H23" s="3"/>
      <c r="I23" s="3"/>
      <c r="J23" s="20"/>
      <c r="K23" s="20"/>
      <c r="L23" s="20">
        <f t="shared" si="0"/>
        <v>28328660</v>
      </c>
      <c r="M23" s="112">
        <v>28328660</v>
      </c>
      <c r="N23" s="3">
        <f t="shared" si="1"/>
        <v>0</v>
      </c>
    </row>
    <row r="24" spans="1:14" x14ac:dyDescent="0.25">
      <c r="A24" s="258"/>
      <c r="B24" s="268"/>
      <c r="C24" s="2" t="s">
        <v>17</v>
      </c>
      <c r="D24" s="3">
        <v>6467166</v>
      </c>
      <c r="E24" s="3">
        <v>6467166</v>
      </c>
      <c r="F24" s="3"/>
      <c r="G24" s="3"/>
      <c r="H24" s="3"/>
      <c r="I24" s="3"/>
      <c r="J24" s="20"/>
      <c r="K24" s="20"/>
      <c r="L24" s="20">
        <f t="shared" si="0"/>
        <v>6467166</v>
      </c>
      <c r="M24" s="112">
        <v>6467166</v>
      </c>
      <c r="N24" s="3">
        <f t="shared" si="1"/>
        <v>0</v>
      </c>
    </row>
    <row r="25" spans="1:14" ht="30" customHeight="1" x14ac:dyDescent="0.25">
      <c r="A25" s="399" t="s">
        <v>73</v>
      </c>
      <c r="B25" s="400"/>
      <c r="C25" s="401"/>
      <c r="D25" s="198">
        <f t="shared" ref="D25:N25" si="2">SUM(D5:D24)</f>
        <v>230443641</v>
      </c>
      <c r="E25" s="198">
        <f t="shared" si="2"/>
        <v>230369755</v>
      </c>
      <c r="F25" s="198">
        <f t="shared" si="2"/>
        <v>0</v>
      </c>
      <c r="G25" s="198">
        <f t="shared" si="2"/>
        <v>-25298732</v>
      </c>
      <c r="H25" s="198">
        <f t="shared" si="2"/>
        <v>16016</v>
      </c>
      <c r="I25" s="198">
        <f t="shared" si="2"/>
        <v>-12604</v>
      </c>
      <c r="J25" s="198">
        <f t="shared" si="2"/>
        <v>-4692</v>
      </c>
      <c r="K25" s="198">
        <f t="shared" si="2"/>
        <v>-42719</v>
      </c>
      <c r="L25" s="198">
        <f t="shared" si="2"/>
        <v>205027024</v>
      </c>
      <c r="M25" s="199">
        <f t="shared" si="2"/>
        <v>205027024</v>
      </c>
      <c r="N25" s="198">
        <f t="shared" si="2"/>
        <v>0</v>
      </c>
    </row>
    <row r="26" spans="1:14" x14ac:dyDescent="0.25">
      <c r="A26" s="258" t="s">
        <v>11</v>
      </c>
      <c r="B26" s="252" t="s">
        <v>23</v>
      </c>
      <c r="C26" s="2" t="s">
        <v>24</v>
      </c>
      <c r="D26" s="3">
        <v>35883092</v>
      </c>
      <c r="E26" s="3">
        <v>35438980</v>
      </c>
      <c r="F26" s="3">
        <f>-92498-243000</f>
        <v>-335498</v>
      </c>
      <c r="G26" s="3"/>
      <c r="H26" s="3"/>
      <c r="I26" s="3"/>
      <c r="J26" s="20"/>
      <c r="K26" s="20"/>
      <c r="L26" s="20">
        <f t="shared" si="0"/>
        <v>35103482</v>
      </c>
      <c r="M26" s="112">
        <v>33217285</v>
      </c>
      <c r="N26" s="3">
        <f t="shared" ref="N26:N32" si="3">L26-M26</f>
        <v>1886197</v>
      </c>
    </row>
    <row r="27" spans="1:14" x14ac:dyDescent="0.25">
      <c r="A27" s="258"/>
      <c r="B27" s="253"/>
      <c r="C27" s="2" t="s">
        <v>25</v>
      </c>
      <c r="D27" s="3">
        <v>1542000</v>
      </c>
      <c r="E27" s="3">
        <v>1542000</v>
      </c>
      <c r="F27" s="3">
        <v>163000</v>
      </c>
      <c r="G27" s="3"/>
      <c r="H27" s="3"/>
      <c r="I27" s="3"/>
      <c r="J27" s="20"/>
      <c r="K27" s="20"/>
      <c r="L27" s="20">
        <f t="shared" si="0"/>
        <v>1705000</v>
      </c>
      <c r="M27" s="112">
        <v>1705000</v>
      </c>
      <c r="N27" s="3">
        <f t="shared" si="3"/>
        <v>0</v>
      </c>
    </row>
    <row r="28" spans="1:14" x14ac:dyDescent="0.25">
      <c r="A28" s="258"/>
      <c r="B28" s="253"/>
      <c r="C28" s="2" t="s">
        <v>26</v>
      </c>
      <c r="D28" s="3">
        <v>80000</v>
      </c>
      <c r="E28" s="3">
        <v>80000</v>
      </c>
      <c r="F28" s="3"/>
      <c r="G28" s="3"/>
      <c r="H28" s="3"/>
      <c r="I28" s="3"/>
      <c r="J28" s="20"/>
      <c r="K28" s="20"/>
      <c r="L28" s="20">
        <f t="shared" si="0"/>
        <v>80000</v>
      </c>
      <c r="M28" s="112">
        <v>75000</v>
      </c>
      <c r="N28" s="3">
        <f t="shared" si="3"/>
        <v>5000</v>
      </c>
    </row>
    <row r="29" spans="1:14" x14ac:dyDescent="0.25">
      <c r="A29" s="258"/>
      <c r="B29" s="253"/>
      <c r="C29" s="2" t="s">
        <v>27</v>
      </c>
      <c r="D29" s="3">
        <v>893400</v>
      </c>
      <c r="E29" s="3">
        <v>887586</v>
      </c>
      <c r="F29" s="3">
        <f>-14688-21108</f>
        <v>-35796</v>
      </c>
      <c r="G29" s="3"/>
      <c r="H29" s="3"/>
      <c r="I29" s="3"/>
      <c r="J29" s="20"/>
      <c r="K29" s="20"/>
      <c r="L29" s="20">
        <f t="shared" si="0"/>
        <v>851790</v>
      </c>
      <c r="M29" s="112">
        <v>741934</v>
      </c>
      <c r="N29" s="3">
        <f t="shared" si="3"/>
        <v>109856</v>
      </c>
    </row>
    <row r="30" spans="1:14" x14ac:dyDescent="0.25">
      <c r="A30" s="258"/>
      <c r="B30" s="253"/>
      <c r="C30" s="2" t="s">
        <v>28</v>
      </c>
      <c r="D30" s="3">
        <v>190000</v>
      </c>
      <c r="E30" s="3">
        <v>190000</v>
      </c>
      <c r="F30" s="3"/>
      <c r="G30" s="3"/>
      <c r="H30" s="3"/>
      <c r="I30" s="3"/>
      <c r="J30" s="20"/>
      <c r="K30" s="20"/>
      <c r="L30" s="20">
        <f t="shared" si="0"/>
        <v>190000</v>
      </c>
      <c r="M30" s="112">
        <v>183000</v>
      </c>
      <c r="N30" s="3">
        <f t="shared" si="3"/>
        <v>7000</v>
      </c>
    </row>
    <row r="31" spans="1:14" x14ac:dyDescent="0.25">
      <c r="A31" s="258"/>
      <c r="B31" s="253"/>
      <c r="C31" s="2" t="s">
        <v>29</v>
      </c>
      <c r="D31" s="3">
        <v>1086500</v>
      </c>
      <c r="E31" s="3">
        <v>1414943</v>
      </c>
      <c r="F31" s="3">
        <f>92498+53836-53163-375000+75000</f>
        <v>-206829</v>
      </c>
      <c r="G31" s="3"/>
      <c r="H31" s="3"/>
      <c r="I31" s="3"/>
      <c r="J31" s="20"/>
      <c r="K31" s="20"/>
      <c r="L31" s="20">
        <f t="shared" si="0"/>
        <v>1208114</v>
      </c>
      <c r="M31" s="112">
        <v>1208114</v>
      </c>
      <c r="N31" s="3">
        <f t="shared" si="3"/>
        <v>0</v>
      </c>
    </row>
    <row r="32" spans="1:14" x14ac:dyDescent="0.25">
      <c r="A32" s="258"/>
      <c r="B32" s="253"/>
      <c r="C32" s="2" t="s">
        <v>30</v>
      </c>
      <c r="D32" s="3">
        <v>100000</v>
      </c>
      <c r="E32" s="3">
        <v>100000</v>
      </c>
      <c r="F32" s="3">
        <v>-28556</v>
      </c>
      <c r="G32" s="3"/>
      <c r="H32" s="3"/>
      <c r="I32" s="3"/>
      <c r="J32" s="20"/>
      <c r="K32" s="20"/>
      <c r="L32" s="20">
        <f t="shared" si="0"/>
        <v>71444</v>
      </c>
      <c r="M32" s="112">
        <v>67798</v>
      </c>
      <c r="N32" s="3">
        <f t="shared" si="3"/>
        <v>3646</v>
      </c>
    </row>
    <row r="33" spans="1:14" x14ac:dyDescent="0.25">
      <c r="A33" s="258"/>
      <c r="B33" s="253"/>
      <c r="C33" s="6" t="s">
        <v>53</v>
      </c>
      <c r="D33" s="7">
        <f>SUM(D26:D32)</f>
        <v>39774992</v>
      </c>
      <c r="E33" s="7">
        <v>39653509</v>
      </c>
      <c r="F33" s="7">
        <f t="shared" ref="F33:N33" si="4">SUM(F26:F32)</f>
        <v>-443679</v>
      </c>
      <c r="G33" s="7">
        <f t="shared" si="4"/>
        <v>0</v>
      </c>
      <c r="H33" s="7">
        <f t="shared" si="4"/>
        <v>0</v>
      </c>
      <c r="I33" s="7">
        <f t="shared" si="4"/>
        <v>0</v>
      </c>
      <c r="J33" s="7">
        <f t="shared" si="4"/>
        <v>0</v>
      </c>
      <c r="K33" s="7">
        <f t="shared" si="4"/>
        <v>0</v>
      </c>
      <c r="L33" s="7">
        <f t="shared" si="4"/>
        <v>39209830</v>
      </c>
      <c r="M33" s="114">
        <f t="shared" si="4"/>
        <v>37198131</v>
      </c>
      <c r="N33" s="7">
        <f t="shared" si="4"/>
        <v>2011699</v>
      </c>
    </row>
    <row r="34" spans="1:14" x14ac:dyDescent="0.25">
      <c r="A34" s="258"/>
      <c r="B34" s="253"/>
      <c r="C34" s="86" t="s">
        <v>31</v>
      </c>
      <c r="D34" s="87">
        <v>7793417</v>
      </c>
      <c r="E34" s="87">
        <v>7795732</v>
      </c>
      <c r="F34" s="87"/>
      <c r="G34" s="87"/>
      <c r="H34" s="87"/>
      <c r="I34" s="87"/>
      <c r="J34" s="201"/>
      <c r="K34" s="201"/>
      <c r="L34" s="88">
        <f t="shared" si="0"/>
        <v>7795732</v>
      </c>
      <c r="M34" s="115">
        <v>7430559</v>
      </c>
      <c r="N34" s="89">
        <f t="shared" ref="N34:N48" si="5">L34-M34</f>
        <v>365173</v>
      </c>
    </row>
    <row r="35" spans="1:14" x14ac:dyDescent="0.25">
      <c r="A35" s="258"/>
      <c r="B35" s="253"/>
      <c r="C35" s="2" t="s">
        <v>32</v>
      </c>
      <c r="D35" s="3">
        <v>105000</v>
      </c>
      <c r="E35" s="3">
        <v>115000</v>
      </c>
      <c r="F35" s="3"/>
      <c r="G35" s="3"/>
      <c r="H35" s="3"/>
      <c r="I35" s="3"/>
      <c r="J35" s="20"/>
      <c r="K35" s="20"/>
      <c r="L35" s="20">
        <f t="shared" si="0"/>
        <v>115000</v>
      </c>
      <c r="M35" s="112">
        <v>24818</v>
      </c>
      <c r="N35" s="3">
        <f t="shared" si="5"/>
        <v>90182</v>
      </c>
    </row>
    <row r="36" spans="1:14" x14ac:dyDescent="0.25">
      <c r="A36" s="258"/>
      <c r="B36" s="253"/>
      <c r="C36" s="2" t="s">
        <v>33</v>
      </c>
      <c r="D36" s="3">
        <v>500000</v>
      </c>
      <c r="E36" s="3">
        <v>500000</v>
      </c>
      <c r="F36" s="3"/>
      <c r="G36" s="3"/>
      <c r="H36" s="3"/>
      <c r="I36" s="3"/>
      <c r="J36" s="20"/>
      <c r="K36" s="20"/>
      <c r="L36" s="20">
        <f t="shared" si="0"/>
        <v>500000</v>
      </c>
      <c r="M36" s="112">
        <v>30073</v>
      </c>
      <c r="N36" s="3">
        <f t="shared" si="5"/>
        <v>469927</v>
      </c>
    </row>
    <row r="37" spans="1:14" x14ac:dyDescent="0.25">
      <c r="A37" s="258"/>
      <c r="B37" s="253"/>
      <c r="C37" s="2" t="s">
        <v>34</v>
      </c>
      <c r="D37" s="3">
        <v>213000</v>
      </c>
      <c r="E37" s="3">
        <v>213000</v>
      </c>
      <c r="F37" s="3"/>
      <c r="G37" s="3"/>
      <c r="H37" s="3"/>
      <c r="I37" s="3"/>
      <c r="J37" s="20"/>
      <c r="K37" s="20"/>
      <c r="L37" s="20">
        <f t="shared" si="0"/>
        <v>213000</v>
      </c>
      <c r="M37" s="112">
        <v>130512</v>
      </c>
      <c r="N37" s="3">
        <f t="shared" si="5"/>
        <v>82488</v>
      </c>
    </row>
    <row r="38" spans="1:14" x14ac:dyDescent="0.25">
      <c r="A38" s="258"/>
      <c r="B38" s="253"/>
      <c r="C38" s="2" t="s">
        <v>35</v>
      </c>
      <c r="D38" s="3">
        <v>162000</v>
      </c>
      <c r="E38" s="3">
        <v>162000</v>
      </c>
      <c r="F38" s="3"/>
      <c r="G38" s="3"/>
      <c r="H38" s="3"/>
      <c r="I38" s="3"/>
      <c r="J38" s="20"/>
      <c r="K38" s="20"/>
      <c r="L38" s="20">
        <f t="shared" si="0"/>
        <v>162000</v>
      </c>
      <c r="M38" s="112">
        <v>67599</v>
      </c>
      <c r="N38" s="3">
        <f t="shared" si="5"/>
        <v>94401</v>
      </c>
    </row>
    <row r="39" spans="1:14" x14ac:dyDescent="0.25">
      <c r="A39" s="258"/>
      <c r="B39" s="253"/>
      <c r="C39" s="2" t="s">
        <v>36</v>
      </c>
      <c r="D39" s="3">
        <v>569540</v>
      </c>
      <c r="E39" s="3">
        <v>569540</v>
      </c>
      <c r="F39" s="3"/>
      <c r="G39" s="3"/>
      <c r="H39" s="3"/>
      <c r="I39" s="3"/>
      <c r="J39" s="20"/>
      <c r="K39" s="20"/>
      <c r="L39" s="20">
        <f t="shared" si="0"/>
        <v>569540</v>
      </c>
      <c r="M39" s="112">
        <v>486150</v>
      </c>
      <c r="N39" s="3">
        <f t="shared" si="5"/>
        <v>83390</v>
      </c>
    </row>
    <row r="40" spans="1:14" x14ac:dyDescent="0.25">
      <c r="A40" s="258"/>
      <c r="B40" s="253"/>
      <c r="C40" s="2" t="s">
        <v>37</v>
      </c>
      <c r="D40" s="3">
        <v>3000</v>
      </c>
      <c r="E40" s="3">
        <v>3000</v>
      </c>
      <c r="F40" s="3"/>
      <c r="G40" s="3"/>
      <c r="H40" s="3"/>
      <c r="I40" s="3"/>
      <c r="J40" s="20"/>
      <c r="K40" s="20"/>
      <c r="L40" s="20">
        <f t="shared" si="0"/>
        <v>3000</v>
      </c>
      <c r="M40" s="112">
        <v>0</v>
      </c>
      <c r="N40" s="3">
        <f t="shared" si="5"/>
        <v>3000</v>
      </c>
    </row>
    <row r="41" spans="1:14" x14ac:dyDescent="0.25">
      <c r="A41" s="258"/>
      <c r="B41" s="253"/>
      <c r="C41" s="2" t="s">
        <v>38</v>
      </c>
      <c r="D41" s="3">
        <v>460000</v>
      </c>
      <c r="E41" s="3">
        <v>456500</v>
      </c>
      <c r="F41" s="3"/>
      <c r="G41" s="3"/>
      <c r="H41" s="3"/>
      <c r="I41" s="3"/>
      <c r="J41" s="20"/>
      <c r="K41" s="20"/>
      <c r="L41" s="20">
        <f t="shared" si="0"/>
        <v>456500</v>
      </c>
      <c r="M41" s="112">
        <v>242022</v>
      </c>
      <c r="N41" s="3">
        <f t="shared" si="5"/>
        <v>214478</v>
      </c>
    </row>
    <row r="42" spans="1:14" x14ac:dyDescent="0.25">
      <c r="A42" s="258"/>
      <c r="B42" s="253"/>
      <c r="C42" s="2" t="s">
        <v>39</v>
      </c>
      <c r="D42" s="3">
        <v>13200</v>
      </c>
      <c r="E42" s="3">
        <v>31926</v>
      </c>
      <c r="F42" s="3"/>
      <c r="G42" s="3"/>
      <c r="H42" s="3"/>
      <c r="I42" s="3">
        <v>-5724</v>
      </c>
      <c r="J42" s="20"/>
      <c r="K42" s="20"/>
      <c r="L42" s="20">
        <f t="shared" si="0"/>
        <v>26202</v>
      </c>
      <c r="M42" s="112">
        <v>26202</v>
      </c>
      <c r="N42" s="60">
        <f t="shared" si="5"/>
        <v>0</v>
      </c>
    </row>
    <row r="43" spans="1:14" x14ac:dyDescent="0.25">
      <c r="A43" s="258"/>
      <c r="B43" s="253"/>
      <c r="C43" s="2" t="s">
        <v>40</v>
      </c>
      <c r="D43" s="3">
        <v>137800</v>
      </c>
      <c r="E43" s="3">
        <v>62800</v>
      </c>
      <c r="F43" s="3">
        <v>44100</v>
      </c>
      <c r="G43" s="3"/>
      <c r="H43" s="3"/>
      <c r="I43" s="3"/>
      <c r="J43" s="20"/>
      <c r="K43" s="20"/>
      <c r="L43" s="20">
        <f t="shared" si="0"/>
        <v>106900</v>
      </c>
      <c r="M43" s="112">
        <v>106900</v>
      </c>
      <c r="N43" s="60">
        <f t="shared" si="5"/>
        <v>0</v>
      </c>
    </row>
    <row r="44" spans="1:14" x14ac:dyDescent="0.25">
      <c r="A44" s="258"/>
      <c r="B44" s="253"/>
      <c r="C44" s="2" t="s">
        <v>41</v>
      </c>
      <c r="D44" s="3">
        <v>582236</v>
      </c>
      <c r="E44" s="3">
        <v>608510</v>
      </c>
      <c r="F44" s="3">
        <f>90000+375000-4529</f>
        <v>460471</v>
      </c>
      <c r="G44" s="3"/>
      <c r="H44" s="3"/>
      <c r="I44" s="3"/>
      <c r="J44" s="20"/>
      <c r="K44" s="20"/>
      <c r="L44" s="20">
        <f t="shared" si="0"/>
        <v>1068981</v>
      </c>
      <c r="M44" s="112">
        <v>969654</v>
      </c>
      <c r="N44" s="3">
        <f t="shared" si="5"/>
        <v>99327</v>
      </c>
    </row>
    <row r="45" spans="1:14" x14ac:dyDescent="0.25">
      <c r="A45" s="258"/>
      <c r="B45" s="253"/>
      <c r="C45" s="2" t="s">
        <v>42</v>
      </c>
      <c r="D45" s="3">
        <v>552000</v>
      </c>
      <c r="E45" s="3">
        <v>504045</v>
      </c>
      <c r="F45" s="3"/>
      <c r="G45" s="3"/>
      <c r="H45" s="3"/>
      <c r="I45" s="3"/>
      <c r="J45" s="20"/>
      <c r="K45" s="20"/>
      <c r="L45" s="20">
        <f t="shared" si="0"/>
        <v>504045</v>
      </c>
      <c r="M45" s="112">
        <v>440510</v>
      </c>
      <c r="N45" s="3">
        <f t="shared" si="5"/>
        <v>63535</v>
      </c>
    </row>
    <row r="46" spans="1:14" x14ac:dyDescent="0.25">
      <c r="A46" s="258"/>
      <c r="B46" s="253"/>
      <c r="C46" s="2" t="s">
        <v>43</v>
      </c>
      <c r="D46" s="3">
        <v>30000</v>
      </c>
      <c r="E46" s="3">
        <v>30000</v>
      </c>
      <c r="F46" s="3"/>
      <c r="G46" s="3"/>
      <c r="H46" s="3"/>
      <c r="I46" s="3"/>
      <c r="J46" s="20"/>
      <c r="K46" s="20"/>
      <c r="L46" s="20">
        <f t="shared" si="0"/>
        <v>30000</v>
      </c>
      <c r="M46" s="112">
        <v>0</v>
      </c>
      <c r="N46" s="3">
        <f t="shared" si="5"/>
        <v>30000</v>
      </c>
    </row>
    <row r="47" spans="1:14" x14ac:dyDescent="0.25">
      <c r="A47" s="258"/>
      <c r="B47" s="253"/>
      <c r="C47" s="2" t="s">
        <v>44</v>
      </c>
      <c r="D47" s="3">
        <v>455834</v>
      </c>
      <c r="E47" s="3">
        <v>218435</v>
      </c>
      <c r="F47" s="3"/>
      <c r="G47" s="3"/>
      <c r="H47" s="3"/>
      <c r="I47" s="3"/>
      <c r="J47" s="20"/>
      <c r="K47" s="20"/>
      <c r="L47" s="20">
        <f t="shared" si="0"/>
        <v>218435</v>
      </c>
      <c r="M47" s="112">
        <v>186362</v>
      </c>
      <c r="N47" s="3">
        <f t="shared" si="5"/>
        <v>32073</v>
      </c>
    </row>
    <row r="48" spans="1:14" x14ac:dyDescent="0.25">
      <c r="A48" s="258"/>
      <c r="B48" s="253"/>
      <c r="C48" s="2" t="s">
        <v>45</v>
      </c>
      <c r="D48" s="3">
        <v>80000</v>
      </c>
      <c r="E48" s="3">
        <v>75764</v>
      </c>
      <c r="F48" s="3"/>
      <c r="G48" s="3"/>
      <c r="H48" s="3"/>
      <c r="I48" s="3"/>
      <c r="J48" s="20"/>
      <c r="K48" s="20"/>
      <c r="L48" s="20">
        <f t="shared" si="0"/>
        <v>75764</v>
      </c>
      <c r="M48" s="112">
        <v>65938</v>
      </c>
      <c r="N48" s="3">
        <f t="shared" si="5"/>
        <v>9826</v>
      </c>
    </row>
    <row r="49" spans="1:14" x14ac:dyDescent="0.25">
      <c r="A49" s="258"/>
      <c r="B49" s="253"/>
      <c r="C49" s="6" t="s">
        <v>49</v>
      </c>
      <c r="D49" s="7">
        <f>SUM(D35:D48)</f>
        <v>3863610</v>
      </c>
      <c r="E49" s="7">
        <v>3550520</v>
      </c>
      <c r="F49" s="7">
        <f t="shared" ref="F49:N49" si="6">SUM(F35:F48)</f>
        <v>504571</v>
      </c>
      <c r="G49" s="7">
        <f t="shared" si="6"/>
        <v>0</v>
      </c>
      <c r="H49" s="7">
        <f t="shared" si="6"/>
        <v>0</v>
      </c>
      <c r="I49" s="7">
        <f t="shared" si="6"/>
        <v>-5724</v>
      </c>
      <c r="J49" s="7">
        <f t="shared" si="6"/>
        <v>0</v>
      </c>
      <c r="K49" s="7">
        <f t="shared" si="6"/>
        <v>0</v>
      </c>
      <c r="L49" s="7">
        <f t="shared" si="6"/>
        <v>4049367</v>
      </c>
      <c r="M49" s="114">
        <f t="shared" si="6"/>
        <v>2776740</v>
      </c>
      <c r="N49" s="7">
        <f t="shared" si="6"/>
        <v>1272627</v>
      </c>
    </row>
    <row r="50" spans="1:14" x14ac:dyDescent="0.25">
      <c r="A50" s="258"/>
      <c r="B50" s="253"/>
      <c r="C50" s="2" t="s">
        <v>50</v>
      </c>
      <c r="D50" s="3">
        <v>78740</v>
      </c>
      <c r="E50" s="3">
        <v>78740</v>
      </c>
      <c r="F50" s="3"/>
      <c r="G50" s="3"/>
      <c r="H50" s="3"/>
      <c r="I50" s="3"/>
      <c r="J50" s="20"/>
      <c r="K50" s="20"/>
      <c r="L50" s="20">
        <f t="shared" si="0"/>
        <v>78740</v>
      </c>
      <c r="M50" s="112">
        <v>78740</v>
      </c>
      <c r="N50" s="3">
        <f t="shared" ref="N50:N51" si="7">L50-M50</f>
        <v>0</v>
      </c>
    </row>
    <row r="51" spans="1:14" x14ac:dyDescent="0.25">
      <c r="A51" s="258"/>
      <c r="B51" s="253"/>
      <c r="C51" s="2" t="s">
        <v>51</v>
      </c>
      <c r="D51" s="3">
        <v>21260</v>
      </c>
      <c r="E51" s="3">
        <v>21260</v>
      </c>
      <c r="F51" s="3"/>
      <c r="G51" s="3"/>
      <c r="H51" s="3"/>
      <c r="I51" s="3"/>
      <c r="J51" s="20"/>
      <c r="K51" s="20"/>
      <c r="L51" s="20">
        <f t="shared" si="0"/>
        <v>21260</v>
      </c>
      <c r="M51" s="112">
        <v>21260</v>
      </c>
      <c r="N51" s="3">
        <f t="shared" si="7"/>
        <v>0</v>
      </c>
    </row>
    <row r="52" spans="1:14" x14ac:dyDescent="0.25">
      <c r="A52" s="258"/>
      <c r="B52" s="254"/>
      <c r="C52" s="6" t="s">
        <v>52</v>
      </c>
      <c r="D52" s="7">
        <f>SUM(D50:D51)</f>
        <v>100000</v>
      </c>
      <c r="E52" s="7">
        <v>100000</v>
      </c>
      <c r="F52" s="7">
        <f t="shared" ref="F52:N52" si="8">SUM(F50:F51)</f>
        <v>0</v>
      </c>
      <c r="G52" s="7">
        <f t="shared" si="8"/>
        <v>0</v>
      </c>
      <c r="H52" s="7">
        <f t="shared" si="8"/>
        <v>0</v>
      </c>
      <c r="I52" s="7">
        <f t="shared" si="8"/>
        <v>0</v>
      </c>
      <c r="J52" s="7">
        <f t="shared" si="8"/>
        <v>0</v>
      </c>
      <c r="K52" s="7">
        <f t="shared" si="8"/>
        <v>0</v>
      </c>
      <c r="L52" s="7">
        <f t="shared" si="8"/>
        <v>100000</v>
      </c>
      <c r="M52" s="114">
        <f t="shared" si="8"/>
        <v>100000</v>
      </c>
      <c r="N52" s="7">
        <f t="shared" si="8"/>
        <v>0</v>
      </c>
    </row>
    <row r="53" spans="1:14" x14ac:dyDescent="0.25">
      <c r="A53" s="258"/>
      <c r="B53" s="268" t="s">
        <v>46</v>
      </c>
      <c r="C53" s="2" t="s">
        <v>24</v>
      </c>
      <c r="D53" s="3">
        <v>25123345</v>
      </c>
      <c r="E53" s="3">
        <v>24749706</v>
      </c>
      <c r="F53" s="3">
        <v>-80000</v>
      </c>
      <c r="G53" s="3"/>
      <c r="H53" s="3"/>
      <c r="I53" s="3"/>
      <c r="J53" s="20"/>
      <c r="K53" s="20"/>
      <c r="L53" s="20">
        <f t="shared" si="0"/>
        <v>24669706</v>
      </c>
      <c r="M53" s="112">
        <v>23441856</v>
      </c>
      <c r="N53" s="3">
        <f t="shared" ref="N53:N61" si="9">L53-M53</f>
        <v>1227850</v>
      </c>
    </row>
    <row r="54" spans="1:14" x14ac:dyDescent="0.25">
      <c r="A54" s="258"/>
      <c r="B54" s="268"/>
      <c r="C54" s="2" t="s">
        <v>47</v>
      </c>
      <c r="D54" s="3">
        <v>2040480</v>
      </c>
      <c r="E54" s="3">
        <v>2040480</v>
      </c>
      <c r="F54" s="3"/>
      <c r="G54" s="3"/>
      <c r="H54" s="3"/>
      <c r="I54" s="3"/>
      <c r="J54" s="20"/>
      <c r="K54" s="20"/>
      <c r="L54" s="20">
        <f t="shared" si="0"/>
        <v>2040480</v>
      </c>
      <c r="M54" s="112">
        <v>1928489</v>
      </c>
      <c r="N54" s="3">
        <f t="shared" si="9"/>
        <v>111991</v>
      </c>
    </row>
    <row r="55" spans="1:14" x14ac:dyDescent="0.25">
      <c r="A55" s="258"/>
      <c r="B55" s="268"/>
      <c r="C55" s="2" t="s">
        <v>48</v>
      </c>
      <c r="D55" s="3">
        <v>0</v>
      </c>
      <c r="E55" s="3">
        <v>0</v>
      </c>
      <c r="F55" s="3"/>
      <c r="G55" s="3"/>
      <c r="H55" s="3"/>
      <c r="I55" s="3"/>
      <c r="J55" s="20"/>
      <c r="K55" s="20"/>
      <c r="L55" s="20">
        <f t="shared" si="0"/>
        <v>0</v>
      </c>
      <c r="M55" s="112">
        <v>0</v>
      </c>
      <c r="N55" s="3">
        <f t="shared" si="9"/>
        <v>0</v>
      </c>
    </row>
    <row r="56" spans="1:14" x14ac:dyDescent="0.25">
      <c r="A56" s="258"/>
      <c r="B56" s="268"/>
      <c r="C56" s="2" t="s">
        <v>25</v>
      </c>
      <c r="D56" s="3">
        <v>1025000</v>
      </c>
      <c r="E56" s="3">
        <v>1025000</v>
      </c>
      <c r="F56" s="3">
        <v>80000</v>
      </c>
      <c r="G56" s="3"/>
      <c r="H56" s="3"/>
      <c r="I56" s="3"/>
      <c r="J56" s="20"/>
      <c r="K56" s="20"/>
      <c r="L56" s="20">
        <f t="shared" si="0"/>
        <v>1105000</v>
      </c>
      <c r="M56" s="112">
        <v>1105000</v>
      </c>
      <c r="N56" s="3">
        <f t="shared" si="9"/>
        <v>0</v>
      </c>
    </row>
    <row r="57" spans="1:14" x14ac:dyDescent="0.25">
      <c r="A57" s="258"/>
      <c r="B57" s="268"/>
      <c r="C57" s="2" t="s">
        <v>26</v>
      </c>
      <c r="D57" s="3">
        <v>60000</v>
      </c>
      <c r="E57" s="3">
        <v>60000</v>
      </c>
      <c r="F57" s="3"/>
      <c r="G57" s="3"/>
      <c r="H57" s="3"/>
      <c r="I57" s="3"/>
      <c r="J57" s="20"/>
      <c r="K57" s="20"/>
      <c r="L57" s="20">
        <f t="shared" si="0"/>
        <v>60000</v>
      </c>
      <c r="M57" s="112">
        <v>50000</v>
      </c>
      <c r="N57" s="3">
        <f t="shared" si="9"/>
        <v>10000</v>
      </c>
    </row>
    <row r="58" spans="1:14" x14ac:dyDescent="0.25">
      <c r="A58" s="258"/>
      <c r="B58" s="268"/>
      <c r="C58" s="2" t="s">
        <v>27</v>
      </c>
      <c r="D58" s="3">
        <v>240000</v>
      </c>
      <c r="E58" s="3">
        <v>229902</v>
      </c>
      <c r="F58" s="3">
        <v>21108</v>
      </c>
      <c r="G58" s="3"/>
      <c r="H58" s="3"/>
      <c r="I58" s="3"/>
      <c r="J58" s="20"/>
      <c r="K58" s="20"/>
      <c r="L58" s="20">
        <f t="shared" si="0"/>
        <v>251010</v>
      </c>
      <c r="M58" s="112">
        <v>251010</v>
      </c>
      <c r="N58" s="60">
        <f t="shared" si="9"/>
        <v>0</v>
      </c>
    </row>
    <row r="59" spans="1:14" x14ac:dyDescent="0.25">
      <c r="A59" s="258"/>
      <c r="B59" s="268"/>
      <c r="C59" s="2" t="s">
        <v>28</v>
      </c>
      <c r="D59" s="3">
        <v>147000</v>
      </c>
      <c r="E59" s="3">
        <v>147000</v>
      </c>
      <c r="F59" s="3"/>
      <c r="G59" s="3"/>
      <c r="H59" s="3"/>
      <c r="I59" s="3"/>
      <c r="J59" s="20"/>
      <c r="K59" s="20"/>
      <c r="L59" s="20">
        <f t="shared" si="0"/>
        <v>147000</v>
      </c>
      <c r="M59" s="112">
        <v>117000</v>
      </c>
      <c r="N59" s="3">
        <f t="shared" si="9"/>
        <v>30000</v>
      </c>
    </row>
    <row r="60" spans="1:14" x14ac:dyDescent="0.25">
      <c r="A60" s="258"/>
      <c r="B60" s="268"/>
      <c r="C60" s="2" t="s">
        <v>29</v>
      </c>
      <c r="D60" s="3">
        <v>553500</v>
      </c>
      <c r="E60" s="3">
        <v>1017697</v>
      </c>
      <c r="F60" s="3">
        <f>53163-75000</f>
        <v>-21837</v>
      </c>
      <c r="G60" s="3"/>
      <c r="H60" s="3"/>
      <c r="I60" s="3"/>
      <c r="J60" s="20"/>
      <c r="K60" s="20"/>
      <c r="L60" s="20">
        <f t="shared" si="0"/>
        <v>995860</v>
      </c>
      <c r="M60" s="112">
        <v>995860</v>
      </c>
      <c r="N60" s="60">
        <f t="shared" si="9"/>
        <v>0</v>
      </c>
    </row>
    <row r="61" spans="1:14" x14ac:dyDescent="0.25">
      <c r="A61" s="258"/>
      <c r="B61" s="268"/>
      <c r="C61" s="2" t="s">
        <v>30</v>
      </c>
      <c r="D61" s="3">
        <v>100000</v>
      </c>
      <c r="E61" s="3">
        <v>100000</v>
      </c>
      <c r="F61" s="3"/>
      <c r="G61" s="3"/>
      <c r="H61" s="3"/>
      <c r="I61" s="3"/>
      <c r="J61" s="20"/>
      <c r="K61" s="20"/>
      <c r="L61" s="20">
        <f t="shared" si="0"/>
        <v>100000</v>
      </c>
      <c r="M61" s="112">
        <v>67798</v>
      </c>
      <c r="N61" s="3">
        <f t="shared" si="9"/>
        <v>32202</v>
      </c>
    </row>
    <row r="62" spans="1:14" x14ac:dyDescent="0.25">
      <c r="A62" s="258"/>
      <c r="B62" s="268"/>
      <c r="C62" s="6" t="s">
        <v>53</v>
      </c>
      <c r="D62" s="7">
        <f>SUM(D53:D61)</f>
        <v>29289325</v>
      </c>
      <c r="E62" s="7">
        <v>29369785</v>
      </c>
      <c r="F62" s="7">
        <f t="shared" ref="F62:N62" si="10">SUM(F53:F61)</f>
        <v>-729</v>
      </c>
      <c r="G62" s="7">
        <f t="shared" si="10"/>
        <v>0</v>
      </c>
      <c r="H62" s="7">
        <f t="shared" si="10"/>
        <v>0</v>
      </c>
      <c r="I62" s="7">
        <f t="shared" si="10"/>
        <v>0</v>
      </c>
      <c r="J62" s="7">
        <f t="shared" si="10"/>
        <v>0</v>
      </c>
      <c r="K62" s="7">
        <f t="shared" si="10"/>
        <v>0</v>
      </c>
      <c r="L62" s="7">
        <f t="shared" si="10"/>
        <v>29369056</v>
      </c>
      <c r="M62" s="114">
        <f t="shared" si="10"/>
        <v>27957013</v>
      </c>
      <c r="N62" s="7">
        <f t="shared" si="10"/>
        <v>1412043</v>
      </c>
    </row>
    <row r="63" spans="1:14" x14ac:dyDescent="0.25">
      <c r="A63" s="258"/>
      <c r="B63" s="268"/>
      <c r="C63" s="86" t="s">
        <v>31</v>
      </c>
      <c r="D63" s="87">
        <v>5849797</v>
      </c>
      <c r="E63" s="87">
        <v>5859251</v>
      </c>
      <c r="F63" s="87"/>
      <c r="G63" s="87"/>
      <c r="H63" s="87"/>
      <c r="I63" s="87"/>
      <c r="J63" s="201"/>
      <c r="K63" s="201"/>
      <c r="L63" s="88">
        <f t="shared" si="0"/>
        <v>5859251</v>
      </c>
      <c r="M63" s="115">
        <v>5755387</v>
      </c>
      <c r="N63" s="89">
        <f t="shared" ref="N63:N76" si="11">L63-M63</f>
        <v>103864</v>
      </c>
    </row>
    <row r="64" spans="1:14" x14ac:dyDescent="0.25">
      <c r="A64" s="258"/>
      <c r="B64" s="268"/>
      <c r="C64" s="2" t="s">
        <v>32</v>
      </c>
      <c r="D64" s="3">
        <v>105000</v>
      </c>
      <c r="E64" s="3">
        <v>91486</v>
      </c>
      <c r="F64" s="3"/>
      <c r="G64" s="3"/>
      <c r="H64" s="3"/>
      <c r="I64" s="3"/>
      <c r="J64" s="20"/>
      <c r="K64" s="20"/>
      <c r="L64" s="20">
        <f t="shared" si="0"/>
        <v>91486</v>
      </c>
      <c r="M64" s="112">
        <v>24820</v>
      </c>
      <c r="N64" s="3">
        <f t="shared" si="11"/>
        <v>66666</v>
      </c>
    </row>
    <row r="65" spans="1:14" x14ac:dyDescent="0.25">
      <c r="A65" s="258"/>
      <c r="B65" s="268"/>
      <c r="C65" s="2" t="s">
        <v>33</v>
      </c>
      <c r="D65" s="3">
        <v>700000</v>
      </c>
      <c r="E65" s="3">
        <v>200000</v>
      </c>
      <c r="F65" s="3"/>
      <c r="G65" s="3"/>
      <c r="H65" s="3"/>
      <c r="I65" s="3"/>
      <c r="J65" s="20"/>
      <c r="K65" s="20"/>
      <c r="L65" s="20">
        <f t="shared" si="0"/>
        <v>200000</v>
      </c>
      <c r="M65" s="112">
        <v>72045</v>
      </c>
      <c r="N65" s="3">
        <f t="shared" si="11"/>
        <v>127955</v>
      </c>
    </row>
    <row r="66" spans="1:14" x14ac:dyDescent="0.25">
      <c r="A66" s="258"/>
      <c r="B66" s="268"/>
      <c r="C66" s="2" t="s">
        <v>34</v>
      </c>
      <c r="D66" s="3">
        <v>213000</v>
      </c>
      <c r="E66" s="3">
        <v>213000</v>
      </c>
      <c r="F66" s="3"/>
      <c r="G66" s="3"/>
      <c r="H66" s="3"/>
      <c r="I66" s="3"/>
      <c r="J66" s="20"/>
      <c r="K66" s="20"/>
      <c r="L66" s="20">
        <f t="shared" si="0"/>
        <v>213000</v>
      </c>
      <c r="M66" s="112">
        <v>122894</v>
      </c>
      <c r="N66" s="3">
        <f t="shared" si="11"/>
        <v>90106</v>
      </c>
    </row>
    <row r="67" spans="1:14" x14ac:dyDescent="0.25">
      <c r="A67" s="258"/>
      <c r="B67" s="268"/>
      <c r="C67" s="2" t="s">
        <v>35</v>
      </c>
      <c r="D67" s="3">
        <v>288000</v>
      </c>
      <c r="E67" s="3">
        <v>122200</v>
      </c>
      <c r="F67" s="3"/>
      <c r="G67" s="3"/>
      <c r="H67" s="3"/>
      <c r="I67" s="3"/>
      <c r="J67" s="20"/>
      <c r="K67" s="20"/>
      <c r="L67" s="20">
        <f t="shared" si="0"/>
        <v>122200</v>
      </c>
      <c r="M67" s="112">
        <v>114093</v>
      </c>
      <c r="N67" s="3">
        <f t="shared" si="11"/>
        <v>8107</v>
      </c>
    </row>
    <row r="68" spans="1:14" x14ac:dyDescent="0.25">
      <c r="A68" s="258"/>
      <c r="B68" s="268"/>
      <c r="C68" s="2" t="s">
        <v>36</v>
      </c>
      <c r="D68" s="3">
        <v>669540</v>
      </c>
      <c r="E68" s="3">
        <v>669540</v>
      </c>
      <c r="F68" s="3"/>
      <c r="G68" s="3"/>
      <c r="H68" s="3"/>
      <c r="I68" s="3"/>
      <c r="J68" s="20"/>
      <c r="K68" s="20"/>
      <c r="L68" s="20">
        <f t="shared" si="0"/>
        <v>669540</v>
      </c>
      <c r="M68" s="112">
        <v>586445</v>
      </c>
      <c r="N68" s="3">
        <f t="shared" si="11"/>
        <v>83095</v>
      </c>
    </row>
    <row r="69" spans="1:14" x14ac:dyDescent="0.25">
      <c r="A69" s="258"/>
      <c r="B69" s="268"/>
      <c r="C69" s="2" t="s">
        <v>37</v>
      </c>
      <c r="D69" s="3">
        <v>123000</v>
      </c>
      <c r="E69" s="3">
        <v>123000</v>
      </c>
      <c r="F69" s="3"/>
      <c r="G69" s="3"/>
      <c r="H69" s="3"/>
      <c r="I69" s="3"/>
      <c r="J69" s="20"/>
      <c r="K69" s="20"/>
      <c r="L69" s="20">
        <f t="shared" si="0"/>
        <v>123000</v>
      </c>
      <c r="M69" s="112">
        <v>0</v>
      </c>
      <c r="N69" s="3">
        <f t="shared" si="11"/>
        <v>123000</v>
      </c>
    </row>
    <row r="70" spans="1:14" x14ac:dyDescent="0.25">
      <c r="A70" s="258"/>
      <c r="B70" s="268"/>
      <c r="C70" s="2" t="s">
        <v>38</v>
      </c>
      <c r="D70" s="3">
        <v>460000</v>
      </c>
      <c r="E70" s="3">
        <v>460000</v>
      </c>
      <c r="F70" s="3"/>
      <c r="G70" s="3"/>
      <c r="H70" s="3"/>
      <c r="I70" s="3"/>
      <c r="J70" s="20"/>
      <c r="K70" s="20"/>
      <c r="L70" s="20">
        <f t="shared" ref="L70:L76" si="12">E70+F70+G70+H70+I70+J70+K70</f>
        <v>460000</v>
      </c>
      <c r="M70" s="112">
        <v>232805</v>
      </c>
      <c r="N70" s="3">
        <f t="shared" si="11"/>
        <v>227195</v>
      </c>
    </row>
    <row r="71" spans="1:14" x14ac:dyDescent="0.25">
      <c r="A71" s="258"/>
      <c r="B71" s="268"/>
      <c r="C71" s="2" t="s">
        <v>40</v>
      </c>
      <c r="D71" s="3">
        <v>1361904</v>
      </c>
      <c r="E71" s="3">
        <v>1253268</v>
      </c>
      <c r="F71" s="3">
        <f>-90000-44100</f>
        <v>-134100</v>
      </c>
      <c r="G71" s="3"/>
      <c r="H71" s="3"/>
      <c r="I71" s="3"/>
      <c r="J71" s="20"/>
      <c r="K71" s="20"/>
      <c r="L71" s="20">
        <f t="shared" si="12"/>
        <v>1119168</v>
      </c>
      <c r="M71" s="112">
        <v>844804</v>
      </c>
      <c r="N71" s="3">
        <f t="shared" si="11"/>
        <v>274364</v>
      </c>
    </row>
    <row r="72" spans="1:14" x14ac:dyDescent="0.25">
      <c r="A72" s="258"/>
      <c r="B72" s="268"/>
      <c r="C72" s="2" t="s">
        <v>41</v>
      </c>
      <c r="D72" s="3">
        <v>982236</v>
      </c>
      <c r="E72" s="3">
        <v>1589187</v>
      </c>
      <c r="F72" s="3">
        <v>4529</v>
      </c>
      <c r="G72" s="3"/>
      <c r="H72" s="3"/>
      <c r="I72" s="3">
        <v>-6880</v>
      </c>
      <c r="J72" s="20"/>
      <c r="K72" s="20"/>
      <c r="L72" s="20">
        <f t="shared" si="12"/>
        <v>1586836</v>
      </c>
      <c r="M72" s="112">
        <v>1586836</v>
      </c>
      <c r="N72" s="3">
        <f t="shared" si="11"/>
        <v>0</v>
      </c>
    </row>
    <row r="73" spans="1:14" x14ac:dyDescent="0.25">
      <c r="A73" s="258"/>
      <c r="B73" s="268"/>
      <c r="C73" s="2" t="s">
        <v>42</v>
      </c>
      <c r="D73" s="3">
        <v>1200000</v>
      </c>
      <c r="E73" s="3">
        <v>899045</v>
      </c>
      <c r="F73" s="3"/>
      <c r="G73" s="3"/>
      <c r="H73" s="3"/>
      <c r="I73" s="3"/>
      <c r="J73" s="20"/>
      <c r="K73" s="20"/>
      <c r="L73" s="20">
        <f t="shared" si="12"/>
        <v>899045</v>
      </c>
      <c r="M73" s="112">
        <v>355315</v>
      </c>
      <c r="N73" s="3">
        <f t="shared" si="11"/>
        <v>543730</v>
      </c>
    </row>
    <row r="74" spans="1:14" x14ac:dyDescent="0.25">
      <c r="A74" s="258"/>
      <c r="B74" s="268"/>
      <c r="C74" s="2" t="s">
        <v>43</v>
      </c>
      <c r="D74" s="3">
        <v>30000</v>
      </c>
      <c r="E74" s="3">
        <v>30000</v>
      </c>
      <c r="F74" s="3"/>
      <c r="G74" s="3"/>
      <c r="H74" s="3"/>
      <c r="I74" s="3"/>
      <c r="J74" s="20"/>
      <c r="K74" s="20"/>
      <c r="L74" s="20">
        <f t="shared" si="12"/>
        <v>30000</v>
      </c>
      <c r="M74" s="112">
        <v>0</v>
      </c>
      <c r="N74" s="3">
        <f t="shared" si="11"/>
        <v>30000</v>
      </c>
    </row>
    <row r="75" spans="1:14" x14ac:dyDescent="0.25">
      <c r="A75" s="258"/>
      <c r="B75" s="268"/>
      <c r="C75" s="2" t="s">
        <v>44</v>
      </c>
      <c r="D75" s="3">
        <v>1041508</v>
      </c>
      <c r="E75" s="3">
        <v>978143</v>
      </c>
      <c r="F75" s="3"/>
      <c r="G75" s="3"/>
      <c r="H75" s="3"/>
      <c r="I75" s="3"/>
      <c r="J75" s="20"/>
      <c r="K75" s="20"/>
      <c r="L75" s="20">
        <f t="shared" si="12"/>
        <v>978143</v>
      </c>
      <c r="M75" s="112">
        <v>391072</v>
      </c>
      <c r="N75" s="3">
        <f t="shared" si="11"/>
        <v>587071</v>
      </c>
    </row>
    <row r="76" spans="1:14" x14ac:dyDescent="0.25">
      <c r="A76" s="258"/>
      <c r="B76" s="268"/>
      <c r="C76" s="2" t="s">
        <v>45</v>
      </c>
      <c r="D76" s="3">
        <v>433021</v>
      </c>
      <c r="E76" s="3">
        <v>107603</v>
      </c>
      <c r="F76" s="3">
        <v>88139</v>
      </c>
      <c r="G76" s="3"/>
      <c r="H76" s="3"/>
      <c r="I76" s="3"/>
      <c r="J76" s="20"/>
      <c r="K76" s="20"/>
      <c r="L76" s="20">
        <f t="shared" si="12"/>
        <v>195742</v>
      </c>
      <c r="M76" s="112">
        <v>0</v>
      </c>
      <c r="N76" s="3">
        <f t="shared" si="11"/>
        <v>195742</v>
      </c>
    </row>
    <row r="77" spans="1:14" x14ac:dyDescent="0.25">
      <c r="A77" s="258"/>
      <c r="B77" s="268"/>
      <c r="C77" s="6" t="s">
        <v>49</v>
      </c>
      <c r="D77" s="7">
        <f>SUM(D64:D76)</f>
        <v>7607209</v>
      </c>
      <c r="E77" s="7">
        <v>6736472</v>
      </c>
      <c r="F77" s="7">
        <f t="shared" ref="F77:N77" si="13">SUM(F64:F76)</f>
        <v>-41432</v>
      </c>
      <c r="G77" s="7">
        <f t="shared" si="13"/>
        <v>0</v>
      </c>
      <c r="H77" s="7">
        <f t="shared" si="13"/>
        <v>0</v>
      </c>
      <c r="I77" s="7">
        <f t="shared" si="13"/>
        <v>-6880</v>
      </c>
      <c r="J77" s="7">
        <f t="shared" si="13"/>
        <v>0</v>
      </c>
      <c r="K77" s="7">
        <f t="shared" si="13"/>
        <v>0</v>
      </c>
      <c r="L77" s="7">
        <f t="shared" si="13"/>
        <v>6688160</v>
      </c>
      <c r="M77" s="114">
        <f t="shared" si="13"/>
        <v>4331129</v>
      </c>
      <c r="N77" s="7">
        <f t="shared" si="13"/>
        <v>2357031</v>
      </c>
    </row>
    <row r="78" spans="1:14" x14ac:dyDescent="0.25">
      <c r="A78" s="258"/>
      <c r="B78" s="268"/>
      <c r="C78" s="2" t="s">
        <v>50</v>
      </c>
      <c r="D78" s="3">
        <v>78740</v>
      </c>
      <c r="E78" s="3">
        <v>78740</v>
      </c>
      <c r="F78" s="3"/>
      <c r="G78" s="3"/>
      <c r="H78" s="3"/>
      <c r="I78" s="3"/>
      <c r="J78" s="20"/>
      <c r="K78" s="20"/>
      <c r="L78" s="20">
        <f t="shared" ref="L78:L79" si="14">E78+F78+G78+H78+I78+J78+K78</f>
        <v>78740</v>
      </c>
      <c r="M78" s="112">
        <v>78740</v>
      </c>
      <c r="N78" s="3">
        <f t="shared" ref="N78:N79" si="15">L78-M78</f>
        <v>0</v>
      </c>
    </row>
    <row r="79" spans="1:14" x14ac:dyDescent="0.25">
      <c r="A79" s="258"/>
      <c r="B79" s="268"/>
      <c r="C79" s="2" t="s">
        <v>51</v>
      </c>
      <c r="D79" s="3">
        <v>21260</v>
      </c>
      <c r="E79" s="3">
        <v>21260</v>
      </c>
      <c r="F79" s="3"/>
      <c r="G79" s="3"/>
      <c r="H79" s="3"/>
      <c r="I79" s="3"/>
      <c r="J79" s="20"/>
      <c r="K79" s="20"/>
      <c r="L79" s="20">
        <f t="shared" si="14"/>
        <v>21260</v>
      </c>
      <c r="M79" s="112">
        <v>21260</v>
      </c>
      <c r="N79" s="3">
        <f t="shared" si="15"/>
        <v>0</v>
      </c>
    </row>
    <row r="80" spans="1:14" x14ac:dyDescent="0.25">
      <c r="A80" s="258"/>
      <c r="B80" s="268"/>
      <c r="C80" s="6" t="s">
        <v>52</v>
      </c>
      <c r="D80" s="7">
        <f>SUM(D78:D79)</f>
        <v>100000</v>
      </c>
      <c r="E80" s="7">
        <v>100000</v>
      </c>
      <c r="F80" s="7">
        <f t="shared" ref="F80:N80" si="16">SUM(F78:F79)</f>
        <v>0</v>
      </c>
      <c r="G80" s="7">
        <f t="shared" si="16"/>
        <v>0</v>
      </c>
      <c r="H80" s="7">
        <f t="shared" si="16"/>
        <v>0</v>
      </c>
      <c r="I80" s="7">
        <f t="shared" si="16"/>
        <v>0</v>
      </c>
      <c r="J80" s="7">
        <f t="shared" si="16"/>
        <v>0</v>
      </c>
      <c r="K80" s="7">
        <f t="shared" si="16"/>
        <v>0</v>
      </c>
      <c r="L80" s="7">
        <f t="shared" si="16"/>
        <v>100000</v>
      </c>
      <c r="M80" s="114">
        <f t="shared" si="16"/>
        <v>100000</v>
      </c>
      <c r="N80" s="7">
        <f t="shared" si="16"/>
        <v>0</v>
      </c>
    </row>
    <row r="81" spans="1:14" x14ac:dyDescent="0.25">
      <c r="A81" s="259" t="s">
        <v>58</v>
      </c>
      <c r="B81" s="261" t="s">
        <v>46</v>
      </c>
      <c r="C81" s="15" t="s">
        <v>29</v>
      </c>
      <c r="D81" s="24">
        <v>410400</v>
      </c>
      <c r="E81" s="24">
        <v>446800</v>
      </c>
      <c r="F81" s="11"/>
      <c r="G81" s="197"/>
      <c r="H81" s="197"/>
      <c r="I81" s="11"/>
      <c r="J81" s="211">
        <v>-4000</v>
      </c>
      <c r="K81" s="211"/>
      <c r="L81" s="20">
        <f t="shared" ref="L81:L88" si="17">E81+F81+G81+H81+I81+J81+K81</f>
        <v>442800</v>
      </c>
      <c r="M81" s="112">
        <v>442800</v>
      </c>
      <c r="N81" s="3">
        <f t="shared" ref="N81:N88" si="18">L81-M81</f>
        <v>0</v>
      </c>
    </row>
    <row r="82" spans="1:14" x14ac:dyDescent="0.25">
      <c r="A82" s="260"/>
      <c r="B82" s="262"/>
      <c r="C82" s="15" t="s">
        <v>31</v>
      </c>
      <c r="D82" s="24">
        <v>76266</v>
      </c>
      <c r="E82" s="24">
        <v>83194</v>
      </c>
      <c r="F82" s="11"/>
      <c r="G82" s="197"/>
      <c r="H82" s="197"/>
      <c r="I82" s="11"/>
      <c r="J82" s="211">
        <v>-698</v>
      </c>
      <c r="K82" s="211"/>
      <c r="L82" s="20">
        <f t="shared" si="17"/>
        <v>82496</v>
      </c>
      <c r="M82" s="112">
        <v>82496</v>
      </c>
      <c r="N82" s="3">
        <f t="shared" si="18"/>
        <v>0</v>
      </c>
    </row>
    <row r="83" spans="1:14" x14ac:dyDescent="0.25">
      <c r="A83" s="259" t="s">
        <v>59</v>
      </c>
      <c r="B83" s="261" t="s">
        <v>23</v>
      </c>
      <c r="C83" s="15" t="s">
        <v>29</v>
      </c>
      <c r="D83" s="24">
        <v>603600</v>
      </c>
      <c r="E83" s="24">
        <v>341800</v>
      </c>
      <c r="F83" s="11"/>
      <c r="G83" s="197"/>
      <c r="H83" s="197"/>
      <c r="I83" s="11"/>
      <c r="J83" s="211"/>
      <c r="K83" s="211"/>
      <c r="L83" s="20">
        <f t="shared" si="17"/>
        <v>341800</v>
      </c>
      <c r="M83" s="112">
        <v>341800</v>
      </c>
      <c r="N83" s="3">
        <f t="shared" si="18"/>
        <v>0</v>
      </c>
    </row>
    <row r="84" spans="1:14" x14ac:dyDescent="0.25">
      <c r="A84" s="260"/>
      <c r="B84" s="262"/>
      <c r="C84" s="15" t="s">
        <v>31</v>
      </c>
      <c r="D84" s="24">
        <v>112169</v>
      </c>
      <c r="E84" s="24">
        <v>64003</v>
      </c>
      <c r="F84" s="11"/>
      <c r="G84" s="197"/>
      <c r="H84" s="197"/>
      <c r="I84" s="11"/>
      <c r="J84" s="211">
        <v>4</v>
      </c>
      <c r="K84" s="211"/>
      <c r="L84" s="20">
        <f t="shared" si="17"/>
        <v>64007</v>
      </c>
      <c r="M84" s="112">
        <v>64007</v>
      </c>
      <c r="N84" s="3">
        <f t="shared" si="18"/>
        <v>0</v>
      </c>
    </row>
    <row r="85" spans="1:14" x14ac:dyDescent="0.25">
      <c r="A85" s="259" t="s">
        <v>60</v>
      </c>
      <c r="B85" s="261" t="s">
        <v>23</v>
      </c>
      <c r="C85" s="15" t="s">
        <v>24</v>
      </c>
      <c r="D85" s="24">
        <v>10676226</v>
      </c>
      <c r="E85" s="24">
        <v>10373051</v>
      </c>
      <c r="F85" s="11"/>
      <c r="G85" s="197"/>
      <c r="H85" s="197"/>
      <c r="I85" s="11"/>
      <c r="J85" s="211"/>
      <c r="K85" s="211">
        <v>-44713</v>
      </c>
      <c r="L85" s="20">
        <f t="shared" si="17"/>
        <v>10328338</v>
      </c>
      <c r="M85" s="112">
        <v>10328338</v>
      </c>
      <c r="N85" s="3">
        <f t="shared" si="18"/>
        <v>0</v>
      </c>
    </row>
    <row r="86" spans="1:14" x14ac:dyDescent="0.25">
      <c r="A86" s="260"/>
      <c r="B86" s="262"/>
      <c r="C86" s="15" t="s">
        <v>31</v>
      </c>
      <c r="D86" s="24">
        <v>1989265</v>
      </c>
      <c r="E86" s="24">
        <v>1935515</v>
      </c>
      <c r="F86" s="11"/>
      <c r="G86" s="197"/>
      <c r="H86" s="197"/>
      <c r="I86" s="11"/>
      <c r="J86" s="211"/>
      <c r="K86" s="211">
        <v>-7825</v>
      </c>
      <c r="L86" s="20">
        <f t="shared" si="17"/>
        <v>1927690</v>
      </c>
      <c r="M86" s="112">
        <v>1927690</v>
      </c>
      <c r="N86" s="3">
        <f t="shared" si="18"/>
        <v>0</v>
      </c>
    </row>
    <row r="87" spans="1:14" x14ac:dyDescent="0.25">
      <c r="A87" s="259" t="s">
        <v>61</v>
      </c>
      <c r="B87" s="261" t="s">
        <v>46</v>
      </c>
      <c r="C87" s="15" t="s">
        <v>24</v>
      </c>
      <c r="D87" s="24">
        <v>8397674</v>
      </c>
      <c r="E87" s="24">
        <v>7711817</v>
      </c>
      <c r="F87" s="11"/>
      <c r="G87" s="197"/>
      <c r="H87" s="197">
        <v>13629</v>
      </c>
      <c r="I87" s="11"/>
      <c r="J87" s="211"/>
      <c r="K87" s="211">
        <v>-58652</v>
      </c>
      <c r="L87" s="20">
        <f t="shared" si="17"/>
        <v>7666794</v>
      </c>
      <c r="M87" s="112">
        <v>7666585</v>
      </c>
      <c r="N87" s="3">
        <f t="shared" si="18"/>
        <v>209</v>
      </c>
    </row>
    <row r="88" spans="1:14" x14ac:dyDescent="0.25">
      <c r="A88" s="260"/>
      <c r="B88" s="262"/>
      <c r="C88" s="15" t="s">
        <v>31</v>
      </c>
      <c r="D88" s="24">
        <v>1563353</v>
      </c>
      <c r="E88" s="24">
        <v>1437826</v>
      </c>
      <c r="F88" s="11"/>
      <c r="G88" s="197"/>
      <c r="H88" s="197">
        <v>2387</v>
      </c>
      <c r="I88" s="11"/>
      <c r="J88" s="211"/>
      <c r="K88" s="211">
        <v>-10269</v>
      </c>
      <c r="L88" s="20">
        <f t="shared" si="17"/>
        <v>1429944</v>
      </c>
      <c r="M88" s="112">
        <v>1427557</v>
      </c>
      <c r="N88" s="3">
        <f t="shared" si="18"/>
        <v>2387</v>
      </c>
    </row>
    <row r="89" spans="1:14" x14ac:dyDescent="0.25">
      <c r="A89" s="304" t="s">
        <v>76</v>
      </c>
      <c r="B89" s="305"/>
      <c r="C89" s="306"/>
      <c r="D89" s="84">
        <f t="shared" ref="D89:N89" si="19">SUM(D33+D34+D49+D52+D62+D63+D77+D80+D81+D82+D83+D84+D85+D86+D87+D88)</f>
        <v>118207303</v>
      </c>
      <c r="E89" s="84">
        <v>115559275</v>
      </c>
      <c r="F89" s="84">
        <f t="shared" si="19"/>
        <v>18731</v>
      </c>
      <c r="G89" s="84">
        <f t="shared" si="19"/>
        <v>0</v>
      </c>
      <c r="H89" s="84">
        <f t="shared" si="19"/>
        <v>16016</v>
      </c>
      <c r="I89" s="84">
        <f t="shared" si="19"/>
        <v>-12604</v>
      </c>
      <c r="J89" s="84">
        <f t="shared" si="19"/>
        <v>-4694</v>
      </c>
      <c r="K89" s="84">
        <f t="shared" si="19"/>
        <v>-121459</v>
      </c>
      <c r="L89" s="84">
        <f t="shared" si="19"/>
        <v>115455265</v>
      </c>
      <c r="M89" s="84">
        <f t="shared" si="19"/>
        <v>107930232</v>
      </c>
      <c r="N89" s="84">
        <f t="shared" si="19"/>
        <v>7525033</v>
      </c>
    </row>
    <row r="90" spans="1:14" x14ac:dyDescent="0.25">
      <c r="A90" s="258" t="s">
        <v>12</v>
      </c>
      <c r="B90" s="268" t="s">
        <v>23</v>
      </c>
      <c r="C90" s="2" t="s">
        <v>24</v>
      </c>
      <c r="D90" s="3">
        <v>4811583</v>
      </c>
      <c r="E90" s="3">
        <v>4914162</v>
      </c>
      <c r="F90" s="3">
        <v>-315610</v>
      </c>
      <c r="G90" s="3"/>
      <c r="H90" s="3"/>
      <c r="I90" s="3"/>
      <c r="J90" s="20"/>
      <c r="K90" s="20"/>
      <c r="L90" s="20">
        <f t="shared" ref="L90:L96" si="20">E90+F90+G90+H90+I90+J90+K90</f>
        <v>4598552</v>
      </c>
      <c r="M90" s="112">
        <v>4598552</v>
      </c>
      <c r="N90" s="3">
        <f t="shared" ref="N90:N96" si="21">L90-M90</f>
        <v>0</v>
      </c>
    </row>
    <row r="91" spans="1:14" x14ac:dyDescent="0.25">
      <c r="A91" s="258"/>
      <c r="B91" s="268"/>
      <c r="C91" s="2" t="s">
        <v>25</v>
      </c>
      <c r="D91" s="3">
        <v>200000</v>
      </c>
      <c r="E91" s="3">
        <v>200000</v>
      </c>
      <c r="F91" s="3">
        <v>40000</v>
      </c>
      <c r="G91" s="3"/>
      <c r="H91" s="3"/>
      <c r="I91" s="3"/>
      <c r="J91" s="20"/>
      <c r="K91" s="20"/>
      <c r="L91" s="20">
        <f t="shared" si="20"/>
        <v>240000</v>
      </c>
      <c r="M91" s="112">
        <v>240000</v>
      </c>
      <c r="N91" s="3">
        <f t="shared" si="21"/>
        <v>0</v>
      </c>
    </row>
    <row r="92" spans="1:14" x14ac:dyDescent="0.25">
      <c r="A92" s="258"/>
      <c r="B92" s="268"/>
      <c r="C92" s="2" t="s">
        <v>26</v>
      </c>
      <c r="D92" s="3">
        <v>10000</v>
      </c>
      <c r="E92" s="3">
        <v>10000</v>
      </c>
      <c r="F92" s="3"/>
      <c r="G92" s="3"/>
      <c r="H92" s="3"/>
      <c r="I92" s="3"/>
      <c r="J92" s="20"/>
      <c r="K92" s="20"/>
      <c r="L92" s="20">
        <f t="shared" si="20"/>
        <v>10000</v>
      </c>
      <c r="M92" s="112">
        <v>10000</v>
      </c>
      <c r="N92" s="3">
        <f t="shared" si="21"/>
        <v>0</v>
      </c>
    </row>
    <row r="93" spans="1:14" x14ac:dyDescent="0.25">
      <c r="A93" s="258"/>
      <c r="B93" s="268"/>
      <c r="C93" s="2" t="s">
        <v>27</v>
      </c>
      <c r="D93" s="3">
        <v>198000</v>
      </c>
      <c r="E93" s="3">
        <v>198000</v>
      </c>
      <c r="F93" s="3">
        <v>-18180</v>
      </c>
      <c r="G93" s="3"/>
      <c r="H93" s="3"/>
      <c r="I93" s="3"/>
      <c r="J93" s="20"/>
      <c r="K93" s="20"/>
      <c r="L93" s="20">
        <f t="shared" si="20"/>
        <v>179820</v>
      </c>
      <c r="M93" s="112">
        <v>179820</v>
      </c>
      <c r="N93" s="3">
        <f t="shared" si="21"/>
        <v>0</v>
      </c>
    </row>
    <row r="94" spans="1:14" x14ac:dyDescent="0.25">
      <c r="A94" s="258"/>
      <c r="B94" s="268"/>
      <c r="C94" s="2" t="s">
        <v>28</v>
      </c>
      <c r="D94" s="3">
        <v>24000</v>
      </c>
      <c r="E94" s="3">
        <v>24000</v>
      </c>
      <c r="F94" s="3"/>
      <c r="G94" s="3"/>
      <c r="H94" s="3"/>
      <c r="I94" s="3"/>
      <c r="J94" s="20"/>
      <c r="K94" s="20"/>
      <c r="L94" s="20">
        <f t="shared" si="20"/>
        <v>24000</v>
      </c>
      <c r="M94" s="112">
        <v>24000</v>
      </c>
      <c r="N94" s="3">
        <f t="shared" si="21"/>
        <v>0</v>
      </c>
    </row>
    <row r="95" spans="1:14" x14ac:dyDescent="0.25">
      <c r="A95" s="258"/>
      <c r="B95" s="268"/>
      <c r="C95" s="2" t="s">
        <v>29</v>
      </c>
      <c r="D95" s="3">
        <v>75000</v>
      </c>
      <c r="E95" s="3">
        <v>253715</v>
      </c>
      <c r="F95" s="3">
        <f>-56000-75000</f>
        <v>-131000</v>
      </c>
      <c r="G95" s="3"/>
      <c r="H95" s="3"/>
      <c r="I95" s="3"/>
      <c r="J95" s="20"/>
      <c r="K95" s="20"/>
      <c r="L95" s="20">
        <f t="shared" si="20"/>
        <v>122715</v>
      </c>
      <c r="M95" s="112">
        <v>122715</v>
      </c>
      <c r="N95" s="3">
        <f t="shared" si="21"/>
        <v>0</v>
      </c>
    </row>
    <row r="96" spans="1:14" x14ac:dyDescent="0.25">
      <c r="A96" s="258"/>
      <c r="B96" s="268"/>
      <c r="C96" s="2" t="s">
        <v>30</v>
      </c>
      <c r="D96" s="3">
        <v>0</v>
      </c>
      <c r="E96" s="3">
        <v>6878</v>
      </c>
      <c r="F96" s="3"/>
      <c r="G96" s="3"/>
      <c r="H96" s="3"/>
      <c r="I96" s="3"/>
      <c r="J96" s="20"/>
      <c r="K96" s="20"/>
      <c r="L96" s="20">
        <f t="shared" si="20"/>
        <v>6878</v>
      </c>
      <c r="M96" s="112">
        <v>6878</v>
      </c>
      <c r="N96" s="3">
        <f t="shared" si="21"/>
        <v>0</v>
      </c>
    </row>
    <row r="97" spans="1:14" x14ac:dyDescent="0.25">
      <c r="A97" s="258"/>
      <c r="B97" s="268"/>
      <c r="C97" s="6" t="s">
        <v>53</v>
      </c>
      <c r="D97" s="7">
        <f>SUM(D90:D96)</f>
        <v>5318583</v>
      </c>
      <c r="E97" s="7">
        <v>5606755</v>
      </c>
      <c r="F97" s="7">
        <f t="shared" ref="F97:N97" si="22">SUM(F90:F96)</f>
        <v>-424790</v>
      </c>
      <c r="G97" s="7">
        <f t="shared" si="22"/>
        <v>0</v>
      </c>
      <c r="H97" s="7">
        <f t="shared" si="22"/>
        <v>0</v>
      </c>
      <c r="I97" s="7">
        <f t="shared" si="22"/>
        <v>0</v>
      </c>
      <c r="J97" s="7">
        <f t="shared" si="22"/>
        <v>0</v>
      </c>
      <c r="K97" s="7">
        <f t="shared" si="22"/>
        <v>0</v>
      </c>
      <c r="L97" s="7">
        <f t="shared" si="22"/>
        <v>5181965</v>
      </c>
      <c r="M97" s="114">
        <f t="shared" si="22"/>
        <v>5181965</v>
      </c>
      <c r="N97" s="7">
        <f t="shared" si="22"/>
        <v>0</v>
      </c>
    </row>
    <row r="98" spans="1:14" x14ac:dyDescent="0.25">
      <c r="A98" s="258"/>
      <c r="B98" s="268"/>
      <c r="C98" s="86" t="s">
        <v>31</v>
      </c>
      <c r="D98" s="87">
        <v>1035556</v>
      </c>
      <c r="E98" s="87">
        <v>1091378</v>
      </c>
      <c r="F98" s="87">
        <v>-30793</v>
      </c>
      <c r="G98" s="87"/>
      <c r="H98" s="87"/>
      <c r="I98" s="87"/>
      <c r="J98" s="201"/>
      <c r="K98" s="201"/>
      <c r="L98" s="88">
        <f t="shared" ref="L98:L108" si="23">E98+F98+G98+H98+I98+J98+K98</f>
        <v>1060585</v>
      </c>
      <c r="M98" s="115">
        <v>1032358</v>
      </c>
      <c r="N98" s="89">
        <f t="shared" ref="N98:N108" si="24">L98-M98</f>
        <v>28227</v>
      </c>
    </row>
    <row r="99" spans="1:14" x14ac:dyDescent="0.25">
      <c r="A99" s="258"/>
      <c r="B99" s="268"/>
      <c r="C99" s="2" t="s">
        <v>32</v>
      </c>
      <c r="D99" s="3">
        <v>100000</v>
      </c>
      <c r="E99" s="3">
        <v>304254</v>
      </c>
      <c r="F99" s="3">
        <v>62860</v>
      </c>
      <c r="G99" s="3"/>
      <c r="H99" s="3"/>
      <c r="I99" s="3"/>
      <c r="J99" s="20"/>
      <c r="K99" s="20"/>
      <c r="L99" s="20">
        <f t="shared" si="23"/>
        <v>367114</v>
      </c>
      <c r="M99" s="112">
        <v>367114</v>
      </c>
      <c r="N99" s="3">
        <f t="shared" si="24"/>
        <v>0</v>
      </c>
    </row>
    <row r="100" spans="1:14" x14ac:dyDescent="0.25">
      <c r="A100" s="258"/>
      <c r="B100" s="268"/>
      <c r="C100" s="2" t="s">
        <v>33</v>
      </c>
      <c r="D100" s="3">
        <v>100000</v>
      </c>
      <c r="E100" s="3">
        <v>227485</v>
      </c>
      <c r="F100" s="3">
        <v>438979</v>
      </c>
      <c r="G100" s="3"/>
      <c r="H100" s="3"/>
      <c r="I100" s="3"/>
      <c r="J100" s="20"/>
      <c r="K100" s="20"/>
      <c r="L100" s="20">
        <f t="shared" si="23"/>
        <v>666464</v>
      </c>
      <c r="M100" s="112">
        <v>666464</v>
      </c>
      <c r="N100" s="3">
        <f t="shared" si="24"/>
        <v>0</v>
      </c>
    </row>
    <row r="101" spans="1:14" x14ac:dyDescent="0.25">
      <c r="A101" s="258"/>
      <c r="B101" s="268"/>
      <c r="C101" s="2" t="s">
        <v>34</v>
      </c>
      <c r="D101" s="3">
        <v>210000</v>
      </c>
      <c r="E101" s="3">
        <v>0</v>
      </c>
      <c r="F101" s="3"/>
      <c r="G101" s="3"/>
      <c r="H101" s="3"/>
      <c r="I101" s="3"/>
      <c r="J101" s="20"/>
      <c r="K101" s="20"/>
      <c r="L101" s="20">
        <f t="shared" si="23"/>
        <v>0</v>
      </c>
      <c r="M101" s="112">
        <v>0</v>
      </c>
      <c r="N101" s="3">
        <f t="shared" si="24"/>
        <v>0</v>
      </c>
    </row>
    <row r="102" spans="1:14" x14ac:dyDescent="0.25">
      <c r="A102" s="258"/>
      <c r="B102" s="268"/>
      <c r="C102" s="2" t="s">
        <v>35</v>
      </c>
      <c r="D102" s="3">
        <v>110000</v>
      </c>
      <c r="E102" s="3">
        <v>0</v>
      </c>
      <c r="F102" s="3"/>
      <c r="G102" s="3"/>
      <c r="H102" s="3"/>
      <c r="I102" s="3"/>
      <c r="J102" s="20"/>
      <c r="K102" s="20"/>
      <c r="L102" s="20">
        <f t="shared" si="23"/>
        <v>0</v>
      </c>
      <c r="M102" s="112">
        <v>0</v>
      </c>
      <c r="N102" s="3">
        <f t="shared" si="24"/>
        <v>0</v>
      </c>
    </row>
    <row r="103" spans="1:14" x14ac:dyDescent="0.25">
      <c r="A103" s="258"/>
      <c r="B103" s="268"/>
      <c r="C103" s="2" t="s">
        <v>36</v>
      </c>
      <c r="D103" s="3">
        <v>500000</v>
      </c>
      <c r="E103" s="3">
        <v>499100</v>
      </c>
      <c r="F103" s="3">
        <v>-54967</v>
      </c>
      <c r="G103" s="3"/>
      <c r="H103" s="3"/>
      <c r="I103" s="3"/>
      <c r="J103" s="20"/>
      <c r="K103" s="20"/>
      <c r="L103" s="20">
        <f t="shared" si="23"/>
        <v>444133</v>
      </c>
      <c r="M103" s="112">
        <v>444133</v>
      </c>
      <c r="N103" s="3">
        <f t="shared" si="24"/>
        <v>0</v>
      </c>
    </row>
    <row r="104" spans="1:14" x14ac:dyDescent="0.25">
      <c r="A104" s="258"/>
      <c r="B104" s="268"/>
      <c r="C104" s="2" t="s">
        <v>38</v>
      </c>
      <c r="D104" s="3">
        <v>140000</v>
      </c>
      <c r="E104" s="3">
        <v>93641</v>
      </c>
      <c r="F104" s="3">
        <v>-91400</v>
      </c>
      <c r="G104" s="3"/>
      <c r="H104" s="3"/>
      <c r="I104" s="3"/>
      <c r="J104" s="20"/>
      <c r="K104" s="20"/>
      <c r="L104" s="20">
        <f t="shared" si="23"/>
        <v>2241</v>
      </c>
      <c r="M104" s="112">
        <v>2241</v>
      </c>
      <c r="N104" s="3">
        <f t="shared" si="24"/>
        <v>0</v>
      </c>
    </row>
    <row r="105" spans="1:14" x14ac:dyDescent="0.25">
      <c r="A105" s="258"/>
      <c r="B105" s="268"/>
      <c r="C105" s="2" t="s">
        <v>40</v>
      </c>
      <c r="D105" s="3">
        <v>16800</v>
      </c>
      <c r="E105" s="3">
        <v>20200</v>
      </c>
      <c r="F105" s="3">
        <v>-6600</v>
      </c>
      <c r="G105" s="3"/>
      <c r="H105" s="3"/>
      <c r="I105" s="3"/>
      <c r="J105" s="20"/>
      <c r="K105" s="20"/>
      <c r="L105" s="20">
        <f t="shared" si="23"/>
        <v>13600</v>
      </c>
      <c r="M105" s="112">
        <v>13600</v>
      </c>
      <c r="N105" s="3">
        <f t="shared" si="24"/>
        <v>0</v>
      </c>
    </row>
    <row r="106" spans="1:14" x14ac:dyDescent="0.25">
      <c r="A106" s="258"/>
      <c r="B106" s="268"/>
      <c r="C106" s="2" t="s">
        <v>41</v>
      </c>
      <c r="D106" s="3">
        <v>80000</v>
      </c>
      <c r="E106" s="3">
        <v>117280</v>
      </c>
      <c r="F106" s="3">
        <f>-25300+75000</f>
        <v>49700</v>
      </c>
      <c r="G106" s="3"/>
      <c r="H106" s="3"/>
      <c r="I106" s="3"/>
      <c r="J106" s="20"/>
      <c r="K106" s="20"/>
      <c r="L106" s="20">
        <f t="shared" si="23"/>
        <v>166980</v>
      </c>
      <c r="M106" s="112">
        <v>166980</v>
      </c>
      <c r="N106" s="60">
        <f t="shared" si="24"/>
        <v>0</v>
      </c>
    </row>
    <row r="107" spans="1:14" x14ac:dyDescent="0.25">
      <c r="A107" s="258"/>
      <c r="B107" s="268"/>
      <c r="C107" s="2" t="s">
        <v>42</v>
      </c>
      <c r="D107" s="3">
        <v>240000</v>
      </c>
      <c r="E107" s="3">
        <v>240000</v>
      </c>
      <c r="F107" s="3">
        <v>-61915</v>
      </c>
      <c r="G107" s="3"/>
      <c r="H107" s="3"/>
      <c r="I107" s="3"/>
      <c r="J107" s="20"/>
      <c r="K107" s="20"/>
      <c r="L107" s="20">
        <f t="shared" si="23"/>
        <v>178085</v>
      </c>
      <c r="M107" s="112">
        <v>178085</v>
      </c>
      <c r="N107" s="3">
        <f t="shared" si="24"/>
        <v>0</v>
      </c>
    </row>
    <row r="108" spans="1:14" x14ac:dyDescent="0.25">
      <c r="A108" s="258"/>
      <c r="B108" s="268"/>
      <c r="C108" s="2" t="s">
        <v>44</v>
      </c>
      <c r="D108" s="3">
        <v>200600</v>
      </c>
      <c r="E108" s="3">
        <v>195440</v>
      </c>
      <c r="F108" s="3">
        <v>118926</v>
      </c>
      <c r="G108" s="3"/>
      <c r="H108" s="3"/>
      <c r="I108" s="3"/>
      <c r="J108" s="20"/>
      <c r="K108" s="20"/>
      <c r="L108" s="20">
        <f t="shared" si="23"/>
        <v>314366</v>
      </c>
      <c r="M108" s="112">
        <v>314366</v>
      </c>
      <c r="N108" s="3">
        <f t="shared" si="24"/>
        <v>0</v>
      </c>
    </row>
    <row r="109" spans="1:14" x14ac:dyDescent="0.25">
      <c r="A109" s="258"/>
      <c r="B109" s="268"/>
      <c r="C109" s="6" t="s">
        <v>49</v>
      </c>
      <c r="D109" s="7">
        <f>SUM(D99:D108)</f>
        <v>1697400</v>
      </c>
      <c r="E109" s="7">
        <v>1697400</v>
      </c>
      <c r="F109" s="7">
        <f t="shared" ref="F109:N109" si="25">SUM(F99:F108)</f>
        <v>455583</v>
      </c>
      <c r="G109" s="7">
        <f t="shared" si="25"/>
        <v>0</v>
      </c>
      <c r="H109" s="7">
        <f t="shared" si="25"/>
        <v>0</v>
      </c>
      <c r="I109" s="7">
        <f t="shared" si="25"/>
        <v>0</v>
      </c>
      <c r="J109" s="7">
        <f t="shared" si="25"/>
        <v>0</v>
      </c>
      <c r="K109" s="7">
        <f t="shared" si="25"/>
        <v>0</v>
      </c>
      <c r="L109" s="7">
        <f t="shared" si="25"/>
        <v>2152983</v>
      </c>
      <c r="M109" s="114">
        <f t="shared" si="25"/>
        <v>2152983</v>
      </c>
      <c r="N109" s="7">
        <f t="shared" si="25"/>
        <v>0</v>
      </c>
    </row>
    <row r="110" spans="1:14" x14ac:dyDescent="0.25">
      <c r="A110" s="255" t="s">
        <v>62</v>
      </c>
      <c r="B110" s="252" t="s">
        <v>23</v>
      </c>
      <c r="C110" s="15" t="s">
        <v>29</v>
      </c>
      <c r="D110" s="24">
        <v>111600</v>
      </c>
      <c r="E110" s="24">
        <v>67600</v>
      </c>
      <c r="F110" s="11"/>
      <c r="G110" s="197"/>
      <c r="H110" s="197"/>
      <c r="I110" s="11"/>
      <c r="J110" s="202"/>
      <c r="K110" s="202"/>
      <c r="L110" s="20">
        <f t="shared" ref="L110:L113" si="26">E110+F110+G110+H110+I110+J110+K110</f>
        <v>67600</v>
      </c>
      <c r="M110" s="112">
        <v>67600</v>
      </c>
      <c r="N110" s="3">
        <f t="shared" ref="N110:N113" si="27">L110-M110</f>
        <v>0</v>
      </c>
    </row>
    <row r="111" spans="1:14" x14ac:dyDescent="0.25">
      <c r="A111" s="257"/>
      <c r="B111" s="254"/>
      <c r="C111" s="15" t="s">
        <v>31</v>
      </c>
      <c r="D111" s="24">
        <v>20739</v>
      </c>
      <c r="E111" s="24">
        <v>12650</v>
      </c>
      <c r="F111" s="11"/>
      <c r="G111" s="197"/>
      <c r="H111" s="197"/>
      <c r="I111" s="11"/>
      <c r="J111" s="202">
        <v>1</v>
      </c>
      <c r="K111" s="202"/>
      <c r="L111" s="20">
        <f>E111+F111+G111+H111+I111+J111+K111</f>
        <v>12651</v>
      </c>
      <c r="M111" s="112">
        <v>12651</v>
      </c>
      <c r="N111" s="3">
        <f t="shared" si="27"/>
        <v>0</v>
      </c>
    </row>
    <row r="112" spans="1:14" x14ac:dyDescent="0.25">
      <c r="A112" s="255" t="s">
        <v>63</v>
      </c>
      <c r="B112" s="252" t="s">
        <v>23</v>
      </c>
      <c r="C112" s="15" t="s">
        <v>24</v>
      </c>
      <c r="D112" s="24">
        <v>1460272</v>
      </c>
      <c r="E112" s="24">
        <v>1504230</v>
      </c>
      <c r="F112" s="11"/>
      <c r="G112" s="197"/>
      <c r="H112" s="197"/>
      <c r="I112" s="11"/>
      <c r="J112" s="202"/>
      <c r="K112" s="202"/>
      <c r="L112" s="20">
        <f t="shared" si="26"/>
        <v>1504230</v>
      </c>
      <c r="M112" s="112">
        <v>1504230</v>
      </c>
      <c r="N112" s="3">
        <f t="shared" si="27"/>
        <v>0</v>
      </c>
    </row>
    <row r="113" spans="1:14" x14ac:dyDescent="0.25">
      <c r="A113" s="257"/>
      <c r="B113" s="254"/>
      <c r="C113" s="15" t="s">
        <v>31</v>
      </c>
      <c r="D113" s="24">
        <v>272168</v>
      </c>
      <c r="E113" s="24">
        <v>280740</v>
      </c>
      <c r="F113" s="11"/>
      <c r="G113" s="197"/>
      <c r="H113" s="197"/>
      <c r="I113" s="11"/>
      <c r="J113" s="202"/>
      <c r="K113" s="202">
        <v>-1</v>
      </c>
      <c r="L113" s="20">
        <f t="shared" si="26"/>
        <v>280739</v>
      </c>
      <c r="M113" s="112">
        <v>280739</v>
      </c>
      <c r="N113" s="3">
        <f t="shared" si="27"/>
        <v>0</v>
      </c>
    </row>
    <row r="114" spans="1:14" x14ac:dyDescent="0.25">
      <c r="A114" s="304" t="s">
        <v>77</v>
      </c>
      <c r="B114" s="305"/>
      <c r="C114" s="306"/>
      <c r="D114" s="84">
        <f>SUM(D97+D98+D109+D110+D111+D112+D113)</f>
        <v>9916318</v>
      </c>
      <c r="E114" s="84">
        <v>10260753</v>
      </c>
      <c r="F114" s="84">
        <f t="shared" ref="F114:N114" si="28">SUM(F97+F98+F109+F110+F111+F112+F113)</f>
        <v>0</v>
      </c>
      <c r="G114" s="84">
        <f t="shared" si="28"/>
        <v>0</v>
      </c>
      <c r="H114" s="84">
        <f t="shared" si="28"/>
        <v>0</v>
      </c>
      <c r="I114" s="84">
        <f t="shared" si="28"/>
        <v>0</v>
      </c>
      <c r="J114" s="84">
        <f t="shared" si="28"/>
        <v>1</v>
      </c>
      <c r="K114" s="84">
        <f t="shared" si="28"/>
        <v>-1</v>
      </c>
      <c r="L114" s="84">
        <f t="shared" si="28"/>
        <v>10260753</v>
      </c>
      <c r="M114" s="116">
        <f t="shared" si="28"/>
        <v>10232526</v>
      </c>
      <c r="N114" s="84">
        <f t="shared" si="28"/>
        <v>28227</v>
      </c>
    </row>
    <row r="115" spans="1:14" x14ac:dyDescent="0.25">
      <c r="A115" s="258" t="s">
        <v>13</v>
      </c>
      <c r="B115" s="268" t="s">
        <v>23</v>
      </c>
      <c r="C115" s="2" t="s">
        <v>24</v>
      </c>
      <c r="D115" s="3">
        <v>4871210</v>
      </c>
      <c r="E115" s="3">
        <v>4944394</v>
      </c>
      <c r="F115" s="3">
        <v>-40000</v>
      </c>
      <c r="G115" s="3"/>
      <c r="H115" s="3"/>
      <c r="I115" s="3"/>
      <c r="J115" s="20"/>
      <c r="K115" s="20"/>
      <c r="L115" s="20">
        <f t="shared" ref="L115:L120" si="29">E115+F115+G115+H115+I115+J115+K115</f>
        <v>4904394</v>
      </c>
      <c r="M115" s="112">
        <v>4766883</v>
      </c>
      <c r="N115" s="3">
        <f t="shared" ref="N115:N120" si="30">L115-M115</f>
        <v>137511</v>
      </c>
    </row>
    <row r="116" spans="1:14" x14ac:dyDescent="0.25">
      <c r="A116" s="258"/>
      <c r="B116" s="268"/>
      <c r="C116" s="2" t="s">
        <v>25</v>
      </c>
      <c r="D116" s="3">
        <v>200000</v>
      </c>
      <c r="E116" s="3">
        <v>200000</v>
      </c>
      <c r="F116" s="3">
        <v>40000</v>
      </c>
      <c r="G116" s="3"/>
      <c r="H116" s="3"/>
      <c r="I116" s="3"/>
      <c r="J116" s="20"/>
      <c r="K116" s="20"/>
      <c r="L116" s="20">
        <f t="shared" si="29"/>
        <v>240000</v>
      </c>
      <c r="M116" s="112">
        <v>240000</v>
      </c>
      <c r="N116" s="3">
        <f t="shared" si="30"/>
        <v>0</v>
      </c>
    </row>
    <row r="117" spans="1:14" x14ac:dyDescent="0.25">
      <c r="A117" s="258"/>
      <c r="B117" s="268"/>
      <c r="C117" s="2" t="s">
        <v>26</v>
      </c>
      <c r="D117" s="3">
        <v>10000</v>
      </c>
      <c r="E117" s="3">
        <v>10000</v>
      </c>
      <c r="F117" s="3"/>
      <c r="G117" s="3"/>
      <c r="H117" s="3"/>
      <c r="I117" s="3"/>
      <c r="J117" s="20"/>
      <c r="K117" s="20"/>
      <c r="L117" s="20">
        <f t="shared" si="29"/>
        <v>10000</v>
      </c>
      <c r="M117" s="112">
        <v>10000</v>
      </c>
      <c r="N117" s="3">
        <f t="shared" si="30"/>
        <v>0</v>
      </c>
    </row>
    <row r="118" spans="1:14" x14ac:dyDescent="0.25">
      <c r="A118" s="258"/>
      <c r="B118" s="268"/>
      <c r="C118" s="2" t="s">
        <v>28</v>
      </c>
      <c r="D118" s="3">
        <v>24000</v>
      </c>
      <c r="E118" s="3">
        <v>24000</v>
      </c>
      <c r="F118" s="3"/>
      <c r="G118" s="3"/>
      <c r="H118" s="3"/>
      <c r="I118" s="3"/>
      <c r="J118" s="20"/>
      <c r="K118" s="20"/>
      <c r="L118" s="20">
        <f t="shared" si="29"/>
        <v>24000</v>
      </c>
      <c r="M118" s="112">
        <v>24000</v>
      </c>
      <c r="N118" s="3">
        <f t="shared" si="30"/>
        <v>0</v>
      </c>
    </row>
    <row r="119" spans="1:14" x14ac:dyDescent="0.25">
      <c r="A119" s="258"/>
      <c r="B119" s="268"/>
      <c r="C119" s="2" t="s">
        <v>29</v>
      </c>
      <c r="D119" s="3">
        <v>75000</v>
      </c>
      <c r="E119" s="3">
        <v>196617</v>
      </c>
      <c r="F119" s="3">
        <v>-75000</v>
      </c>
      <c r="G119" s="3"/>
      <c r="H119" s="3"/>
      <c r="I119" s="3"/>
      <c r="J119" s="20"/>
      <c r="K119" s="20"/>
      <c r="L119" s="20">
        <f t="shared" si="29"/>
        <v>121617</v>
      </c>
      <c r="M119" s="112">
        <v>86617</v>
      </c>
      <c r="N119" s="3">
        <f t="shared" si="30"/>
        <v>35000</v>
      </c>
    </row>
    <row r="120" spans="1:14" x14ac:dyDescent="0.25">
      <c r="A120" s="258"/>
      <c r="B120" s="268"/>
      <c r="C120" s="2" t="s">
        <v>30</v>
      </c>
      <c r="D120" s="3">
        <v>0</v>
      </c>
      <c r="E120" s="3">
        <v>6886</v>
      </c>
      <c r="F120" s="3"/>
      <c r="G120" s="3"/>
      <c r="H120" s="3"/>
      <c r="I120" s="3"/>
      <c r="J120" s="20"/>
      <c r="K120" s="20"/>
      <c r="L120" s="20">
        <f t="shared" si="29"/>
        <v>6886</v>
      </c>
      <c r="M120" s="112">
        <v>6886</v>
      </c>
      <c r="N120" s="3">
        <f t="shared" si="30"/>
        <v>0</v>
      </c>
    </row>
    <row r="121" spans="1:14" x14ac:dyDescent="0.25">
      <c r="A121" s="258"/>
      <c r="B121" s="268"/>
      <c r="C121" s="6" t="s">
        <v>53</v>
      </c>
      <c r="D121" s="7">
        <f>SUM(D115:D120)</f>
        <v>5180210</v>
      </c>
      <c r="E121" s="7">
        <v>5381897</v>
      </c>
      <c r="F121" s="7">
        <f t="shared" ref="F121:N121" si="31">SUM(F115:F120)</f>
        <v>-75000</v>
      </c>
      <c r="G121" s="7">
        <f t="shared" si="31"/>
        <v>0</v>
      </c>
      <c r="H121" s="7">
        <f t="shared" si="31"/>
        <v>0</v>
      </c>
      <c r="I121" s="7">
        <f t="shared" si="31"/>
        <v>0</v>
      </c>
      <c r="J121" s="7">
        <f t="shared" si="31"/>
        <v>0</v>
      </c>
      <c r="K121" s="7">
        <f t="shared" si="31"/>
        <v>0</v>
      </c>
      <c r="L121" s="7">
        <f t="shared" si="31"/>
        <v>5306897</v>
      </c>
      <c r="M121" s="114">
        <f t="shared" si="31"/>
        <v>5134386</v>
      </c>
      <c r="N121" s="7">
        <f t="shared" si="31"/>
        <v>172511</v>
      </c>
    </row>
    <row r="122" spans="1:14" x14ac:dyDescent="0.25">
      <c r="A122" s="258"/>
      <c r="B122" s="268"/>
      <c r="C122" s="86" t="s">
        <v>31</v>
      </c>
      <c r="D122" s="87">
        <v>1046402</v>
      </c>
      <c r="E122" s="87">
        <v>1085449</v>
      </c>
      <c r="F122" s="87"/>
      <c r="G122" s="87"/>
      <c r="H122" s="87"/>
      <c r="I122" s="87"/>
      <c r="J122" s="201"/>
      <c r="K122" s="201"/>
      <c r="L122" s="88">
        <f t="shared" ref="L122:L130" si="32">E122+F122+G122+H122+I122+J122+K122</f>
        <v>1085449</v>
      </c>
      <c r="M122" s="115">
        <v>1057452</v>
      </c>
      <c r="N122" s="89">
        <f t="shared" ref="N122:N130" si="33">L122-M122</f>
        <v>27997</v>
      </c>
    </row>
    <row r="123" spans="1:14" x14ac:dyDescent="0.25">
      <c r="A123" s="258"/>
      <c r="B123" s="268"/>
      <c r="C123" s="2" t="s">
        <v>32</v>
      </c>
      <c r="D123" s="3">
        <v>50000</v>
      </c>
      <c r="E123" s="3">
        <v>50000</v>
      </c>
      <c r="F123" s="3"/>
      <c r="G123" s="3"/>
      <c r="H123" s="3"/>
      <c r="I123" s="3"/>
      <c r="J123" s="20"/>
      <c r="K123" s="20"/>
      <c r="L123" s="20">
        <f t="shared" si="32"/>
        <v>50000</v>
      </c>
      <c r="M123" s="112">
        <v>0</v>
      </c>
      <c r="N123" s="3">
        <f t="shared" si="33"/>
        <v>50000</v>
      </c>
    </row>
    <row r="124" spans="1:14" x14ac:dyDescent="0.25">
      <c r="A124" s="258"/>
      <c r="B124" s="268"/>
      <c r="C124" s="2" t="s">
        <v>33</v>
      </c>
      <c r="D124" s="3">
        <v>100000</v>
      </c>
      <c r="E124" s="3">
        <v>70000</v>
      </c>
      <c r="F124" s="3"/>
      <c r="G124" s="3"/>
      <c r="H124" s="3"/>
      <c r="I124" s="3"/>
      <c r="J124" s="20"/>
      <c r="K124" s="20"/>
      <c r="L124" s="20">
        <f t="shared" si="32"/>
        <v>70000</v>
      </c>
      <c r="M124" s="112">
        <v>0</v>
      </c>
      <c r="N124" s="3">
        <f t="shared" si="33"/>
        <v>70000</v>
      </c>
    </row>
    <row r="125" spans="1:14" x14ac:dyDescent="0.25">
      <c r="A125" s="258"/>
      <c r="B125" s="268"/>
      <c r="C125" s="2" t="s">
        <v>34</v>
      </c>
      <c r="D125" s="3">
        <v>150000</v>
      </c>
      <c r="E125" s="3">
        <v>116000</v>
      </c>
      <c r="F125" s="3"/>
      <c r="G125" s="3"/>
      <c r="H125" s="3"/>
      <c r="I125" s="3"/>
      <c r="J125" s="20"/>
      <c r="K125" s="20"/>
      <c r="L125" s="20">
        <f t="shared" si="32"/>
        <v>116000</v>
      </c>
      <c r="M125" s="112">
        <v>0</v>
      </c>
      <c r="N125" s="3">
        <f t="shared" si="33"/>
        <v>116000</v>
      </c>
    </row>
    <row r="126" spans="1:14" x14ac:dyDescent="0.25">
      <c r="A126" s="258"/>
      <c r="B126" s="268"/>
      <c r="C126" s="2" t="s">
        <v>38</v>
      </c>
      <c r="D126" s="3">
        <v>50000</v>
      </c>
      <c r="E126" s="3">
        <v>46600</v>
      </c>
      <c r="F126" s="3"/>
      <c r="G126" s="3"/>
      <c r="H126" s="3"/>
      <c r="I126" s="3"/>
      <c r="J126" s="20"/>
      <c r="K126" s="20"/>
      <c r="L126" s="20">
        <f t="shared" si="32"/>
        <v>46600</v>
      </c>
      <c r="M126" s="112"/>
      <c r="N126" s="3">
        <f t="shared" si="33"/>
        <v>46600</v>
      </c>
    </row>
    <row r="127" spans="1:14" x14ac:dyDescent="0.25">
      <c r="A127" s="258"/>
      <c r="B127" s="268"/>
      <c r="C127" s="2" t="s">
        <v>40</v>
      </c>
      <c r="D127" s="3">
        <v>16800</v>
      </c>
      <c r="E127" s="3">
        <v>20200</v>
      </c>
      <c r="F127" s="3"/>
      <c r="G127" s="3"/>
      <c r="H127" s="3"/>
      <c r="I127" s="3"/>
      <c r="J127" s="20"/>
      <c r="K127" s="20"/>
      <c r="L127" s="20">
        <f t="shared" si="32"/>
        <v>20200</v>
      </c>
      <c r="M127" s="112">
        <v>17000</v>
      </c>
      <c r="N127" s="3">
        <f t="shared" si="33"/>
        <v>3200</v>
      </c>
    </row>
    <row r="128" spans="1:14" x14ac:dyDescent="0.25">
      <c r="A128" s="258"/>
      <c r="B128" s="268"/>
      <c r="C128" s="2" t="s">
        <v>41</v>
      </c>
      <c r="D128" s="3">
        <v>0</v>
      </c>
      <c r="E128" s="3">
        <v>70280</v>
      </c>
      <c r="F128" s="3">
        <v>75000</v>
      </c>
      <c r="G128" s="3"/>
      <c r="H128" s="3"/>
      <c r="I128" s="3"/>
      <c r="J128" s="20"/>
      <c r="K128" s="20"/>
      <c r="L128" s="20">
        <f t="shared" si="32"/>
        <v>145280</v>
      </c>
      <c r="M128" s="112">
        <v>119980</v>
      </c>
      <c r="N128" s="3">
        <f t="shared" si="33"/>
        <v>25300</v>
      </c>
    </row>
    <row r="129" spans="1:14" x14ac:dyDescent="0.25">
      <c r="A129" s="258"/>
      <c r="B129" s="268"/>
      <c r="C129" s="2" t="s">
        <v>42</v>
      </c>
      <c r="D129" s="3">
        <v>240000</v>
      </c>
      <c r="E129" s="3">
        <v>233720</v>
      </c>
      <c r="F129" s="3"/>
      <c r="G129" s="3"/>
      <c r="H129" s="3"/>
      <c r="I129" s="3"/>
      <c r="J129" s="20"/>
      <c r="K129" s="20"/>
      <c r="L129" s="20">
        <f t="shared" si="32"/>
        <v>233720</v>
      </c>
      <c r="M129" s="112">
        <v>163665</v>
      </c>
      <c r="N129" s="3">
        <f t="shared" si="33"/>
        <v>70055</v>
      </c>
    </row>
    <row r="130" spans="1:14" x14ac:dyDescent="0.25">
      <c r="A130" s="258"/>
      <c r="B130" s="268"/>
      <c r="C130" s="2" t="s">
        <v>44</v>
      </c>
      <c r="D130" s="3">
        <v>94500</v>
      </c>
      <c r="E130" s="3">
        <v>94500</v>
      </c>
      <c r="F130" s="3"/>
      <c r="G130" s="3"/>
      <c r="H130" s="3"/>
      <c r="I130" s="3"/>
      <c r="J130" s="20"/>
      <c r="K130" s="20"/>
      <c r="L130" s="20">
        <f t="shared" si="32"/>
        <v>94500</v>
      </c>
      <c r="M130" s="112">
        <v>12487</v>
      </c>
      <c r="N130" s="3">
        <f t="shared" si="33"/>
        <v>82013</v>
      </c>
    </row>
    <row r="131" spans="1:14" x14ac:dyDescent="0.25">
      <c r="A131" s="258"/>
      <c r="B131" s="268"/>
      <c r="C131" s="6" t="s">
        <v>49</v>
      </c>
      <c r="D131" s="7">
        <f>SUM(D123:D130)</f>
        <v>701300</v>
      </c>
      <c r="E131" s="7">
        <v>701300</v>
      </c>
      <c r="F131" s="7">
        <f t="shared" ref="F131:N131" si="34">SUM(F123:F130)</f>
        <v>75000</v>
      </c>
      <c r="G131" s="7">
        <f t="shared" si="34"/>
        <v>0</v>
      </c>
      <c r="H131" s="7">
        <f t="shared" si="34"/>
        <v>0</v>
      </c>
      <c r="I131" s="7">
        <f t="shared" si="34"/>
        <v>0</v>
      </c>
      <c r="J131" s="7">
        <f t="shared" si="34"/>
        <v>0</v>
      </c>
      <c r="K131" s="7">
        <f t="shared" si="34"/>
        <v>0</v>
      </c>
      <c r="L131" s="7">
        <f t="shared" si="34"/>
        <v>776300</v>
      </c>
      <c r="M131" s="114">
        <f t="shared" si="34"/>
        <v>313132</v>
      </c>
      <c r="N131" s="7">
        <f t="shared" si="34"/>
        <v>463168</v>
      </c>
    </row>
    <row r="132" spans="1:14" x14ac:dyDescent="0.25">
      <c r="A132" s="255" t="s">
        <v>64</v>
      </c>
      <c r="B132" s="252" t="s">
        <v>23</v>
      </c>
      <c r="C132" s="15" t="s">
        <v>29</v>
      </c>
      <c r="D132" s="24">
        <v>39600</v>
      </c>
      <c r="E132" s="24">
        <v>39600</v>
      </c>
      <c r="F132" s="11"/>
      <c r="G132" s="197"/>
      <c r="H132" s="197"/>
      <c r="I132" s="11"/>
      <c r="J132" s="202"/>
      <c r="K132" s="202"/>
      <c r="L132" s="20">
        <f t="shared" ref="L132:L135" si="35">E132+F132+G132+H132+I132+J132+K132</f>
        <v>39600</v>
      </c>
      <c r="M132" s="112">
        <v>39600</v>
      </c>
      <c r="N132" s="3">
        <f t="shared" ref="N132:N135" si="36">L132-M132</f>
        <v>0</v>
      </c>
    </row>
    <row r="133" spans="1:14" x14ac:dyDescent="0.25">
      <c r="A133" s="257"/>
      <c r="B133" s="254"/>
      <c r="C133" s="15" t="s">
        <v>31</v>
      </c>
      <c r="D133" s="24">
        <v>7359</v>
      </c>
      <c r="E133" s="24">
        <v>7391</v>
      </c>
      <c r="F133" s="11"/>
      <c r="G133" s="197"/>
      <c r="H133" s="197"/>
      <c r="I133" s="11"/>
      <c r="J133" s="202">
        <v>1</v>
      </c>
      <c r="K133" s="202"/>
      <c r="L133" s="20">
        <f>E133+F133+G133+H133+I133+J133+K133</f>
        <v>7392</v>
      </c>
      <c r="M133" s="112">
        <v>7392</v>
      </c>
      <c r="N133" s="3">
        <f t="shared" si="36"/>
        <v>0</v>
      </c>
    </row>
    <row r="134" spans="1:14" x14ac:dyDescent="0.25">
      <c r="A134" s="255" t="s">
        <v>65</v>
      </c>
      <c r="B134" s="252" t="s">
        <v>23</v>
      </c>
      <c r="C134" s="15" t="s">
        <v>24</v>
      </c>
      <c r="D134" s="24">
        <v>1357158</v>
      </c>
      <c r="E134" s="24">
        <v>1358233</v>
      </c>
      <c r="F134" s="11"/>
      <c r="G134" s="197"/>
      <c r="H134" s="197"/>
      <c r="I134" s="11"/>
      <c r="J134" s="202"/>
      <c r="K134" s="202"/>
      <c r="L134" s="20">
        <f t="shared" si="35"/>
        <v>1358233</v>
      </c>
      <c r="M134" s="112">
        <v>1358233</v>
      </c>
      <c r="N134" s="3">
        <f t="shared" si="36"/>
        <v>0</v>
      </c>
    </row>
    <row r="135" spans="1:14" x14ac:dyDescent="0.25">
      <c r="A135" s="257"/>
      <c r="B135" s="254"/>
      <c r="C135" s="15" t="s">
        <v>31</v>
      </c>
      <c r="D135" s="24">
        <v>253327</v>
      </c>
      <c r="E135" s="24">
        <v>253533</v>
      </c>
      <c r="F135" s="11"/>
      <c r="G135" s="197"/>
      <c r="H135" s="197"/>
      <c r="I135" s="11"/>
      <c r="J135" s="202"/>
      <c r="K135" s="202"/>
      <c r="L135" s="20">
        <f t="shared" si="35"/>
        <v>253533</v>
      </c>
      <c r="M135" s="112">
        <v>253533</v>
      </c>
      <c r="N135" s="3">
        <f t="shared" si="36"/>
        <v>0</v>
      </c>
    </row>
    <row r="136" spans="1:14" x14ac:dyDescent="0.25">
      <c r="A136" s="304" t="s">
        <v>78</v>
      </c>
      <c r="B136" s="305"/>
      <c r="C136" s="306"/>
      <c r="D136" s="84">
        <f>SUM(D121+D122+D131+D132+D133+D134+D135)</f>
        <v>8585356</v>
      </c>
      <c r="E136" s="84">
        <v>8827403</v>
      </c>
      <c r="F136" s="84">
        <f t="shared" ref="F136:N136" si="37">SUM(F121+F122+F131+F132+F133+F134+F135)</f>
        <v>0</v>
      </c>
      <c r="G136" s="84">
        <f t="shared" si="37"/>
        <v>0</v>
      </c>
      <c r="H136" s="84">
        <f t="shared" si="37"/>
        <v>0</v>
      </c>
      <c r="I136" s="84">
        <f>SUM(I121+I122+I131+I132+I133+I134+I135)</f>
        <v>0</v>
      </c>
      <c r="J136" s="84">
        <f t="shared" ref="J136:K136" si="38">SUM(J121+J122+J131+J132+J133+J134+J135)</f>
        <v>1</v>
      </c>
      <c r="K136" s="84">
        <f t="shared" si="38"/>
        <v>0</v>
      </c>
      <c r="L136" s="84">
        <f>SUM(L121+L122+L131+L132+L133+L134+L135)</f>
        <v>8827404</v>
      </c>
      <c r="M136" s="116">
        <f t="shared" si="37"/>
        <v>8163728</v>
      </c>
      <c r="N136" s="84">
        <f t="shared" si="37"/>
        <v>663676</v>
      </c>
    </row>
    <row r="137" spans="1:14" x14ac:dyDescent="0.25">
      <c r="A137" s="258" t="s">
        <v>14</v>
      </c>
      <c r="B137" s="268" t="s">
        <v>23</v>
      </c>
      <c r="C137" s="2" t="s">
        <v>24</v>
      </c>
      <c r="D137" s="3">
        <v>4756797</v>
      </c>
      <c r="E137" s="3">
        <v>4959781</v>
      </c>
      <c r="F137" s="3">
        <f>-27580-40000</f>
        <v>-67580</v>
      </c>
      <c r="G137" s="3"/>
      <c r="H137" s="3"/>
      <c r="I137" s="3"/>
      <c r="J137" s="20"/>
      <c r="K137" s="20"/>
      <c r="L137" s="20">
        <f t="shared" ref="L137:L143" si="39">E137+F137+G137+H137+I137+J137+K137</f>
        <v>4892201</v>
      </c>
      <c r="M137" s="112">
        <v>4581997</v>
      </c>
      <c r="N137" s="3">
        <f t="shared" ref="N137:N143" si="40">L137-M137</f>
        <v>310204</v>
      </c>
    </row>
    <row r="138" spans="1:14" x14ac:dyDescent="0.25">
      <c r="A138" s="258"/>
      <c r="B138" s="268"/>
      <c r="C138" s="2" t="s">
        <v>25</v>
      </c>
      <c r="D138" s="3">
        <v>200000</v>
      </c>
      <c r="E138" s="3">
        <v>200000</v>
      </c>
      <c r="F138" s="3">
        <v>40000</v>
      </c>
      <c r="G138" s="3"/>
      <c r="H138" s="3"/>
      <c r="I138" s="3"/>
      <c r="J138" s="20"/>
      <c r="K138" s="20"/>
      <c r="L138" s="20">
        <f t="shared" si="39"/>
        <v>240000</v>
      </c>
      <c r="M138" s="112">
        <v>240000</v>
      </c>
      <c r="N138" s="3">
        <f t="shared" si="40"/>
        <v>0</v>
      </c>
    </row>
    <row r="139" spans="1:14" x14ac:dyDescent="0.25">
      <c r="A139" s="258"/>
      <c r="B139" s="268"/>
      <c r="C139" s="2" t="s">
        <v>26</v>
      </c>
      <c r="D139" s="3">
        <v>10000</v>
      </c>
      <c r="E139" s="3">
        <v>10000</v>
      </c>
      <c r="F139" s="3"/>
      <c r="G139" s="3"/>
      <c r="H139" s="3"/>
      <c r="I139" s="3"/>
      <c r="J139" s="20"/>
      <c r="K139" s="20"/>
      <c r="L139" s="20">
        <f t="shared" si="39"/>
        <v>10000</v>
      </c>
      <c r="M139" s="112">
        <v>10000</v>
      </c>
      <c r="N139" s="3">
        <f t="shared" si="40"/>
        <v>0</v>
      </c>
    </row>
    <row r="140" spans="1:14" x14ac:dyDescent="0.25">
      <c r="A140" s="258"/>
      <c r="B140" s="268"/>
      <c r="C140" s="2" t="s">
        <v>27</v>
      </c>
      <c r="D140" s="3">
        <v>255000</v>
      </c>
      <c r="E140" s="3">
        <v>255000</v>
      </c>
      <c r="F140" s="3"/>
      <c r="G140" s="3"/>
      <c r="H140" s="3"/>
      <c r="I140" s="3"/>
      <c r="J140" s="20"/>
      <c r="K140" s="20"/>
      <c r="L140" s="20">
        <f t="shared" si="39"/>
        <v>255000</v>
      </c>
      <c r="M140" s="112">
        <v>240528</v>
      </c>
      <c r="N140" s="3">
        <f t="shared" si="40"/>
        <v>14472</v>
      </c>
    </row>
    <row r="141" spans="1:14" x14ac:dyDescent="0.25">
      <c r="A141" s="258"/>
      <c r="B141" s="268"/>
      <c r="C141" s="2" t="s">
        <v>28</v>
      </c>
      <c r="D141" s="3">
        <v>24000</v>
      </c>
      <c r="E141" s="3">
        <v>24000</v>
      </c>
      <c r="F141" s="3"/>
      <c r="G141" s="3"/>
      <c r="H141" s="3"/>
      <c r="I141" s="3"/>
      <c r="J141" s="20"/>
      <c r="K141" s="20"/>
      <c r="L141" s="20">
        <f t="shared" si="39"/>
        <v>24000</v>
      </c>
      <c r="M141" s="112">
        <v>24000</v>
      </c>
      <c r="N141" s="3">
        <f t="shared" si="40"/>
        <v>0</v>
      </c>
    </row>
    <row r="142" spans="1:14" x14ac:dyDescent="0.25">
      <c r="A142" s="258"/>
      <c r="B142" s="268"/>
      <c r="C142" s="2" t="s">
        <v>29</v>
      </c>
      <c r="D142" s="3">
        <v>0</v>
      </c>
      <c r="E142" s="3">
        <v>128307</v>
      </c>
      <c r="F142" s="3">
        <v>27580</v>
      </c>
      <c r="G142" s="3"/>
      <c r="H142" s="3"/>
      <c r="I142" s="3"/>
      <c r="J142" s="20"/>
      <c r="K142" s="20"/>
      <c r="L142" s="20">
        <f t="shared" si="39"/>
        <v>155887</v>
      </c>
      <c r="M142" s="112">
        <v>151887</v>
      </c>
      <c r="N142" s="3">
        <f t="shared" si="40"/>
        <v>4000</v>
      </c>
    </row>
    <row r="143" spans="1:14" x14ac:dyDescent="0.25">
      <c r="A143" s="258"/>
      <c r="B143" s="268"/>
      <c r="C143" s="2" t="s">
        <v>30</v>
      </c>
      <c r="D143" s="3">
        <v>0</v>
      </c>
      <c r="E143" s="3">
        <v>6878</v>
      </c>
      <c r="F143" s="3"/>
      <c r="G143" s="3"/>
      <c r="H143" s="3"/>
      <c r="I143" s="3"/>
      <c r="J143" s="20"/>
      <c r="K143" s="20"/>
      <c r="L143" s="20">
        <f t="shared" si="39"/>
        <v>6878</v>
      </c>
      <c r="M143" s="112">
        <v>6878</v>
      </c>
      <c r="N143" s="3">
        <f t="shared" si="40"/>
        <v>0</v>
      </c>
    </row>
    <row r="144" spans="1:14" x14ac:dyDescent="0.25">
      <c r="A144" s="258"/>
      <c r="B144" s="268"/>
      <c r="C144" s="6" t="s">
        <v>53</v>
      </c>
      <c r="D144" s="7">
        <f>SUM(D137:D143)</f>
        <v>5245797</v>
      </c>
      <c r="E144" s="7">
        <v>5583966</v>
      </c>
      <c r="F144" s="7">
        <f t="shared" ref="F144:N144" si="41">SUM(F137:F143)</f>
        <v>0</v>
      </c>
      <c r="G144" s="7">
        <f t="shared" si="41"/>
        <v>0</v>
      </c>
      <c r="H144" s="7">
        <f t="shared" si="41"/>
        <v>0</v>
      </c>
      <c r="I144" s="7">
        <f t="shared" si="41"/>
        <v>0</v>
      </c>
      <c r="J144" s="7">
        <f t="shared" si="41"/>
        <v>0</v>
      </c>
      <c r="K144" s="7">
        <f t="shared" si="41"/>
        <v>0</v>
      </c>
      <c r="L144" s="7">
        <f t="shared" si="41"/>
        <v>5583966</v>
      </c>
      <c r="M144" s="114">
        <f t="shared" si="41"/>
        <v>5255290</v>
      </c>
      <c r="N144" s="7">
        <f t="shared" si="41"/>
        <v>328676</v>
      </c>
    </row>
    <row r="145" spans="1:14" x14ac:dyDescent="0.25">
      <c r="A145" s="258"/>
      <c r="B145" s="268"/>
      <c r="C145" s="86" t="s">
        <v>31</v>
      </c>
      <c r="D145" s="87">
        <v>1025121</v>
      </c>
      <c r="E145" s="87">
        <v>1090873</v>
      </c>
      <c r="F145" s="87"/>
      <c r="G145" s="87"/>
      <c r="H145" s="87"/>
      <c r="I145" s="87"/>
      <c r="J145" s="201"/>
      <c r="K145" s="201"/>
      <c r="L145" s="88">
        <f t="shared" ref="L145:L153" si="42">E145+F145+G145+H145+I145+J145+K145</f>
        <v>1090873</v>
      </c>
      <c r="M145" s="115">
        <v>1034817</v>
      </c>
      <c r="N145" s="89">
        <f t="shared" ref="N145:N153" si="43">L145-M145</f>
        <v>56056</v>
      </c>
    </row>
    <row r="146" spans="1:14" x14ac:dyDescent="0.25">
      <c r="A146" s="258"/>
      <c r="B146" s="268"/>
      <c r="C146" s="2" t="s">
        <v>32</v>
      </c>
      <c r="D146" s="3">
        <v>80000</v>
      </c>
      <c r="E146" s="3">
        <v>80000</v>
      </c>
      <c r="F146" s="3"/>
      <c r="G146" s="3"/>
      <c r="H146" s="3"/>
      <c r="I146" s="3"/>
      <c r="J146" s="20"/>
      <c r="K146" s="20"/>
      <c r="L146" s="20">
        <f t="shared" si="42"/>
        <v>80000</v>
      </c>
      <c r="M146" s="112">
        <v>0</v>
      </c>
      <c r="N146" s="3">
        <f t="shared" si="43"/>
        <v>80000</v>
      </c>
    </row>
    <row r="147" spans="1:14" x14ac:dyDescent="0.25">
      <c r="A147" s="258"/>
      <c r="B147" s="268"/>
      <c r="C147" s="2" t="s">
        <v>33</v>
      </c>
      <c r="D147" s="3">
        <v>110000</v>
      </c>
      <c r="E147" s="3">
        <v>100000</v>
      </c>
      <c r="F147" s="3"/>
      <c r="G147" s="3"/>
      <c r="H147" s="3"/>
      <c r="I147" s="3"/>
      <c r="J147" s="20"/>
      <c r="K147" s="20"/>
      <c r="L147" s="20">
        <f t="shared" si="42"/>
        <v>100000</v>
      </c>
      <c r="M147" s="112">
        <v>99415</v>
      </c>
      <c r="N147" s="3">
        <f t="shared" si="43"/>
        <v>585</v>
      </c>
    </row>
    <row r="148" spans="1:14" x14ac:dyDescent="0.25">
      <c r="A148" s="258"/>
      <c r="B148" s="268"/>
      <c r="C148" s="2" t="s">
        <v>34</v>
      </c>
      <c r="D148" s="3">
        <v>150000</v>
      </c>
      <c r="E148" s="3">
        <v>86000</v>
      </c>
      <c r="F148" s="3"/>
      <c r="G148" s="3"/>
      <c r="H148" s="3"/>
      <c r="I148" s="3"/>
      <c r="J148" s="20"/>
      <c r="K148" s="20"/>
      <c r="L148" s="20">
        <f t="shared" si="42"/>
        <v>86000</v>
      </c>
      <c r="M148" s="112">
        <v>0</v>
      </c>
      <c r="N148" s="3">
        <f t="shared" si="43"/>
        <v>86000</v>
      </c>
    </row>
    <row r="149" spans="1:14" x14ac:dyDescent="0.25">
      <c r="A149" s="258"/>
      <c r="B149" s="268"/>
      <c r="C149" s="2" t="s">
        <v>38</v>
      </c>
      <c r="D149" s="3">
        <v>144000</v>
      </c>
      <c r="E149" s="3">
        <v>140600</v>
      </c>
      <c r="F149" s="3"/>
      <c r="G149" s="3"/>
      <c r="H149" s="3"/>
      <c r="I149" s="3"/>
      <c r="J149" s="20"/>
      <c r="K149" s="20"/>
      <c r="L149" s="20">
        <f t="shared" si="42"/>
        <v>140600</v>
      </c>
      <c r="M149" s="112">
        <v>14778</v>
      </c>
      <c r="N149" s="3">
        <f t="shared" si="43"/>
        <v>125822</v>
      </c>
    </row>
    <row r="150" spans="1:14" x14ac:dyDescent="0.25">
      <c r="A150" s="258"/>
      <c r="B150" s="268"/>
      <c r="C150" s="2" t="s">
        <v>40</v>
      </c>
      <c r="D150" s="3">
        <v>16800</v>
      </c>
      <c r="E150" s="3">
        <v>20200</v>
      </c>
      <c r="F150" s="3"/>
      <c r="G150" s="3"/>
      <c r="H150" s="3"/>
      <c r="I150" s="3"/>
      <c r="J150" s="20"/>
      <c r="K150" s="20"/>
      <c r="L150" s="20">
        <f t="shared" si="42"/>
        <v>20200</v>
      </c>
      <c r="M150" s="112">
        <v>10200</v>
      </c>
      <c r="N150" s="3">
        <f t="shared" si="43"/>
        <v>10000</v>
      </c>
    </row>
    <row r="151" spans="1:14" x14ac:dyDescent="0.25">
      <c r="A151" s="258"/>
      <c r="B151" s="268"/>
      <c r="C151" s="2" t="s">
        <v>41</v>
      </c>
      <c r="D151" s="3">
        <v>40000</v>
      </c>
      <c r="E151" s="3">
        <v>120280</v>
      </c>
      <c r="F151" s="3"/>
      <c r="G151" s="3"/>
      <c r="H151" s="3"/>
      <c r="I151" s="3"/>
      <c r="J151" s="20"/>
      <c r="K151" s="20"/>
      <c r="L151" s="20">
        <f t="shared" si="42"/>
        <v>120280</v>
      </c>
      <c r="M151" s="112">
        <v>84980</v>
      </c>
      <c r="N151" s="3">
        <f t="shared" si="43"/>
        <v>35300</v>
      </c>
    </row>
    <row r="152" spans="1:14" x14ac:dyDescent="0.25">
      <c r="A152" s="258"/>
      <c r="B152" s="268"/>
      <c r="C152" s="2" t="s">
        <v>42</v>
      </c>
      <c r="D152" s="3">
        <v>150000</v>
      </c>
      <c r="E152" s="3">
        <v>143720</v>
      </c>
      <c r="F152" s="3"/>
      <c r="G152" s="3"/>
      <c r="H152" s="3"/>
      <c r="I152" s="3"/>
      <c r="J152" s="20"/>
      <c r="K152" s="20"/>
      <c r="L152" s="20">
        <f t="shared" si="42"/>
        <v>143720</v>
      </c>
      <c r="M152" s="112">
        <v>116465</v>
      </c>
      <c r="N152" s="3">
        <f t="shared" si="43"/>
        <v>27255</v>
      </c>
    </row>
    <row r="153" spans="1:14" x14ac:dyDescent="0.25">
      <c r="A153" s="258"/>
      <c r="B153" s="268"/>
      <c r="C153" s="2" t="s">
        <v>44</v>
      </c>
      <c r="D153" s="3">
        <v>141480</v>
      </c>
      <c r="E153" s="3">
        <v>141480</v>
      </c>
      <c r="F153" s="3"/>
      <c r="G153" s="3"/>
      <c r="H153" s="3"/>
      <c r="I153" s="3"/>
      <c r="J153" s="20"/>
      <c r="K153" s="20"/>
      <c r="L153" s="20">
        <f t="shared" si="42"/>
        <v>141480</v>
      </c>
      <c r="M153" s="112">
        <v>43320</v>
      </c>
      <c r="N153" s="3">
        <f t="shared" si="43"/>
        <v>98160</v>
      </c>
    </row>
    <row r="154" spans="1:14" x14ac:dyDescent="0.25">
      <c r="A154" s="258"/>
      <c r="B154" s="268"/>
      <c r="C154" s="6" t="s">
        <v>49</v>
      </c>
      <c r="D154" s="7">
        <f>SUM(D146:D153)</f>
        <v>832280</v>
      </c>
      <c r="E154" s="7">
        <v>832280</v>
      </c>
      <c r="F154" s="7">
        <f t="shared" ref="F154:N154" si="44">SUM(F146:F153)</f>
        <v>0</v>
      </c>
      <c r="G154" s="7">
        <f t="shared" si="44"/>
        <v>0</v>
      </c>
      <c r="H154" s="7">
        <f t="shared" si="44"/>
        <v>0</v>
      </c>
      <c r="I154" s="7">
        <f t="shared" si="44"/>
        <v>0</v>
      </c>
      <c r="J154" s="7">
        <f t="shared" si="44"/>
        <v>0</v>
      </c>
      <c r="K154" s="7">
        <f t="shared" si="44"/>
        <v>0</v>
      </c>
      <c r="L154" s="7">
        <f t="shared" si="44"/>
        <v>832280</v>
      </c>
      <c r="M154" s="114">
        <f t="shared" si="44"/>
        <v>369158</v>
      </c>
      <c r="N154" s="7">
        <f t="shared" si="44"/>
        <v>463122</v>
      </c>
    </row>
    <row r="155" spans="1:14" x14ac:dyDescent="0.25">
      <c r="A155" s="255" t="s">
        <v>66</v>
      </c>
      <c r="B155" s="252" t="s">
        <v>23</v>
      </c>
      <c r="C155" s="15" t="s">
        <v>24</v>
      </c>
      <c r="D155" s="24">
        <v>832628</v>
      </c>
      <c r="E155" s="24">
        <v>822069</v>
      </c>
      <c r="F155" s="11"/>
      <c r="G155" s="11"/>
      <c r="H155" s="197"/>
      <c r="I155" s="11"/>
      <c r="J155" s="202"/>
      <c r="K155" s="202"/>
      <c r="L155" s="20">
        <f t="shared" ref="L155:L156" si="45">E155+F155+G155+H155+I155+J155+K155</f>
        <v>822069</v>
      </c>
      <c r="M155" s="112">
        <v>822069</v>
      </c>
      <c r="N155" s="3">
        <f t="shared" ref="N155:N156" si="46">L155-M155</f>
        <v>0</v>
      </c>
    </row>
    <row r="156" spans="1:14" x14ac:dyDescent="0.25">
      <c r="A156" s="257"/>
      <c r="B156" s="254"/>
      <c r="C156" s="15" t="s">
        <v>31</v>
      </c>
      <c r="D156" s="24">
        <v>155410</v>
      </c>
      <c r="E156" s="24">
        <v>153351</v>
      </c>
      <c r="F156" s="11"/>
      <c r="G156" s="11"/>
      <c r="H156" s="197"/>
      <c r="I156" s="11"/>
      <c r="J156" s="202"/>
      <c r="K156" s="202">
        <v>1</v>
      </c>
      <c r="L156" s="20">
        <f t="shared" si="45"/>
        <v>153352</v>
      </c>
      <c r="M156" s="112">
        <v>153352</v>
      </c>
      <c r="N156" s="3">
        <f t="shared" si="46"/>
        <v>0</v>
      </c>
    </row>
    <row r="157" spans="1:14" x14ac:dyDescent="0.25">
      <c r="A157" s="304" t="s">
        <v>79</v>
      </c>
      <c r="B157" s="305"/>
      <c r="C157" s="306"/>
      <c r="D157" s="84">
        <f>SUM(D144+D145+D154+D155+D156)</f>
        <v>8091236</v>
      </c>
      <c r="E157" s="84">
        <v>8482539</v>
      </c>
      <c r="F157" s="84">
        <f t="shared" ref="F157:N157" si="47">SUM(F144+F145+F154+F155+F156)</f>
        <v>0</v>
      </c>
      <c r="G157" s="84">
        <f t="shared" si="47"/>
        <v>0</v>
      </c>
      <c r="H157" s="84">
        <f t="shared" si="47"/>
        <v>0</v>
      </c>
      <c r="I157" s="84">
        <f t="shared" si="47"/>
        <v>0</v>
      </c>
      <c r="J157" s="84">
        <f t="shared" si="47"/>
        <v>0</v>
      </c>
      <c r="K157" s="84">
        <f t="shared" si="47"/>
        <v>1</v>
      </c>
      <c r="L157" s="84">
        <f t="shared" si="47"/>
        <v>8482540</v>
      </c>
      <c r="M157" s="116">
        <f t="shared" si="47"/>
        <v>7634686</v>
      </c>
      <c r="N157" s="84">
        <f t="shared" si="47"/>
        <v>847854</v>
      </c>
    </row>
    <row r="158" spans="1:14" x14ac:dyDescent="0.25">
      <c r="A158" s="258" t="s">
        <v>55</v>
      </c>
      <c r="B158" s="268" t="s">
        <v>23</v>
      </c>
      <c r="C158" s="10" t="s">
        <v>24</v>
      </c>
      <c r="D158" s="24">
        <v>5055869</v>
      </c>
      <c r="E158" s="24">
        <v>5228287</v>
      </c>
      <c r="F158" s="197">
        <v>-17500</v>
      </c>
      <c r="G158" s="11"/>
      <c r="H158" s="11"/>
      <c r="I158" s="11"/>
      <c r="J158" s="202"/>
      <c r="K158" s="202"/>
      <c r="L158" s="20">
        <f t="shared" ref="L158:L163" si="48">E158+F158+G158+H158+I158+J158+K158</f>
        <v>5210787</v>
      </c>
      <c r="M158" s="112">
        <v>4985211</v>
      </c>
      <c r="N158" s="3">
        <f t="shared" ref="N158:N163" si="49">L158-M158</f>
        <v>225576</v>
      </c>
    </row>
    <row r="159" spans="1:14" x14ac:dyDescent="0.25">
      <c r="A159" s="258"/>
      <c r="B159" s="268"/>
      <c r="C159" s="10" t="s">
        <v>25</v>
      </c>
      <c r="D159" s="24">
        <v>425000</v>
      </c>
      <c r="E159" s="24">
        <v>425000</v>
      </c>
      <c r="F159" s="197">
        <v>17500</v>
      </c>
      <c r="G159" s="11"/>
      <c r="H159" s="11"/>
      <c r="I159" s="11"/>
      <c r="J159" s="202"/>
      <c r="K159" s="202"/>
      <c r="L159" s="20">
        <f t="shared" si="48"/>
        <v>442500</v>
      </c>
      <c r="M159" s="112">
        <v>442500</v>
      </c>
      <c r="N159" s="3">
        <f t="shared" si="49"/>
        <v>0</v>
      </c>
    </row>
    <row r="160" spans="1:14" x14ac:dyDescent="0.25">
      <c r="A160" s="258"/>
      <c r="B160" s="268"/>
      <c r="C160" s="10" t="s">
        <v>26</v>
      </c>
      <c r="D160" s="24">
        <v>10000</v>
      </c>
      <c r="E160" s="24">
        <v>10000</v>
      </c>
      <c r="F160" s="197"/>
      <c r="G160" s="11"/>
      <c r="H160" s="11"/>
      <c r="I160" s="11"/>
      <c r="J160" s="202"/>
      <c r="K160" s="202"/>
      <c r="L160" s="20">
        <f t="shared" si="48"/>
        <v>10000</v>
      </c>
      <c r="M160" s="112">
        <v>10000</v>
      </c>
      <c r="N160" s="3">
        <f t="shared" si="49"/>
        <v>0</v>
      </c>
    </row>
    <row r="161" spans="1:14" x14ac:dyDescent="0.25">
      <c r="A161" s="258"/>
      <c r="B161" s="268"/>
      <c r="C161" s="10" t="s">
        <v>28</v>
      </c>
      <c r="D161" s="24">
        <v>24000</v>
      </c>
      <c r="E161" s="24">
        <v>24000</v>
      </c>
      <c r="F161" s="197"/>
      <c r="G161" s="11"/>
      <c r="H161" s="11"/>
      <c r="I161" s="11"/>
      <c r="J161" s="202"/>
      <c r="K161" s="202"/>
      <c r="L161" s="20">
        <f t="shared" si="48"/>
        <v>24000</v>
      </c>
      <c r="M161" s="112">
        <v>24000</v>
      </c>
      <c r="N161" s="3">
        <f t="shared" si="49"/>
        <v>0</v>
      </c>
    </row>
    <row r="162" spans="1:14" x14ac:dyDescent="0.25">
      <c r="A162" s="258"/>
      <c r="B162" s="268"/>
      <c r="C162" s="10" t="s">
        <v>29</v>
      </c>
      <c r="D162" s="24">
        <v>75000</v>
      </c>
      <c r="E162" s="24">
        <v>165301</v>
      </c>
      <c r="F162" s="197">
        <v>-75000</v>
      </c>
      <c r="G162" s="11"/>
      <c r="H162" s="11"/>
      <c r="I162" s="11"/>
      <c r="J162" s="202"/>
      <c r="K162" s="202"/>
      <c r="L162" s="20">
        <f t="shared" si="48"/>
        <v>90301</v>
      </c>
      <c r="M162" s="112">
        <v>77801</v>
      </c>
      <c r="N162" s="3">
        <f t="shared" si="49"/>
        <v>12500</v>
      </c>
    </row>
    <row r="163" spans="1:14" x14ac:dyDescent="0.25">
      <c r="A163" s="258"/>
      <c r="B163" s="268"/>
      <c r="C163" s="10" t="s">
        <v>30</v>
      </c>
      <c r="D163" s="24">
        <v>0</v>
      </c>
      <c r="E163" s="24">
        <v>6878</v>
      </c>
      <c r="F163" s="197"/>
      <c r="G163" s="11"/>
      <c r="H163" s="11"/>
      <c r="I163" s="11"/>
      <c r="J163" s="202"/>
      <c r="K163" s="202"/>
      <c r="L163" s="20">
        <f t="shared" si="48"/>
        <v>6878</v>
      </c>
      <c r="M163" s="112">
        <v>6878</v>
      </c>
      <c r="N163" s="3">
        <f t="shared" si="49"/>
        <v>0</v>
      </c>
    </row>
    <row r="164" spans="1:14" x14ac:dyDescent="0.25">
      <c r="A164" s="258"/>
      <c r="B164" s="268"/>
      <c r="C164" s="6" t="s">
        <v>53</v>
      </c>
      <c r="D164" s="7">
        <f>SUM(D158:D163)</f>
        <v>5589869</v>
      </c>
      <c r="E164" s="7">
        <v>5859466</v>
      </c>
      <c r="F164" s="7">
        <f t="shared" ref="F164:N164" si="50">SUM(F158:F163)</f>
        <v>-75000</v>
      </c>
      <c r="G164" s="7">
        <f t="shared" si="50"/>
        <v>0</v>
      </c>
      <c r="H164" s="7">
        <f t="shared" si="50"/>
        <v>0</v>
      </c>
      <c r="I164" s="7">
        <f t="shared" si="50"/>
        <v>0</v>
      </c>
      <c r="J164" s="7">
        <f t="shared" si="50"/>
        <v>0</v>
      </c>
      <c r="K164" s="7">
        <f t="shared" si="50"/>
        <v>0</v>
      </c>
      <c r="L164" s="7">
        <f t="shared" si="50"/>
        <v>5784466</v>
      </c>
      <c r="M164" s="114">
        <f t="shared" si="50"/>
        <v>5546390</v>
      </c>
      <c r="N164" s="7">
        <f t="shared" si="50"/>
        <v>238076</v>
      </c>
    </row>
    <row r="165" spans="1:14" x14ac:dyDescent="0.25">
      <c r="A165" s="258"/>
      <c r="B165" s="268"/>
      <c r="C165" s="86" t="s">
        <v>31</v>
      </c>
      <c r="D165" s="87">
        <v>1124913</v>
      </c>
      <c r="E165" s="87">
        <v>1177484</v>
      </c>
      <c r="F165" s="87"/>
      <c r="G165" s="87"/>
      <c r="H165" s="87"/>
      <c r="I165" s="87"/>
      <c r="J165" s="201"/>
      <c r="K165" s="201"/>
      <c r="L165" s="88">
        <f t="shared" ref="L165:L174" si="51">E165+F165+G165+H165+I165+J165+K165</f>
        <v>1177484</v>
      </c>
      <c r="M165" s="115">
        <v>1133672</v>
      </c>
      <c r="N165" s="89">
        <f t="shared" ref="N165:N174" si="52">L165-M165</f>
        <v>43812</v>
      </c>
    </row>
    <row r="166" spans="1:14" x14ac:dyDescent="0.25">
      <c r="A166" s="258"/>
      <c r="B166" s="268"/>
      <c r="C166" s="10" t="s">
        <v>32</v>
      </c>
      <c r="D166" s="24">
        <v>100000</v>
      </c>
      <c r="E166" s="24">
        <v>50000</v>
      </c>
      <c r="F166" s="11"/>
      <c r="G166" s="11"/>
      <c r="H166" s="11"/>
      <c r="I166" s="11"/>
      <c r="J166" s="202"/>
      <c r="K166" s="202"/>
      <c r="L166" s="20">
        <f t="shared" si="51"/>
        <v>50000</v>
      </c>
      <c r="M166" s="112">
        <v>0</v>
      </c>
      <c r="N166" s="3">
        <f t="shared" si="52"/>
        <v>50000</v>
      </c>
    </row>
    <row r="167" spans="1:14" x14ac:dyDescent="0.25">
      <c r="A167" s="258"/>
      <c r="B167" s="268"/>
      <c r="C167" s="10" t="s">
        <v>33</v>
      </c>
      <c r="D167" s="24">
        <v>100000</v>
      </c>
      <c r="E167" s="24">
        <v>100000</v>
      </c>
      <c r="F167" s="11"/>
      <c r="G167" s="11"/>
      <c r="H167" s="11"/>
      <c r="I167" s="11"/>
      <c r="J167" s="202"/>
      <c r="K167" s="202"/>
      <c r="L167" s="20">
        <f t="shared" si="51"/>
        <v>100000</v>
      </c>
      <c r="M167" s="112">
        <v>93234</v>
      </c>
      <c r="N167" s="3">
        <f t="shared" si="52"/>
        <v>6766</v>
      </c>
    </row>
    <row r="168" spans="1:14" x14ac:dyDescent="0.25">
      <c r="A168" s="258"/>
      <c r="B168" s="268"/>
      <c r="C168" s="10" t="s">
        <v>34</v>
      </c>
      <c r="D168" s="24">
        <v>100000</v>
      </c>
      <c r="E168" s="24">
        <v>50000</v>
      </c>
      <c r="F168" s="197"/>
      <c r="G168" s="11"/>
      <c r="H168" s="11"/>
      <c r="I168" s="11"/>
      <c r="J168" s="202"/>
      <c r="K168" s="202"/>
      <c r="L168" s="20">
        <f t="shared" si="51"/>
        <v>50000</v>
      </c>
      <c r="M168" s="112">
        <v>0</v>
      </c>
      <c r="N168" s="3">
        <f t="shared" si="52"/>
        <v>50000</v>
      </c>
    </row>
    <row r="169" spans="1:14" x14ac:dyDescent="0.25">
      <c r="A169" s="258"/>
      <c r="B169" s="268"/>
      <c r="C169" s="10" t="s">
        <v>35</v>
      </c>
      <c r="D169" s="24">
        <v>50000</v>
      </c>
      <c r="E169" s="24">
        <v>50000</v>
      </c>
      <c r="F169" s="197"/>
      <c r="G169" s="11"/>
      <c r="H169" s="11"/>
      <c r="I169" s="11"/>
      <c r="J169" s="202"/>
      <c r="K169" s="202"/>
      <c r="L169" s="20">
        <f t="shared" si="51"/>
        <v>50000</v>
      </c>
      <c r="M169" s="112">
        <v>0</v>
      </c>
      <c r="N169" s="3">
        <f t="shared" si="52"/>
        <v>50000</v>
      </c>
    </row>
    <row r="170" spans="1:14" x14ac:dyDescent="0.25">
      <c r="A170" s="258"/>
      <c r="B170" s="268"/>
      <c r="C170" s="10" t="s">
        <v>38</v>
      </c>
      <c r="D170" s="24">
        <v>140000</v>
      </c>
      <c r="E170" s="24">
        <v>136600</v>
      </c>
      <c r="F170" s="197"/>
      <c r="G170" s="11"/>
      <c r="H170" s="11"/>
      <c r="I170" s="11"/>
      <c r="J170" s="202"/>
      <c r="K170" s="202"/>
      <c r="L170" s="20">
        <f t="shared" si="51"/>
        <v>136600</v>
      </c>
      <c r="M170" s="112">
        <v>60347</v>
      </c>
      <c r="N170" s="3">
        <f t="shared" si="52"/>
        <v>76253</v>
      </c>
    </row>
    <row r="171" spans="1:14" x14ac:dyDescent="0.25">
      <c r="A171" s="258"/>
      <c r="B171" s="268"/>
      <c r="C171" s="10" t="s">
        <v>40</v>
      </c>
      <c r="D171" s="24">
        <v>15000</v>
      </c>
      <c r="E171" s="24">
        <v>18400</v>
      </c>
      <c r="F171" s="197"/>
      <c r="G171" s="11"/>
      <c r="H171" s="11"/>
      <c r="I171" s="11"/>
      <c r="J171" s="202"/>
      <c r="K171" s="202"/>
      <c r="L171" s="20">
        <f t="shared" si="51"/>
        <v>18400</v>
      </c>
      <c r="M171" s="112">
        <v>12250</v>
      </c>
      <c r="N171" s="3">
        <f t="shared" si="52"/>
        <v>6150</v>
      </c>
    </row>
    <row r="172" spans="1:14" x14ac:dyDescent="0.25">
      <c r="A172" s="258"/>
      <c r="B172" s="268"/>
      <c r="C172" s="10" t="s">
        <v>41</v>
      </c>
      <c r="D172" s="24">
        <v>80000</v>
      </c>
      <c r="E172" s="24">
        <v>144188</v>
      </c>
      <c r="F172" s="197">
        <f>-10175+75000</f>
        <v>64825</v>
      </c>
      <c r="G172" s="11"/>
      <c r="H172" s="11"/>
      <c r="I172" s="11"/>
      <c r="J172" s="202"/>
      <c r="K172" s="202"/>
      <c r="L172" s="20">
        <f t="shared" si="51"/>
        <v>209013</v>
      </c>
      <c r="M172" s="112">
        <v>173888</v>
      </c>
      <c r="N172" s="3">
        <f t="shared" si="52"/>
        <v>35125</v>
      </c>
    </row>
    <row r="173" spans="1:14" x14ac:dyDescent="0.25">
      <c r="A173" s="258"/>
      <c r="B173" s="268"/>
      <c r="C173" s="10" t="s">
        <v>42</v>
      </c>
      <c r="D173" s="24">
        <v>240000</v>
      </c>
      <c r="E173" s="24">
        <v>290000</v>
      </c>
      <c r="F173" s="197">
        <v>10175</v>
      </c>
      <c r="G173" s="11"/>
      <c r="H173" s="11"/>
      <c r="I173" s="11"/>
      <c r="J173" s="202"/>
      <c r="K173" s="202"/>
      <c r="L173" s="20">
        <f t="shared" si="51"/>
        <v>300175</v>
      </c>
      <c r="M173" s="112">
        <v>300175</v>
      </c>
      <c r="N173" s="3">
        <f t="shared" si="52"/>
        <v>0</v>
      </c>
    </row>
    <row r="174" spans="1:14" x14ac:dyDescent="0.25">
      <c r="A174" s="258"/>
      <c r="B174" s="268"/>
      <c r="C174" s="10" t="s">
        <v>44</v>
      </c>
      <c r="D174" s="24">
        <v>142900</v>
      </c>
      <c r="E174" s="24">
        <v>128712</v>
      </c>
      <c r="F174" s="197"/>
      <c r="G174" s="11"/>
      <c r="H174" s="11"/>
      <c r="I174" s="11"/>
      <c r="J174" s="202"/>
      <c r="K174" s="202"/>
      <c r="L174" s="20">
        <f t="shared" si="51"/>
        <v>128712</v>
      </c>
      <c r="M174" s="112">
        <v>50259</v>
      </c>
      <c r="N174" s="3">
        <f t="shared" si="52"/>
        <v>78453</v>
      </c>
    </row>
    <row r="175" spans="1:14" x14ac:dyDescent="0.25">
      <c r="A175" s="258"/>
      <c r="B175" s="268"/>
      <c r="C175" s="6" t="s">
        <v>49</v>
      </c>
      <c r="D175" s="7">
        <f>SUM(D166:D174)</f>
        <v>967900</v>
      </c>
      <c r="E175" s="7">
        <v>967900</v>
      </c>
      <c r="F175" s="7">
        <f t="shared" ref="F175:N175" si="53">SUM(F166:F174)</f>
        <v>75000</v>
      </c>
      <c r="G175" s="7">
        <f t="shared" si="53"/>
        <v>0</v>
      </c>
      <c r="H175" s="7">
        <f t="shared" si="53"/>
        <v>0</v>
      </c>
      <c r="I175" s="7">
        <f t="shared" si="53"/>
        <v>0</v>
      </c>
      <c r="J175" s="7">
        <f t="shared" si="53"/>
        <v>0</v>
      </c>
      <c r="K175" s="7">
        <f t="shared" si="53"/>
        <v>0</v>
      </c>
      <c r="L175" s="7">
        <f t="shared" si="53"/>
        <v>1042900</v>
      </c>
      <c r="M175" s="114">
        <f t="shared" si="53"/>
        <v>690153</v>
      </c>
      <c r="N175" s="7">
        <f t="shared" si="53"/>
        <v>352747</v>
      </c>
    </row>
    <row r="176" spans="1:14" x14ac:dyDescent="0.25">
      <c r="A176" s="255" t="s">
        <v>67</v>
      </c>
      <c r="B176" s="252" t="s">
        <v>23</v>
      </c>
      <c r="C176" s="25" t="s">
        <v>29</v>
      </c>
      <c r="D176" s="24">
        <v>157200</v>
      </c>
      <c r="E176" s="24">
        <v>71400</v>
      </c>
      <c r="F176" s="11"/>
      <c r="G176" s="197"/>
      <c r="H176" s="197"/>
      <c r="I176" s="11"/>
      <c r="J176" s="202"/>
      <c r="K176" s="202"/>
      <c r="L176" s="20">
        <f t="shared" ref="L176:L218" si="54">E176+F176+G176+H176+I176+J176+K176</f>
        <v>71400</v>
      </c>
      <c r="M176" s="112">
        <v>71400</v>
      </c>
      <c r="N176" s="3">
        <f t="shared" ref="N176:N192" si="55">L176-M176</f>
        <v>0</v>
      </c>
    </row>
    <row r="177" spans="1:14" x14ac:dyDescent="0.25">
      <c r="A177" s="257"/>
      <c r="B177" s="254"/>
      <c r="C177" s="25" t="s">
        <v>31</v>
      </c>
      <c r="D177" s="24">
        <v>29213</v>
      </c>
      <c r="E177" s="24">
        <v>13395</v>
      </c>
      <c r="F177" s="11"/>
      <c r="G177" s="197"/>
      <c r="H177" s="197"/>
      <c r="I177" s="11"/>
      <c r="J177" s="202"/>
      <c r="K177" s="202"/>
      <c r="L177" s="20">
        <f t="shared" si="54"/>
        <v>13395</v>
      </c>
      <c r="M177" s="112">
        <v>13395</v>
      </c>
      <c r="N177" s="3">
        <f t="shared" si="55"/>
        <v>0</v>
      </c>
    </row>
    <row r="178" spans="1:14" x14ac:dyDescent="0.25">
      <c r="A178" s="255" t="s">
        <v>75</v>
      </c>
      <c r="B178" s="252" t="s">
        <v>23</v>
      </c>
      <c r="C178" s="15" t="s">
        <v>24</v>
      </c>
      <c r="D178" s="24">
        <v>1604509</v>
      </c>
      <c r="E178" s="24">
        <v>1645068</v>
      </c>
      <c r="F178" s="11"/>
      <c r="G178" s="197"/>
      <c r="H178" s="197"/>
      <c r="I178" s="11"/>
      <c r="J178" s="202"/>
      <c r="K178" s="202">
        <v>2</v>
      </c>
      <c r="L178" s="20">
        <f t="shared" si="54"/>
        <v>1645070</v>
      </c>
      <c r="M178" s="112">
        <v>1645070</v>
      </c>
      <c r="N178" s="3">
        <f t="shared" si="55"/>
        <v>0</v>
      </c>
    </row>
    <row r="179" spans="1:14" x14ac:dyDescent="0.25">
      <c r="A179" s="257"/>
      <c r="B179" s="254"/>
      <c r="C179" s="15" t="s">
        <v>31</v>
      </c>
      <c r="D179" s="24">
        <v>299119</v>
      </c>
      <c r="E179" s="24">
        <v>307030</v>
      </c>
      <c r="F179" s="11"/>
      <c r="G179" s="197"/>
      <c r="H179" s="197"/>
      <c r="I179" s="11"/>
      <c r="J179" s="202"/>
      <c r="K179" s="202"/>
      <c r="L179" s="20">
        <f t="shared" si="54"/>
        <v>307030</v>
      </c>
      <c r="M179" s="112">
        <v>307030</v>
      </c>
      <c r="N179" s="3">
        <f t="shared" si="55"/>
        <v>0</v>
      </c>
    </row>
    <row r="180" spans="1:14" x14ac:dyDescent="0.25">
      <c r="A180" s="310" t="s">
        <v>80</v>
      </c>
      <c r="B180" s="310"/>
      <c r="C180" s="310"/>
      <c r="D180" s="85">
        <f>SUM(D164+D165+D175+D176+D177+D178+D179)</f>
        <v>9772723</v>
      </c>
      <c r="E180" s="85">
        <v>10041743</v>
      </c>
      <c r="F180" s="85">
        <f t="shared" ref="F180:N180" si="56">SUM(F164+F165+F175+F176+F177+F178+F179)</f>
        <v>0</v>
      </c>
      <c r="G180" s="85">
        <f t="shared" si="56"/>
        <v>0</v>
      </c>
      <c r="H180" s="85">
        <f t="shared" si="56"/>
        <v>0</v>
      </c>
      <c r="I180" s="85">
        <f t="shared" si="56"/>
        <v>0</v>
      </c>
      <c r="J180" s="85">
        <f t="shared" si="56"/>
        <v>0</v>
      </c>
      <c r="K180" s="85">
        <f t="shared" si="56"/>
        <v>2</v>
      </c>
      <c r="L180" s="85">
        <f t="shared" si="56"/>
        <v>10041745</v>
      </c>
      <c r="M180" s="116">
        <f t="shared" si="56"/>
        <v>9407110</v>
      </c>
      <c r="N180" s="85">
        <f t="shared" si="56"/>
        <v>634635</v>
      </c>
    </row>
    <row r="181" spans="1:14" x14ac:dyDescent="0.25">
      <c r="A181" s="258" t="s">
        <v>15</v>
      </c>
      <c r="B181" s="252" t="s">
        <v>23</v>
      </c>
      <c r="C181" s="43" t="s">
        <v>24</v>
      </c>
      <c r="D181" s="44">
        <v>11144060</v>
      </c>
      <c r="E181" s="44">
        <v>11144060</v>
      </c>
      <c r="F181" s="44"/>
      <c r="G181" s="44">
        <v>-2956311</v>
      </c>
      <c r="H181" s="44"/>
      <c r="I181" s="44"/>
      <c r="J181" s="203"/>
      <c r="K181" s="203"/>
      <c r="L181" s="20">
        <f t="shared" si="54"/>
        <v>8187749</v>
      </c>
      <c r="M181" s="56">
        <v>8187749</v>
      </c>
      <c r="N181" s="3">
        <f t="shared" si="55"/>
        <v>0</v>
      </c>
    </row>
    <row r="182" spans="1:14" x14ac:dyDescent="0.25">
      <c r="A182" s="258"/>
      <c r="B182" s="253"/>
      <c r="C182" s="43" t="s">
        <v>30</v>
      </c>
      <c r="D182" s="44">
        <v>0</v>
      </c>
      <c r="E182" s="44">
        <v>0</v>
      </c>
      <c r="F182" s="44"/>
      <c r="G182" s="44"/>
      <c r="H182" s="44"/>
      <c r="I182" s="44"/>
      <c r="J182" s="203"/>
      <c r="K182" s="203"/>
      <c r="L182" s="20">
        <f t="shared" si="54"/>
        <v>0</v>
      </c>
      <c r="M182" s="56">
        <v>0</v>
      </c>
      <c r="N182" s="3">
        <f t="shared" si="55"/>
        <v>0</v>
      </c>
    </row>
    <row r="183" spans="1:14" x14ac:dyDescent="0.25">
      <c r="A183" s="258"/>
      <c r="B183" s="253"/>
      <c r="C183" s="6" t="s">
        <v>53</v>
      </c>
      <c r="D183" s="7">
        <f>D181+D182</f>
        <v>11144060</v>
      </c>
      <c r="E183" s="7">
        <v>11144060</v>
      </c>
      <c r="F183" s="7">
        <f t="shared" ref="F183:N183" si="57">F181+F182</f>
        <v>0</v>
      </c>
      <c r="G183" s="7">
        <f t="shared" si="57"/>
        <v>-2956311</v>
      </c>
      <c r="H183" s="7">
        <f t="shared" si="57"/>
        <v>0</v>
      </c>
      <c r="I183" s="7">
        <f t="shared" si="57"/>
        <v>0</v>
      </c>
      <c r="J183" s="7">
        <f t="shared" si="57"/>
        <v>0</v>
      </c>
      <c r="K183" s="7">
        <f t="shared" si="57"/>
        <v>0</v>
      </c>
      <c r="L183" s="8">
        <f t="shared" ref="L183" si="58">E183+F183+G183+H183+I183</f>
        <v>8187749</v>
      </c>
      <c r="M183" s="117">
        <f t="shared" si="57"/>
        <v>8187749</v>
      </c>
      <c r="N183" s="7">
        <f t="shared" si="57"/>
        <v>0</v>
      </c>
    </row>
    <row r="184" spans="1:14" x14ac:dyDescent="0.25">
      <c r="A184" s="258"/>
      <c r="B184" s="253"/>
      <c r="C184" s="86" t="s">
        <v>31</v>
      </c>
      <c r="D184" s="87">
        <v>2295657</v>
      </c>
      <c r="E184" s="87">
        <v>6570207</v>
      </c>
      <c r="F184" s="87"/>
      <c r="G184" s="87">
        <v>-2224675</v>
      </c>
      <c r="H184" s="87"/>
      <c r="I184" s="87"/>
      <c r="J184" s="87"/>
      <c r="K184" s="87"/>
      <c r="L184" s="89">
        <f t="shared" si="54"/>
        <v>4345532</v>
      </c>
      <c r="M184" s="115">
        <v>4345532</v>
      </c>
      <c r="N184" s="89">
        <f t="shared" si="55"/>
        <v>0</v>
      </c>
    </row>
    <row r="185" spans="1:14" x14ac:dyDescent="0.25">
      <c r="A185" s="258"/>
      <c r="B185" s="253"/>
      <c r="C185" s="10" t="s">
        <v>33</v>
      </c>
      <c r="D185" s="3">
        <v>90000</v>
      </c>
      <c r="E185" s="3">
        <v>232959</v>
      </c>
      <c r="F185" s="3"/>
      <c r="G185" s="3"/>
      <c r="H185" s="3"/>
      <c r="I185" s="3"/>
      <c r="J185" s="3"/>
      <c r="K185" s="3"/>
      <c r="L185" s="3">
        <f t="shared" si="54"/>
        <v>232959</v>
      </c>
      <c r="M185" s="112">
        <v>232959</v>
      </c>
      <c r="N185" s="3">
        <f t="shared" si="55"/>
        <v>0</v>
      </c>
    </row>
    <row r="186" spans="1:14" x14ac:dyDescent="0.25">
      <c r="A186" s="258"/>
      <c r="B186" s="253"/>
      <c r="C186" s="10" t="s">
        <v>37</v>
      </c>
      <c r="D186" s="3">
        <v>230000</v>
      </c>
      <c r="E186" s="3">
        <v>230000</v>
      </c>
      <c r="F186" s="3"/>
      <c r="G186" s="3">
        <v>-37260</v>
      </c>
      <c r="H186" s="3"/>
      <c r="I186" s="3"/>
      <c r="J186" s="3"/>
      <c r="K186" s="3"/>
      <c r="L186" s="3">
        <f t="shared" si="54"/>
        <v>192740</v>
      </c>
      <c r="M186" s="112">
        <v>138000</v>
      </c>
      <c r="N186" s="3">
        <f t="shared" si="55"/>
        <v>54740</v>
      </c>
    </row>
    <row r="187" spans="1:14" x14ac:dyDescent="0.25">
      <c r="A187" s="258"/>
      <c r="B187" s="253"/>
      <c r="C187" s="10" t="s">
        <v>40</v>
      </c>
      <c r="D187" s="3">
        <v>14850000</v>
      </c>
      <c r="E187" s="3">
        <v>14850000</v>
      </c>
      <c r="F187" s="3"/>
      <c r="G187" s="3">
        <v>-11297383</v>
      </c>
      <c r="H187" s="3"/>
      <c r="I187" s="3"/>
      <c r="J187" s="3"/>
      <c r="K187" s="3"/>
      <c r="L187" s="3">
        <f t="shared" si="54"/>
        <v>3552617</v>
      </c>
      <c r="M187" s="112">
        <v>2040000</v>
      </c>
      <c r="N187" s="3">
        <f t="shared" si="55"/>
        <v>1512617</v>
      </c>
    </row>
    <row r="188" spans="1:14" x14ac:dyDescent="0.25">
      <c r="A188" s="258"/>
      <c r="B188" s="253"/>
      <c r="C188" s="10" t="s">
        <v>41</v>
      </c>
      <c r="D188" s="3">
        <v>25112271</v>
      </c>
      <c r="E188" s="3">
        <v>12427045</v>
      </c>
      <c r="F188" s="3"/>
      <c r="G188" s="3">
        <v>-6269063</v>
      </c>
      <c r="H188" s="3"/>
      <c r="I188" s="3"/>
      <c r="J188" s="3"/>
      <c r="K188" s="3"/>
      <c r="L188" s="3">
        <f t="shared" si="54"/>
        <v>6157982</v>
      </c>
      <c r="M188" s="112">
        <v>6157972</v>
      </c>
      <c r="N188" s="3">
        <f t="shared" si="55"/>
        <v>10</v>
      </c>
    </row>
    <row r="189" spans="1:14" x14ac:dyDescent="0.25">
      <c r="A189" s="258"/>
      <c r="B189" s="253"/>
      <c r="C189" s="10" t="s">
        <v>42</v>
      </c>
      <c r="D189" s="3">
        <v>230000</v>
      </c>
      <c r="E189" s="3">
        <v>230000</v>
      </c>
      <c r="F189" s="3"/>
      <c r="G189" s="3">
        <v>-180800</v>
      </c>
      <c r="H189" s="3"/>
      <c r="I189" s="3"/>
      <c r="J189" s="3"/>
      <c r="K189" s="3"/>
      <c r="L189" s="3">
        <f t="shared" si="54"/>
        <v>49200</v>
      </c>
      <c r="M189" s="112">
        <v>49200</v>
      </c>
      <c r="N189" s="3">
        <f t="shared" si="55"/>
        <v>0</v>
      </c>
    </row>
    <row r="190" spans="1:14" x14ac:dyDescent="0.25">
      <c r="A190" s="258"/>
      <c r="B190" s="253"/>
      <c r="C190" s="10" t="s">
        <v>43</v>
      </c>
      <c r="D190" s="3">
        <v>230000</v>
      </c>
      <c r="E190" s="3">
        <v>230000</v>
      </c>
      <c r="F190" s="3"/>
      <c r="G190" s="3">
        <v>-230000</v>
      </c>
      <c r="H190" s="3"/>
      <c r="I190" s="3"/>
      <c r="J190" s="3"/>
      <c r="K190" s="3"/>
      <c r="L190" s="3">
        <f t="shared" si="54"/>
        <v>0</v>
      </c>
      <c r="M190" s="112">
        <v>0</v>
      </c>
      <c r="N190" s="3">
        <f t="shared" si="55"/>
        <v>0</v>
      </c>
    </row>
    <row r="191" spans="1:14" x14ac:dyDescent="0.25">
      <c r="A191" s="258"/>
      <c r="B191" s="253"/>
      <c r="C191" s="10" t="s">
        <v>44</v>
      </c>
      <c r="D191" s="3">
        <v>5677830</v>
      </c>
      <c r="E191" s="3">
        <v>3445547</v>
      </c>
      <c r="F191" s="3"/>
      <c r="G191" s="3">
        <v>-1873250</v>
      </c>
      <c r="H191" s="3"/>
      <c r="I191" s="3"/>
      <c r="J191" s="3"/>
      <c r="K191" s="3"/>
      <c r="L191" s="3">
        <f t="shared" si="54"/>
        <v>1572297</v>
      </c>
      <c r="M191" s="112">
        <v>1572297</v>
      </c>
      <c r="N191" s="3">
        <f t="shared" si="55"/>
        <v>0</v>
      </c>
    </row>
    <row r="192" spans="1:14" x14ac:dyDescent="0.25">
      <c r="A192" s="258"/>
      <c r="B192" s="253"/>
      <c r="C192" s="10" t="s">
        <v>45</v>
      </c>
      <c r="D192" s="3">
        <v>229990</v>
      </c>
      <c r="E192" s="3">
        <v>229990</v>
      </c>
      <c r="F192" s="3"/>
      <c r="G192" s="3">
        <v>-229990</v>
      </c>
      <c r="H192" s="3"/>
      <c r="I192" s="3"/>
      <c r="J192" s="3"/>
      <c r="K192" s="3"/>
      <c r="L192" s="3">
        <f t="shared" si="54"/>
        <v>0</v>
      </c>
      <c r="M192" s="112">
        <v>0</v>
      </c>
      <c r="N192" s="3">
        <f t="shared" si="55"/>
        <v>0</v>
      </c>
    </row>
    <row r="193" spans="1:14" x14ac:dyDescent="0.25">
      <c r="A193" s="258"/>
      <c r="B193" s="253"/>
      <c r="C193" s="6" t="s">
        <v>49</v>
      </c>
      <c r="D193" s="7">
        <f>SUM(D185:D192)</f>
        <v>46650091</v>
      </c>
      <c r="E193" s="7">
        <v>31875541</v>
      </c>
      <c r="F193" s="7">
        <f t="shared" ref="F193:N193" si="59">SUM(F185:F192)</f>
        <v>0</v>
      </c>
      <c r="G193" s="7">
        <f t="shared" si="59"/>
        <v>-20117746</v>
      </c>
      <c r="H193" s="7">
        <f t="shared" si="59"/>
        <v>0</v>
      </c>
      <c r="I193" s="7">
        <f t="shared" si="59"/>
        <v>0</v>
      </c>
      <c r="J193" s="7">
        <f t="shared" si="59"/>
        <v>0</v>
      </c>
      <c r="K193" s="7">
        <f t="shared" si="59"/>
        <v>0</v>
      </c>
      <c r="L193" s="7">
        <f t="shared" si="59"/>
        <v>11757795</v>
      </c>
      <c r="M193" s="114">
        <f t="shared" si="59"/>
        <v>10190428</v>
      </c>
      <c r="N193" s="7">
        <f t="shared" si="59"/>
        <v>1567367</v>
      </c>
    </row>
    <row r="194" spans="1:14" x14ac:dyDescent="0.25">
      <c r="A194" s="258"/>
      <c r="B194" s="253"/>
      <c r="C194" s="10" t="s">
        <v>56</v>
      </c>
      <c r="D194" s="3">
        <v>0</v>
      </c>
      <c r="E194" s="3">
        <v>0</v>
      </c>
      <c r="F194" s="3"/>
      <c r="G194" s="3"/>
      <c r="H194" s="3"/>
      <c r="I194" s="3"/>
      <c r="J194" s="3"/>
      <c r="K194" s="3"/>
      <c r="L194" s="3">
        <f t="shared" si="54"/>
        <v>0</v>
      </c>
      <c r="M194" s="112">
        <v>0</v>
      </c>
      <c r="N194" s="3">
        <f t="shared" ref="N194:N196" si="60">L194-M194</f>
        <v>0</v>
      </c>
    </row>
    <row r="195" spans="1:14" x14ac:dyDescent="0.25">
      <c r="A195" s="258"/>
      <c r="B195" s="253"/>
      <c r="C195" s="10" t="s">
        <v>50</v>
      </c>
      <c r="D195" s="3">
        <v>3740</v>
      </c>
      <c r="E195" s="3">
        <v>3740</v>
      </c>
      <c r="F195" s="3"/>
      <c r="G195" s="3"/>
      <c r="H195" s="3"/>
      <c r="I195" s="3"/>
      <c r="J195" s="3"/>
      <c r="K195" s="3"/>
      <c r="L195" s="3">
        <f t="shared" si="54"/>
        <v>3740</v>
      </c>
      <c r="M195" s="112">
        <v>0</v>
      </c>
      <c r="N195" s="3">
        <f t="shared" si="60"/>
        <v>3740</v>
      </c>
    </row>
    <row r="196" spans="1:14" x14ac:dyDescent="0.25">
      <c r="A196" s="258"/>
      <c r="B196" s="253"/>
      <c r="C196" s="10" t="s">
        <v>51</v>
      </c>
      <c r="D196" s="3">
        <v>1010</v>
      </c>
      <c r="E196" s="3">
        <v>1010</v>
      </c>
      <c r="F196" s="3"/>
      <c r="G196" s="3"/>
      <c r="H196" s="3"/>
      <c r="I196" s="3"/>
      <c r="J196" s="3"/>
      <c r="K196" s="3"/>
      <c r="L196" s="3">
        <f t="shared" si="54"/>
        <v>1010</v>
      </c>
      <c r="M196" s="112">
        <v>0</v>
      </c>
      <c r="N196" s="3">
        <f t="shared" si="60"/>
        <v>1010</v>
      </c>
    </row>
    <row r="197" spans="1:14" x14ac:dyDescent="0.25">
      <c r="A197" s="258"/>
      <c r="B197" s="253"/>
      <c r="C197" s="6" t="s">
        <v>52</v>
      </c>
      <c r="D197" s="7">
        <f>SUM(D194:D196)</f>
        <v>4750</v>
      </c>
      <c r="E197" s="7">
        <v>4750</v>
      </c>
      <c r="F197" s="7">
        <f t="shared" ref="F197:N197" si="61">SUM(F194:F196)</f>
        <v>0</v>
      </c>
      <c r="G197" s="7">
        <f t="shared" si="61"/>
        <v>0</v>
      </c>
      <c r="H197" s="7">
        <f t="shared" si="61"/>
        <v>0</v>
      </c>
      <c r="I197" s="7">
        <f t="shared" si="61"/>
        <v>0</v>
      </c>
      <c r="J197" s="7">
        <f t="shared" si="61"/>
        <v>0</v>
      </c>
      <c r="K197" s="7">
        <f t="shared" si="61"/>
        <v>0</v>
      </c>
      <c r="L197" s="7">
        <f t="shared" si="61"/>
        <v>4750</v>
      </c>
      <c r="M197" s="114">
        <f t="shared" si="61"/>
        <v>0</v>
      </c>
      <c r="N197" s="7">
        <f t="shared" si="61"/>
        <v>4750</v>
      </c>
    </row>
    <row r="198" spans="1:14" x14ac:dyDescent="0.25">
      <c r="A198" s="258"/>
      <c r="B198" s="254"/>
      <c r="C198" s="10" t="s">
        <v>57</v>
      </c>
      <c r="D198" s="3">
        <v>0</v>
      </c>
      <c r="E198" s="3">
        <v>10500000</v>
      </c>
      <c r="F198" s="3"/>
      <c r="G198" s="3"/>
      <c r="H198" s="3"/>
      <c r="I198" s="3"/>
      <c r="J198" s="3"/>
      <c r="K198" s="3"/>
      <c r="L198" s="3">
        <f t="shared" si="54"/>
        <v>10500000</v>
      </c>
      <c r="M198" s="112">
        <v>10500000</v>
      </c>
      <c r="N198" s="3">
        <f t="shared" ref="N198" si="62">L198-M198</f>
        <v>0</v>
      </c>
    </row>
    <row r="199" spans="1:14" x14ac:dyDescent="0.25">
      <c r="A199" s="304" t="s">
        <v>81</v>
      </c>
      <c r="B199" s="305"/>
      <c r="C199" s="306"/>
      <c r="D199" s="84">
        <f>SUM(D183+D184+D193+D197+D198)</f>
        <v>60094558</v>
      </c>
      <c r="E199" s="84">
        <v>60094558</v>
      </c>
      <c r="F199" s="84">
        <f t="shared" ref="F199:N199" si="63">SUM(F183+F184+F193+F197+F198)</f>
        <v>0</v>
      </c>
      <c r="G199" s="84">
        <f t="shared" si="63"/>
        <v>-25298732</v>
      </c>
      <c r="H199" s="84">
        <f t="shared" si="63"/>
        <v>0</v>
      </c>
      <c r="I199" s="84">
        <f t="shared" si="63"/>
        <v>0</v>
      </c>
      <c r="J199" s="84">
        <f t="shared" si="63"/>
        <v>0</v>
      </c>
      <c r="K199" s="84">
        <f t="shared" si="63"/>
        <v>0</v>
      </c>
      <c r="L199" s="84">
        <f t="shared" si="63"/>
        <v>34795826</v>
      </c>
      <c r="M199" s="116">
        <f t="shared" si="63"/>
        <v>33223709</v>
      </c>
      <c r="N199" s="84">
        <f t="shared" si="63"/>
        <v>1572117</v>
      </c>
    </row>
    <row r="200" spans="1:14" x14ac:dyDescent="0.25">
      <c r="A200" s="256" t="s">
        <v>85</v>
      </c>
      <c r="B200" s="252" t="s">
        <v>46</v>
      </c>
      <c r="C200" s="12" t="s">
        <v>24</v>
      </c>
      <c r="D200" s="3">
        <v>9880165</v>
      </c>
      <c r="E200" s="3">
        <v>9562762</v>
      </c>
      <c r="F200" s="3"/>
      <c r="G200" s="3"/>
      <c r="H200" s="3"/>
      <c r="I200" s="3"/>
      <c r="J200" s="20"/>
      <c r="K200" s="20"/>
      <c r="L200" s="20">
        <f t="shared" si="54"/>
        <v>9562762</v>
      </c>
      <c r="M200" s="112">
        <v>9317078</v>
      </c>
      <c r="N200" s="3">
        <f t="shared" ref="N200:N205" si="64">L200-M200</f>
        <v>245684</v>
      </c>
    </row>
    <row r="201" spans="1:14" x14ac:dyDescent="0.25">
      <c r="A201" s="256"/>
      <c r="B201" s="253"/>
      <c r="C201" s="12" t="s">
        <v>25</v>
      </c>
      <c r="D201" s="3">
        <v>400000</v>
      </c>
      <c r="E201" s="3">
        <v>400000</v>
      </c>
      <c r="F201" s="3">
        <f>80000+80000-80000</f>
        <v>80000</v>
      </c>
      <c r="G201" s="3"/>
      <c r="H201" s="3"/>
      <c r="I201" s="3"/>
      <c r="J201" s="20"/>
      <c r="K201" s="20"/>
      <c r="L201" s="20">
        <f t="shared" si="54"/>
        <v>480000</v>
      </c>
      <c r="M201" s="112">
        <v>480000</v>
      </c>
      <c r="N201" s="3">
        <f t="shared" si="64"/>
        <v>0</v>
      </c>
    </row>
    <row r="202" spans="1:14" x14ac:dyDescent="0.25">
      <c r="A202" s="256"/>
      <c r="B202" s="253"/>
      <c r="C202" s="12" t="s">
        <v>26</v>
      </c>
      <c r="D202" s="3">
        <v>20000</v>
      </c>
      <c r="E202" s="3">
        <v>20000</v>
      </c>
      <c r="F202" s="3"/>
      <c r="G202" s="3"/>
      <c r="H202" s="3"/>
      <c r="I202" s="3"/>
      <c r="J202" s="20"/>
      <c r="K202" s="20"/>
      <c r="L202" s="20">
        <f t="shared" si="54"/>
        <v>20000</v>
      </c>
      <c r="M202" s="112">
        <v>20000</v>
      </c>
      <c r="N202" s="3">
        <f t="shared" si="64"/>
        <v>0</v>
      </c>
    </row>
    <row r="203" spans="1:14" x14ac:dyDescent="0.25">
      <c r="A203" s="256"/>
      <c r="B203" s="253"/>
      <c r="C203" s="2" t="s">
        <v>27</v>
      </c>
      <c r="D203" s="3">
        <v>75000</v>
      </c>
      <c r="E203" s="3">
        <v>90912</v>
      </c>
      <c r="F203" s="3">
        <v>14688</v>
      </c>
      <c r="G203" s="3"/>
      <c r="H203" s="3"/>
      <c r="I203" s="3"/>
      <c r="J203" s="20"/>
      <c r="K203" s="20"/>
      <c r="L203" s="20">
        <f t="shared" si="54"/>
        <v>105600</v>
      </c>
      <c r="M203" s="112">
        <v>45288</v>
      </c>
      <c r="N203" s="3">
        <f t="shared" si="64"/>
        <v>60312</v>
      </c>
    </row>
    <row r="204" spans="1:14" x14ac:dyDescent="0.25">
      <c r="A204" s="256"/>
      <c r="B204" s="253"/>
      <c r="C204" s="2" t="s">
        <v>28</v>
      </c>
      <c r="D204" s="3">
        <v>48000</v>
      </c>
      <c r="E204" s="3">
        <v>48000</v>
      </c>
      <c r="F204" s="3"/>
      <c r="G204" s="3"/>
      <c r="H204" s="3"/>
      <c r="I204" s="3"/>
      <c r="J204" s="20"/>
      <c r="K204" s="20"/>
      <c r="L204" s="20">
        <f t="shared" si="54"/>
        <v>48000</v>
      </c>
      <c r="M204" s="112">
        <v>48000</v>
      </c>
      <c r="N204" s="3">
        <f t="shared" si="64"/>
        <v>0</v>
      </c>
    </row>
    <row r="205" spans="1:14" x14ac:dyDescent="0.25">
      <c r="A205" s="256"/>
      <c r="B205" s="253"/>
      <c r="C205" s="2" t="s">
        <v>29</v>
      </c>
      <c r="D205" s="3">
        <v>264000</v>
      </c>
      <c r="E205" s="3">
        <v>670126</v>
      </c>
      <c r="F205" s="3">
        <f>-53836-51444+80000+80000-80000</f>
        <v>-25280</v>
      </c>
      <c r="G205" s="3"/>
      <c r="H205" s="3"/>
      <c r="I205" s="3"/>
      <c r="J205" s="20"/>
      <c r="K205" s="20"/>
      <c r="L205" s="20">
        <f t="shared" si="54"/>
        <v>644846</v>
      </c>
      <c r="M205" s="112">
        <v>644846</v>
      </c>
      <c r="N205" s="3">
        <f t="shared" si="64"/>
        <v>0</v>
      </c>
    </row>
    <row r="206" spans="1:14" x14ac:dyDescent="0.25">
      <c r="A206" s="256"/>
      <c r="B206" s="253"/>
      <c r="C206" s="26" t="s">
        <v>53</v>
      </c>
      <c r="D206" s="7">
        <f>SUM(D200:D205)</f>
        <v>10687165</v>
      </c>
      <c r="E206" s="7">
        <v>10791800</v>
      </c>
      <c r="F206" s="7">
        <f t="shared" ref="F206:N206" si="65">SUM(F200:F205)</f>
        <v>69408</v>
      </c>
      <c r="G206" s="7">
        <f t="shared" si="65"/>
        <v>0</v>
      </c>
      <c r="H206" s="7">
        <f t="shared" si="65"/>
        <v>0</v>
      </c>
      <c r="I206" s="7">
        <f t="shared" si="65"/>
        <v>0</v>
      </c>
      <c r="J206" s="7">
        <f t="shared" si="65"/>
        <v>0</v>
      </c>
      <c r="K206" s="7">
        <f t="shared" si="65"/>
        <v>0</v>
      </c>
      <c r="L206" s="7">
        <f t="shared" si="65"/>
        <v>10861208</v>
      </c>
      <c r="M206" s="114">
        <f t="shared" si="65"/>
        <v>10555212</v>
      </c>
      <c r="N206" s="7">
        <f t="shared" si="65"/>
        <v>305996</v>
      </c>
    </row>
    <row r="207" spans="1:14" x14ac:dyDescent="0.25">
      <c r="A207" s="256"/>
      <c r="B207" s="253"/>
      <c r="C207" s="90" t="s">
        <v>31</v>
      </c>
      <c r="D207" s="91">
        <v>2120857</v>
      </c>
      <c r="E207" s="91">
        <v>2120857</v>
      </c>
      <c r="F207" s="92"/>
      <c r="G207" s="92"/>
      <c r="H207" s="92"/>
      <c r="I207" s="92"/>
      <c r="J207" s="204"/>
      <c r="K207" s="204"/>
      <c r="L207" s="88">
        <f t="shared" si="54"/>
        <v>2120857</v>
      </c>
      <c r="M207" s="115">
        <v>2072280</v>
      </c>
      <c r="N207" s="89">
        <f t="shared" ref="N207:N215" si="66">L207-M207</f>
        <v>48577</v>
      </c>
    </row>
    <row r="208" spans="1:14" x14ac:dyDescent="0.25">
      <c r="A208" s="256"/>
      <c r="B208" s="253"/>
      <c r="C208" s="176" t="s">
        <v>32</v>
      </c>
      <c r="D208" s="173">
        <v>0</v>
      </c>
      <c r="E208" s="173">
        <v>33514</v>
      </c>
      <c r="F208" s="173">
        <v>-5928</v>
      </c>
      <c r="G208" s="173"/>
      <c r="H208" s="173"/>
      <c r="I208" s="173"/>
      <c r="J208" s="205"/>
      <c r="K208" s="205"/>
      <c r="L208" s="174">
        <f t="shared" si="54"/>
        <v>27586</v>
      </c>
      <c r="M208" s="118">
        <v>13514</v>
      </c>
      <c r="N208" s="175">
        <f t="shared" si="66"/>
        <v>14072</v>
      </c>
    </row>
    <row r="209" spans="1:14" x14ac:dyDescent="0.25">
      <c r="A209" s="256"/>
      <c r="B209" s="253"/>
      <c r="C209" s="103" t="s">
        <v>33</v>
      </c>
      <c r="D209" s="104">
        <v>0</v>
      </c>
      <c r="E209" s="104">
        <v>186928</v>
      </c>
      <c r="F209" s="104">
        <v>5928</v>
      </c>
      <c r="G209" s="104"/>
      <c r="H209" s="104"/>
      <c r="I209" s="104"/>
      <c r="J209" s="206"/>
      <c r="K209" s="206"/>
      <c r="L209" s="20">
        <f t="shared" si="54"/>
        <v>192856</v>
      </c>
      <c r="M209" s="118">
        <v>48251</v>
      </c>
      <c r="N209" s="3">
        <f t="shared" si="66"/>
        <v>144605</v>
      </c>
    </row>
    <row r="210" spans="1:14" x14ac:dyDescent="0.25">
      <c r="A210" s="256"/>
      <c r="B210" s="253"/>
      <c r="C210" s="46" t="s">
        <v>35</v>
      </c>
      <c r="D210" s="47">
        <v>0</v>
      </c>
      <c r="E210" s="47">
        <v>192800</v>
      </c>
      <c r="F210" s="47"/>
      <c r="G210" s="47"/>
      <c r="H210" s="47"/>
      <c r="I210" s="47"/>
      <c r="J210" s="207"/>
      <c r="K210" s="207"/>
      <c r="L210" s="20">
        <f t="shared" si="54"/>
        <v>192800</v>
      </c>
      <c r="M210" s="118">
        <v>42894</v>
      </c>
      <c r="N210" s="3">
        <f t="shared" si="66"/>
        <v>149906</v>
      </c>
    </row>
    <row r="211" spans="1:14" x14ac:dyDescent="0.25">
      <c r="A211" s="256"/>
      <c r="B211" s="253"/>
      <c r="C211" s="102" t="s">
        <v>38</v>
      </c>
      <c r="D211" s="47">
        <v>0</v>
      </c>
      <c r="E211" s="47">
        <v>28500</v>
      </c>
      <c r="F211" s="47"/>
      <c r="G211" s="47"/>
      <c r="H211" s="47"/>
      <c r="I211" s="47"/>
      <c r="J211" s="207"/>
      <c r="K211" s="207"/>
      <c r="L211" s="20">
        <f t="shared" si="54"/>
        <v>28500</v>
      </c>
      <c r="M211" s="118">
        <v>8300</v>
      </c>
      <c r="N211" s="3">
        <f t="shared" si="66"/>
        <v>20200</v>
      </c>
    </row>
    <row r="212" spans="1:14" x14ac:dyDescent="0.25">
      <c r="A212" s="256"/>
      <c r="B212" s="253"/>
      <c r="C212" s="135" t="s">
        <v>41</v>
      </c>
      <c r="D212" s="47">
        <v>0</v>
      </c>
      <c r="E212" s="47">
        <v>21685</v>
      </c>
      <c r="F212" s="47"/>
      <c r="G212" s="47"/>
      <c r="H212" s="47"/>
      <c r="I212" s="47"/>
      <c r="J212" s="207"/>
      <c r="K212" s="207"/>
      <c r="L212" s="20">
        <f t="shared" si="54"/>
        <v>21685</v>
      </c>
      <c r="M212" s="118">
        <v>4550</v>
      </c>
      <c r="N212" s="3">
        <f t="shared" si="66"/>
        <v>17135</v>
      </c>
    </row>
    <row r="213" spans="1:14" x14ac:dyDescent="0.25">
      <c r="A213" s="256"/>
      <c r="B213" s="253"/>
      <c r="C213" s="46" t="s">
        <v>42</v>
      </c>
      <c r="D213" s="47">
        <v>0</v>
      </c>
      <c r="E213" s="47">
        <v>228910</v>
      </c>
      <c r="F213" s="47"/>
      <c r="G213" s="47"/>
      <c r="H213" s="47"/>
      <c r="I213" s="47"/>
      <c r="J213" s="207"/>
      <c r="K213" s="207"/>
      <c r="L213" s="20">
        <f t="shared" si="54"/>
        <v>228910</v>
      </c>
      <c r="M213" s="118">
        <v>129705</v>
      </c>
      <c r="N213" s="3">
        <f t="shared" si="66"/>
        <v>99205</v>
      </c>
    </row>
    <row r="214" spans="1:14" x14ac:dyDescent="0.25">
      <c r="A214" s="256"/>
      <c r="B214" s="253"/>
      <c r="C214" s="46" t="s">
        <v>44</v>
      </c>
      <c r="D214" s="47">
        <v>0</v>
      </c>
      <c r="E214" s="47">
        <v>143836</v>
      </c>
      <c r="F214" s="47">
        <v>-62771</v>
      </c>
      <c r="G214" s="47"/>
      <c r="H214" s="47"/>
      <c r="I214" s="47"/>
      <c r="J214" s="207"/>
      <c r="K214" s="207"/>
      <c r="L214" s="20">
        <f t="shared" si="54"/>
        <v>81065</v>
      </c>
      <c r="M214" s="118">
        <v>50192</v>
      </c>
      <c r="N214" s="3">
        <f t="shared" si="66"/>
        <v>30873</v>
      </c>
    </row>
    <row r="215" spans="1:14" x14ac:dyDescent="0.25">
      <c r="A215" s="256"/>
      <c r="B215" s="253"/>
      <c r="C215" s="46" t="s">
        <v>45</v>
      </c>
      <c r="D215" s="47">
        <v>0</v>
      </c>
      <c r="E215" s="47">
        <v>379654</v>
      </c>
      <c r="F215" s="47">
        <f>62771-88139</f>
        <v>-25368</v>
      </c>
      <c r="G215" s="47"/>
      <c r="H215" s="47"/>
      <c r="I215" s="47"/>
      <c r="J215" s="207"/>
      <c r="K215" s="207"/>
      <c r="L215" s="20">
        <f t="shared" si="54"/>
        <v>354286</v>
      </c>
      <c r="M215" s="118">
        <v>350050</v>
      </c>
      <c r="N215" s="60">
        <f t="shared" si="66"/>
        <v>4236</v>
      </c>
    </row>
    <row r="216" spans="1:14" x14ac:dyDescent="0.25">
      <c r="A216" s="257"/>
      <c r="B216" s="254"/>
      <c r="C216" s="49" t="s">
        <v>49</v>
      </c>
      <c r="D216" s="50">
        <f t="shared" ref="D216:K216" si="67">SUM(D208:D215)</f>
        <v>0</v>
      </c>
      <c r="E216" s="50">
        <v>1215827</v>
      </c>
      <c r="F216" s="50">
        <f t="shared" si="67"/>
        <v>-88139</v>
      </c>
      <c r="G216" s="50">
        <f t="shared" si="67"/>
        <v>0</v>
      </c>
      <c r="H216" s="50">
        <f t="shared" si="67"/>
        <v>0</v>
      </c>
      <c r="I216" s="50">
        <f t="shared" si="67"/>
        <v>0</v>
      </c>
      <c r="J216" s="50">
        <f t="shared" si="67"/>
        <v>0</v>
      </c>
      <c r="K216" s="50">
        <f t="shared" si="67"/>
        <v>0</v>
      </c>
      <c r="L216" s="50">
        <f>SUM(L208:L215)</f>
        <v>1127688</v>
      </c>
      <c r="M216" s="50">
        <f t="shared" ref="M216:N216" si="68">SUM(M208:M215)</f>
        <v>647456</v>
      </c>
      <c r="N216" s="50">
        <f t="shared" si="68"/>
        <v>480232</v>
      </c>
    </row>
    <row r="217" spans="1:14" x14ac:dyDescent="0.25">
      <c r="A217" s="258" t="s">
        <v>68</v>
      </c>
      <c r="B217" s="267" t="s">
        <v>46</v>
      </c>
      <c r="C217" s="16" t="s">
        <v>24</v>
      </c>
      <c r="D217" s="17">
        <v>2501556</v>
      </c>
      <c r="E217" s="17">
        <v>2507158</v>
      </c>
      <c r="F217" s="17"/>
      <c r="G217" s="17"/>
      <c r="H217" s="17"/>
      <c r="I217" s="17"/>
      <c r="J217" s="208"/>
      <c r="K217" s="208">
        <v>67011</v>
      </c>
      <c r="L217" s="20">
        <f t="shared" si="54"/>
        <v>2574169</v>
      </c>
      <c r="M217" s="112">
        <v>2574169</v>
      </c>
      <c r="N217" s="3">
        <f t="shared" ref="N217:N218" si="69">L217-M217</f>
        <v>0</v>
      </c>
    </row>
    <row r="218" spans="1:14" x14ac:dyDescent="0.25">
      <c r="A218" s="255"/>
      <c r="B218" s="261"/>
      <c r="C218" s="18" t="s">
        <v>31</v>
      </c>
      <c r="D218" s="19">
        <v>466569</v>
      </c>
      <c r="E218" s="19">
        <v>467842</v>
      </c>
      <c r="F218" s="19"/>
      <c r="G218" s="19"/>
      <c r="H218" s="19"/>
      <c r="I218" s="19"/>
      <c r="J218" s="209"/>
      <c r="K218" s="209">
        <v>11727</v>
      </c>
      <c r="L218" s="20">
        <f t="shared" si="54"/>
        <v>479569</v>
      </c>
      <c r="M218" s="112">
        <v>479569</v>
      </c>
      <c r="N218" s="3">
        <f t="shared" si="69"/>
        <v>0</v>
      </c>
    </row>
    <row r="219" spans="1:14" x14ac:dyDescent="0.25">
      <c r="A219" s="304" t="s">
        <v>82</v>
      </c>
      <c r="B219" s="305"/>
      <c r="C219" s="306"/>
      <c r="D219" s="82">
        <f>SUM(D206+D207+D217+D218+D216)</f>
        <v>15776147</v>
      </c>
      <c r="E219" s="82">
        <v>17103484</v>
      </c>
      <c r="F219" s="82">
        <f t="shared" ref="F219:K219" si="70">SUM(F206+F207+F217+F218+F216)</f>
        <v>-18731</v>
      </c>
      <c r="G219" s="82">
        <f t="shared" si="70"/>
        <v>0</v>
      </c>
      <c r="H219" s="82">
        <f t="shared" si="70"/>
        <v>0</v>
      </c>
      <c r="I219" s="82">
        <f t="shared" si="70"/>
        <v>0</v>
      </c>
      <c r="J219" s="82">
        <f t="shared" si="70"/>
        <v>0</v>
      </c>
      <c r="K219" s="82">
        <f t="shared" si="70"/>
        <v>78738</v>
      </c>
      <c r="L219" s="82">
        <f>SUM(L206+L207+L217+L218+L216)</f>
        <v>17163491</v>
      </c>
      <c r="M219" s="120">
        <f>SUM(M206+M207+M217+M218+M216)</f>
        <v>16328686</v>
      </c>
      <c r="N219" s="83">
        <f>SUM(N206+N207+N217+N218+N216)</f>
        <v>834805</v>
      </c>
    </row>
    <row r="220" spans="1:14" ht="30.75" customHeight="1" x14ac:dyDescent="0.25">
      <c r="A220" s="399" t="s">
        <v>74</v>
      </c>
      <c r="B220" s="400"/>
      <c r="C220" s="401"/>
      <c r="D220" s="198">
        <f t="shared" ref="D220:M220" si="71">SUM(D89+D114+D136+D157+D180+D199+D219)</f>
        <v>230443641</v>
      </c>
      <c r="E220" s="198">
        <f t="shared" si="71"/>
        <v>230369755</v>
      </c>
      <c r="F220" s="198">
        <f t="shared" si="71"/>
        <v>0</v>
      </c>
      <c r="G220" s="198">
        <f t="shared" si="71"/>
        <v>-25298732</v>
      </c>
      <c r="H220" s="198">
        <f t="shared" si="71"/>
        <v>16016</v>
      </c>
      <c r="I220" s="198">
        <f>SUM(I89+I114+I136+I157+I180+I199+I219)</f>
        <v>-12604</v>
      </c>
      <c r="J220" s="198">
        <f>SUM(J89+J114+J136+J157+J180+J199+J219)</f>
        <v>-4692</v>
      </c>
      <c r="K220" s="198">
        <f t="shared" si="71"/>
        <v>-42719</v>
      </c>
      <c r="L220" s="198">
        <f t="shared" si="71"/>
        <v>205027024</v>
      </c>
      <c r="M220" s="199">
        <f t="shared" si="71"/>
        <v>192920677</v>
      </c>
      <c r="N220" s="198">
        <f>SUM(N89+N114+N136+N157+N180+N199+N219)</f>
        <v>12106347</v>
      </c>
    </row>
    <row r="221" spans="1:14" x14ac:dyDescent="0.25">
      <c r="B221" s="5"/>
      <c r="E221" s="4"/>
      <c r="F221" s="4"/>
      <c r="G221" s="4"/>
      <c r="H221" s="4"/>
      <c r="I221" s="4"/>
      <c r="J221" s="4"/>
      <c r="K221" s="4"/>
      <c r="L221" s="4"/>
      <c r="M221" s="111"/>
    </row>
    <row r="222" spans="1:14" x14ac:dyDescent="0.25">
      <c r="B222" s="5"/>
      <c r="E222" s="4"/>
      <c r="F222" s="4"/>
      <c r="G222" s="4"/>
      <c r="H222" s="4"/>
      <c r="I222" s="4"/>
      <c r="J222" s="4"/>
      <c r="K222" s="4"/>
      <c r="L222" s="4"/>
      <c r="M222" s="111"/>
    </row>
    <row r="223" spans="1:14" x14ac:dyDescent="0.25">
      <c r="B223" s="5"/>
      <c r="E223" s="4"/>
      <c r="F223" s="4"/>
      <c r="G223" s="4"/>
      <c r="H223" s="4"/>
      <c r="I223" s="4"/>
      <c r="J223" s="4"/>
      <c r="K223" s="4"/>
      <c r="L223" s="4"/>
      <c r="M223" s="111"/>
    </row>
    <row r="224" spans="1:14" x14ac:dyDescent="0.25">
      <c r="B224" s="5"/>
      <c r="E224" s="4"/>
      <c r="F224" s="4"/>
      <c r="G224" s="4"/>
      <c r="H224" s="4"/>
      <c r="I224" s="4"/>
      <c r="J224" s="4"/>
      <c r="K224" s="4"/>
      <c r="L224" s="4"/>
      <c r="M224" s="111"/>
    </row>
    <row r="225" spans="1:13" x14ac:dyDescent="0.25">
      <c r="B225" s="5"/>
      <c r="E225" s="4"/>
      <c r="F225" s="4"/>
      <c r="G225" s="4"/>
      <c r="H225" s="4"/>
      <c r="I225" s="4"/>
      <c r="J225" s="4"/>
      <c r="K225" s="4"/>
      <c r="L225" s="4"/>
      <c r="M225" s="111"/>
    </row>
    <row r="226" spans="1:13" ht="15.75" thickBot="1" x14ac:dyDescent="0.3">
      <c r="B226" s="5"/>
      <c r="E226" s="4"/>
      <c r="F226" s="4"/>
      <c r="G226" s="134">
        <v>43830</v>
      </c>
      <c r="H226" s="4"/>
      <c r="I226" s="4"/>
      <c r="J226" s="4"/>
      <c r="K226" s="4"/>
      <c r="L226" s="4"/>
      <c r="M226" s="111"/>
    </row>
    <row r="227" spans="1:13" ht="15.75" thickTop="1" x14ac:dyDescent="0.25">
      <c r="A227" s="250" t="s">
        <v>83</v>
      </c>
      <c r="B227" s="250"/>
      <c r="C227" s="250"/>
      <c r="D227" s="250"/>
      <c r="E227" s="250"/>
      <c r="F227" s="250"/>
      <c r="G227" s="250"/>
      <c r="H227" s="250"/>
      <c r="I227" s="250"/>
      <c r="J227" s="250"/>
      <c r="K227" s="250"/>
      <c r="L227" s="250"/>
      <c r="M227" s="250"/>
    </row>
    <row r="228" spans="1:13" s="172" customFormat="1" ht="69.75" customHeight="1" x14ac:dyDescent="0.25">
      <c r="A228" s="298" t="s">
        <v>0</v>
      </c>
      <c r="B228" s="299"/>
      <c r="C228" s="212" t="s">
        <v>3</v>
      </c>
      <c r="D228" s="212" t="s">
        <v>4</v>
      </c>
      <c r="E228" s="213" t="s">
        <v>166</v>
      </c>
      <c r="F228" s="214" t="s">
        <v>70</v>
      </c>
      <c r="G228" s="215" t="s">
        <v>183</v>
      </c>
      <c r="H228" s="215" t="s">
        <v>179</v>
      </c>
      <c r="I228" s="215" t="s">
        <v>180</v>
      </c>
      <c r="J228" s="215" t="s">
        <v>181</v>
      </c>
      <c r="K228" s="215" t="s">
        <v>182</v>
      </c>
      <c r="L228" s="213" t="s">
        <v>176</v>
      </c>
      <c r="M228" s="216" t="s">
        <v>177</v>
      </c>
    </row>
    <row r="229" spans="1:13" x14ac:dyDescent="0.25">
      <c r="A229" s="300"/>
      <c r="B229" s="301"/>
      <c r="C229" s="33" t="s">
        <v>16</v>
      </c>
      <c r="D229" s="61">
        <f t="shared" ref="D229:M230" si="72">D5+D15+D17+D19+D21+D23</f>
        <v>117230959</v>
      </c>
      <c r="E229" s="61">
        <f t="shared" si="72"/>
        <v>115273157</v>
      </c>
      <c r="F229" s="61">
        <f t="shared" si="72"/>
        <v>0</v>
      </c>
      <c r="G229" s="61">
        <f t="shared" si="72"/>
        <v>-25298732</v>
      </c>
      <c r="H229" s="61">
        <f t="shared" si="72"/>
        <v>0</v>
      </c>
      <c r="I229" s="61">
        <f t="shared" si="72"/>
        <v>0</v>
      </c>
      <c r="J229" s="61">
        <f t="shared" ref="J229:K229" si="73">J5+J15+J17+J19+J21+J23</f>
        <v>0</v>
      </c>
      <c r="K229" s="61">
        <f t="shared" si="73"/>
        <v>0</v>
      </c>
      <c r="L229" s="61">
        <f t="shared" si="72"/>
        <v>89974425</v>
      </c>
      <c r="M229" s="61">
        <f t="shared" si="72"/>
        <v>89974425</v>
      </c>
    </row>
    <row r="230" spans="1:13" x14ac:dyDescent="0.25">
      <c r="A230" s="300"/>
      <c r="B230" s="301"/>
      <c r="C230" s="33" t="s">
        <v>17</v>
      </c>
      <c r="D230" s="61">
        <f t="shared" si="72"/>
        <v>16012810</v>
      </c>
      <c r="E230" s="61">
        <f t="shared" si="72"/>
        <v>16012810</v>
      </c>
      <c r="F230" s="61">
        <f t="shared" si="72"/>
        <v>0</v>
      </c>
      <c r="G230" s="61">
        <f t="shared" si="72"/>
        <v>0</v>
      </c>
      <c r="H230" s="61">
        <f t="shared" si="72"/>
        <v>0</v>
      </c>
      <c r="I230" s="61">
        <f t="shared" si="72"/>
        <v>0</v>
      </c>
      <c r="J230" s="61">
        <f t="shared" ref="J230:K230" si="74">J6+J16+J18+J20+J22+J24</f>
        <v>0</v>
      </c>
      <c r="K230" s="61">
        <f t="shared" si="74"/>
        <v>0</v>
      </c>
      <c r="L230" s="61">
        <f t="shared" si="72"/>
        <v>16012810</v>
      </c>
      <c r="M230" s="61">
        <f t="shared" si="72"/>
        <v>16012810</v>
      </c>
    </row>
    <row r="231" spans="1:13" x14ac:dyDescent="0.25">
      <c r="A231" s="300"/>
      <c r="B231" s="301"/>
      <c r="C231" s="33" t="s">
        <v>18</v>
      </c>
      <c r="D231" s="61">
        <f t="shared" ref="D231:M233" si="75">D8</f>
        <v>96985672</v>
      </c>
      <c r="E231" s="61">
        <f t="shared" si="75"/>
        <v>98837588</v>
      </c>
      <c r="F231" s="61">
        <f t="shared" si="75"/>
        <v>0</v>
      </c>
      <c r="G231" s="61">
        <f t="shared" si="75"/>
        <v>0</v>
      </c>
      <c r="H231" s="61">
        <f t="shared" si="75"/>
        <v>16016</v>
      </c>
      <c r="I231" s="61">
        <f t="shared" si="75"/>
        <v>0</v>
      </c>
      <c r="J231" s="61">
        <f t="shared" ref="J231:K231" si="76">J8</f>
        <v>-4692</v>
      </c>
      <c r="K231" s="61">
        <f t="shared" si="76"/>
        <v>-42719</v>
      </c>
      <c r="L231" s="61">
        <f t="shared" si="75"/>
        <v>98806193</v>
      </c>
      <c r="M231" s="61">
        <f t="shared" si="75"/>
        <v>98806193</v>
      </c>
    </row>
    <row r="232" spans="1:13" x14ac:dyDescent="0.25">
      <c r="A232" s="300"/>
      <c r="B232" s="301"/>
      <c r="C232" s="35" t="s">
        <v>22</v>
      </c>
      <c r="D232" s="61">
        <f>D9+D7</f>
        <v>200000</v>
      </c>
      <c r="E232" s="61">
        <f t="shared" ref="E232:M232" si="77">E9+E7</f>
        <v>200000</v>
      </c>
      <c r="F232" s="61">
        <f t="shared" si="77"/>
        <v>0</v>
      </c>
      <c r="G232" s="61">
        <f t="shared" si="77"/>
        <v>0</v>
      </c>
      <c r="H232" s="61">
        <f t="shared" si="77"/>
        <v>0</v>
      </c>
      <c r="I232" s="61">
        <f t="shared" si="77"/>
        <v>0</v>
      </c>
      <c r="J232" s="61">
        <f t="shared" ref="J232:K232" si="78">J9+J7</f>
        <v>0</v>
      </c>
      <c r="K232" s="61">
        <f t="shared" si="78"/>
        <v>0</v>
      </c>
      <c r="L232" s="61">
        <f t="shared" si="77"/>
        <v>200000</v>
      </c>
      <c r="M232" s="61">
        <f t="shared" si="77"/>
        <v>200000</v>
      </c>
    </row>
    <row r="233" spans="1:13" x14ac:dyDescent="0.25">
      <c r="A233" s="300"/>
      <c r="B233" s="301"/>
      <c r="C233" s="35" t="s">
        <v>19</v>
      </c>
      <c r="D233" s="61">
        <f t="shared" si="75"/>
        <v>13200</v>
      </c>
      <c r="E233" s="61">
        <f t="shared" si="75"/>
        <v>31926</v>
      </c>
      <c r="F233" s="61">
        <f t="shared" si="75"/>
        <v>0</v>
      </c>
      <c r="G233" s="61">
        <f t="shared" si="75"/>
        <v>0</v>
      </c>
      <c r="H233" s="61">
        <f t="shared" si="75"/>
        <v>0</v>
      </c>
      <c r="I233" s="61">
        <f t="shared" si="75"/>
        <v>-5724</v>
      </c>
      <c r="J233" s="61">
        <f t="shared" ref="J233:K233" si="79">J10</f>
        <v>0</v>
      </c>
      <c r="K233" s="61">
        <f t="shared" si="79"/>
        <v>0</v>
      </c>
      <c r="L233" s="61">
        <f t="shared" si="75"/>
        <v>26202</v>
      </c>
      <c r="M233" s="61">
        <f t="shared" si="75"/>
        <v>26202</v>
      </c>
    </row>
    <row r="234" spans="1:13" x14ac:dyDescent="0.25">
      <c r="A234" s="300"/>
      <c r="B234" s="301"/>
      <c r="C234" s="35" t="s">
        <v>84</v>
      </c>
      <c r="D234" s="61">
        <f t="shared" ref="D234:M234" si="80">D14+D12</f>
        <v>0</v>
      </c>
      <c r="E234" s="61">
        <f t="shared" si="80"/>
        <v>12949</v>
      </c>
      <c r="F234" s="61">
        <f t="shared" si="80"/>
        <v>0</v>
      </c>
      <c r="G234" s="61">
        <f t="shared" si="80"/>
        <v>0</v>
      </c>
      <c r="H234" s="61">
        <f t="shared" si="80"/>
        <v>0</v>
      </c>
      <c r="I234" s="61">
        <f t="shared" si="80"/>
        <v>-5942</v>
      </c>
      <c r="J234" s="61">
        <f t="shared" ref="J234:K234" si="81">J14+J12</f>
        <v>0</v>
      </c>
      <c r="K234" s="61">
        <f t="shared" si="81"/>
        <v>0</v>
      </c>
      <c r="L234" s="61">
        <f t="shared" si="80"/>
        <v>7007</v>
      </c>
      <c r="M234" s="61">
        <f t="shared" si="80"/>
        <v>7007</v>
      </c>
    </row>
    <row r="235" spans="1:13" x14ac:dyDescent="0.25">
      <c r="A235" s="300"/>
      <c r="B235" s="301"/>
      <c r="C235" s="33" t="s">
        <v>20</v>
      </c>
      <c r="D235" s="61">
        <f t="shared" ref="D235:M235" si="82">D11+D13</f>
        <v>1000</v>
      </c>
      <c r="E235" s="61">
        <f t="shared" si="82"/>
        <v>1325</v>
      </c>
      <c r="F235" s="61">
        <f t="shared" si="82"/>
        <v>0</v>
      </c>
      <c r="G235" s="61">
        <f t="shared" si="82"/>
        <v>0</v>
      </c>
      <c r="H235" s="61">
        <f t="shared" si="82"/>
        <v>0</v>
      </c>
      <c r="I235" s="61">
        <f t="shared" si="82"/>
        <v>-938</v>
      </c>
      <c r="J235" s="61">
        <f t="shared" ref="J235:K235" si="83">J11+J13</f>
        <v>0</v>
      </c>
      <c r="K235" s="61">
        <f t="shared" si="83"/>
        <v>0</v>
      </c>
      <c r="L235" s="61">
        <f t="shared" si="82"/>
        <v>387</v>
      </c>
      <c r="M235" s="61">
        <f t="shared" si="82"/>
        <v>387</v>
      </c>
    </row>
    <row r="236" spans="1:13" x14ac:dyDescent="0.25">
      <c r="A236" s="300"/>
      <c r="B236" s="301"/>
      <c r="C236" s="65" t="s">
        <v>86</v>
      </c>
      <c r="D236" s="66">
        <f t="shared" ref="D236:M236" si="84">D14+D13+D12+D11+D10</f>
        <v>14200</v>
      </c>
      <c r="E236" s="66">
        <f t="shared" si="84"/>
        <v>46200</v>
      </c>
      <c r="F236" s="66">
        <f t="shared" si="84"/>
        <v>0</v>
      </c>
      <c r="G236" s="66">
        <f t="shared" si="84"/>
        <v>0</v>
      </c>
      <c r="H236" s="66">
        <f t="shared" si="84"/>
        <v>0</v>
      </c>
      <c r="I236" s="66">
        <f t="shared" si="84"/>
        <v>-12604</v>
      </c>
      <c r="J236" s="66">
        <f t="shared" ref="J236:K236" si="85">J14+J13+J12+J11+J10</f>
        <v>0</v>
      </c>
      <c r="K236" s="66">
        <f t="shared" si="85"/>
        <v>0</v>
      </c>
      <c r="L236" s="66">
        <f t="shared" si="84"/>
        <v>33596</v>
      </c>
      <c r="M236" s="66">
        <f t="shared" si="84"/>
        <v>33596</v>
      </c>
    </row>
    <row r="237" spans="1:13" x14ac:dyDescent="0.25">
      <c r="A237" s="300"/>
      <c r="B237" s="301"/>
      <c r="C237" s="65" t="s">
        <v>87</v>
      </c>
      <c r="D237" s="66">
        <f t="shared" ref="D237:M237" si="86">D24+D22+D20+D18+D16+D8+D6</f>
        <v>112998482</v>
      </c>
      <c r="E237" s="66">
        <f t="shared" si="86"/>
        <v>114850398</v>
      </c>
      <c r="F237" s="66">
        <f t="shared" si="86"/>
        <v>0</v>
      </c>
      <c r="G237" s="66">
        <f t="shared" si="86"/>
        <v>0</v>
      </c>
      <c r="H237" s="66">
        <f t="shared" si="86"/>
        <v>16016</v>
      </c>
      <c r="I237" s="66">
        <f t="shared" si="86"/>
        <v>0</v>
      </c>
      <c r="J237" s="66">
        <f t="shared" ref="J237:K237" si="87">J24+J22+J20+J18+J16+J8+J6</f>
        <v>-4692</v>
      </c>
      <c r="K237" s="66">
        <f t="shared" si="87"/>
        <v>-42719</v>
      </c>
      <c r="L237" s="66">
        <f t="shared" si="86"/>
        <v>114819003</v>
      </c>
      <c r="M237" s="66">
        <f t="shared" si="86"/>
        <v>114819003</v>
      </c>
    </row>
    <row r="238" spans="1:13" x14ac:dyDescent="0.25">
      <c r="A238" s="300"/>
      <c r="B238" s="301"/>
      <c r="C238" s="65" t="s">
        <v>94</v>
      </c>
      <c r="D238" s="66">
        <f t="shared" ref="D238:M238" si="88">D25</f>
        <v>230443641</v>
      </c>
      <c r="E238" s="66">
        <f t="shared" si="88"/>
        <v>230369755</v>
      </c>
      <c r="F238" s="66">
        <f t="shared" si="88"/>
        <v>0</v>
      </c>
      <c r="G238" s="66">
        <f t="shared" si="88"/>
        <v>-25298732</v>
      </c>
      <c r="H238" s="66">
        <f t="shared" si="88"/>
        <v>16016</v>
      </c>
      <c r="I238" s="66">
        <f t="shared" si="88"/>
        <v>-12604</v>
      </c>
      <c r="J238" s="66">
        <f t="shared" ref="J238:K238" si="89">J25</f>
        <v>-4692</v>
      </c>
      <c r="K238" s="66">
        <f t="shared" si="89"/>
        <v>-42719</v>
      </c>
      <c r="L238" s="66">
        <f t="shared" si="88"/>
        <v>205027024</v>
      </c>
      <c r="M238" s="66">
        <f t="shared" si="88"/>
        <v>205027024</v>
      </c>
    </row>
    <row r="239" spans="1:13" x14ac:dyDescent="0.25">
      <c r="A239" s="300"/>
      <c r="B239" s="301"/>
      <c r="C239" s="33" t="s">
        <v>24</v>
      </c>
      <c r="D239" s="34">
        <f t="shared" ref="D239:I239" si="90">D90+D112+D115+D134+D137+D155+D158+D178+D200+D217+D181+D87+D85+D53+D26</f>
        <v>128356144</v>
      </c>
      <c r="E239" s="34">
        <f t="shared" si="90"/>
        <v>126863758</v>
      </c>
      <c r="F239" s="34">
        <f t="shared" si="90"/>
        <v>-856188</v>
      </c>
      <c r="G239" s="34">
        <f t="shared" si="90"/>
        <v>-2956311</v>
      </c>
      <c r="H239" s="34">
        <f t="shared" si="90"/>
        <v>13629</v>
      </c>
      <c r="I239" s="34">
        <f t="shared" si="90"/>
        <v>0</v>
      </c>
      <c r="J239" s="34">
        <f t="shared" ref="J239:K239" si="91">J90+J112+J115+J134+J137+J155+J158+J178+J200+J217+J181+J87+J85+J53+J26</f>
        <v>0</v>
      </c>
      <c r="K239" s="34">
        <f t="shared" si="91"/>
        <v>-36352</v>
      </c>
      <c r="L239" s="61">
        <f>L217+L200+L181+L178+L158+L155+L137+L134+L115+L112+L90+L87+L85+L53+L26</f>
        <v>123028536</v>
      </c>
      <c r="M239" s="61">
        <f>M217+M200+M181+M178+M158+M155+M137+M134+M115+M112+M90+M87+M85+M53+M26</f>
        <v>118995305</v>
      </c>
    </row>
    <row r="240" spans="1:13" x14ac:dyDescent="0.25">
      <c r="A240" s="300"/>
      <c r="B240" s="301"/>
      <c r="C240" s="33" t="s">
        <v>47</v>
      </c>
      <c r="D240" s="34">
        <f t="shared" ref="D240:M241" si="92">D54</f>
        <v>2040480</v>
      </c>
      <c r="E240" s="34">
        <f t="shared" si="92"/>
        <v>2040480</v>
      </c>
      <c r="F240" s="34">
        <f t="shared" si="92"/>
        <v>0</v>
      </c>
      <c r="G240" s="34">
        <f t="shared" si="92"/>
        <v>0</v>
      </c>
      <c r="H240" s="34">
        <f t="shared" si="92"/>
        <v>0</v>
      </c>
      <c r="I240" s="34">
        <f t="shared" si="92"/>
        <v>0</v>
      </c>
      <c r="J240" s="34">
        <f t="shared" ref="J240:K240" si="93">J54</f>
        <v>0</v>
      </c>
      <c r="K240" s="34">
        <f t="shared" si="93"/>
        <v>0</v>
      </c>
      <c r="L240" s="34">
        <f t="shared" si="92"/>
        <v>2040480</v>
      </c>
      <c r="M240" s="41">
        <f t="shared" si="92"/>
        <v>1928489</v>
      </c>
    </row>
    <row r="241" spans="1:14" x14ac:dyDescent="0.25">
      <c r="A241" s="300"/>
      <c r="B241" s="301"/>
      <c r="C241" s="33" t="s">
        <v>48</v>
      </c>
      <c r="D241" s="34">
        <f t="shared" si="92"/>
        <v>0</v>
      </c>
      <c r="E241" s="34">
        <f t="shared" si="92"/>
        <v>0</v>
      </c>
      <c r="F241" s="34">
        <f t="shared" si="92"/>
        <v>0</v>
      </c>
      <c r="G241" s="34">
        <f t="shared" si="92"/>
        <v>0</v>
      </c>
      <c r="H241" s="34">
        <f t="shared" si="92"/>
        <v>0</v>
      </c>
      <c r="I241" s="34">
        <f t="shared" si="92"/>
        <v>0</v>
      </c>
      <c r="J241" s="34">
        <f t="shared" ref="J241:K241" si="94">J55</f>
        <v>0</v>
      </c>
      <c r="K241" s="34">
        <f t="shared" si="94"/>
        <v>0</v>
      </c>
      <c r="L241" s="34">
        <f t="shared" si="92"/>
        <v>0</v>
      </c>
      <c r="M241" s="34">
        <f t="shared" si="92"/>
        <v>0</v>
      </c>
    </row>
    <row r="242" spans="1:14" x14ac:dyDescent="0.25">
      <c r="A242" s="300"/>
      <c r="B242" s="301"/>
      <c r="C242" s="35" t="s">
        <v>25</v>
      </c>
      <c r="D242" s="34">
        <f t="shared" ref="D242:M243" si="95">D201+D159+D138+D116+D91+D56+D27</f>
        <v>3992000</v>
      </c>
      <c r="E242" s="34">
        <f t="shared" si="95"/>
        <v>3992000</v>
      </c>
      <c r="F242" s="34">
        <f t="shared" si="95"/>
        <v>460500</v>
      </c>
      <c r="G242" s="34">
        <f t="shared" si="95"/>
        <v>0</v>
      </c>
      <c r="H242" s="34">
        <f t="shared" si="95"/>
        <v>0</v>
      </c>
      <c r="I242" s="34">
        <f t="shared" si="95"/>
        <v>0</v>
      </c>
      <c r="J242" s="34">
        <f t="shared" ref="J242:K242" si="96">J201+J159+J138+J116+J91+J56+J27</f>
        <v>0</v>
      </c>
      <c r="K242" s="34">
        <f t="shared" si="96"/>
        <v>0</v>
      </c>
      <c r="L242" s="34">
        <f t="shared" si="95"/>
        <v>4452500</v>
      </c>
      <c r="M242" s="34">
        <f t="shared" si="95"/>
        <v>4452500</v>
      </c>
    </row>
    <row r="243" spans="1:14" x14ac:dyDescent="0.25">
      <c r="A243" s="300"/>
      <c r="B243" s="301"/>
      <c r="C243" s="35" t="s">
        <v>26</v>
      </c>
      <c r="D243" s="34">
        <f t="shared" si="95"/>
        <v>200000</v>
      </c>
      <c r="E243" s="34">
        <f t="shared" si="95"/>
        <v>200000</v>
      </c>
      <c r="F243" s="34">
        <f t="shared" si="95"/>
        <v>0</v>
      </c>
      <c r="G243" s="34">
        <f t="shared" si="95"/>
        <v>0</v>
      </c>
      <c r="H243" s="34">
        <f t="shared" si="95"/>
        <v>0</v>
      </c>
      <c r="I243" s="34">
        <f t="shared" si="95"/>
        <v>0</v>
      </c>
      <c r="J243" s="34">
        <f t="shared" ref="J243:K243" si="97">J202+J160+J139+J117+J92+J57+J28</f>
        <v>0</v>
      </c>
      <c r="K243" s="34">
        <f t="shared" si="97"/>
        <v>0</v>
      </c>
      <c r="L243" s="34">
        <f t="shared" si="95"/>
        <v>200000</v>
      </c>
      <c r="M243" s="34">
        <f t="shared" si="95"/>
        <v>185000</v>
      </c>
    </row>
    <row r="244" spans="1:14" x14ac:dyDescent="0.25">
      <c r="A244" s="300"/>
      <c r="B244" s="301"/>
      <c r="C244" s="33" t="s">
        <v>27</v>
      </c>
      <c r="D244" s="34">
        <f t="shared" ref="D244:M244" si="98">D203+D140+D93+D58+D29</f>
        <v>1661400</v>
      </c>
      <c r="E244" s="34">
        <f t="shared" si="98"/>
        <v>1661400</v>
      </c>
      <c r="F244" s="34">
        <f t="shared" si="98"/>
        <v>-18180</v>
      </c>
      <c r="G244" s="34">
        <f t="shared" si="98"/>
        <v>0</v>
      </c>
      <c r="H244" s="34">
        <f t="shared" si="98"/>
        <v>0</v>
      </c>
      <c r="I244" s="34">
        <f t="shared" si="98"/>
        <v>0</v>
      </c>
      <c r="J244" s="34">
        <f t="shared" ref="J244:K244" si="99">J203+J140+J93+J58+J29</f>
        <v>0</v>
      </c>
      <c r="K244" s="34">
        <f t="shared" si="99"/>
        <v>0</v>
      </c>
      <c r="L244" s="34">
        <f t="shared" si="98"/>
        <v>1643220</v>
      </c>
      <c r="M244" s="34">
        <f t="shared" si="98"/>
        <v>1458580</v>
      </c>
    </row>
    <row r="245" spans="1:14" x14ac:dyDescent="0.25">
      <c r="A245" s="300"/>
      <c r="B245" s="301"/>
      <c r="C245" s="35" t="s">
        <v>28</v>
      </c>
      <c r="D245" s="34">
        <f t="shared" ref="D245:M245" si="100">D204+D161+D141+D118+D59+D30+D94</f>
        <v>481000</v>
      </c>
      <c r="E245" s="34">
        <f t="shared" si="100"/>
        <v>481000</v>
      </c>
      <c r="F245" s="34">
        <f t="shared" si="100"/>
        <v>0</v>
      </c>
      <c r="G245" s="34">
        <f t="shared" si="100"/>
        <v>0</v>
      </c>
      <c r="H245" s="34">
        <f t="shared" si="100"/>
        <v>0</v>
      </c>
      <c r="I245" s="34">
        <f t="shared" si="100"/>
        <v>0</v>
      </c>
      <c r="J245" s="34">
        <f t="shared" ref="J245:K245" si="101">J204+J161+J141+J118+J59+J30+J94</f>
        <v>0</v>
      </c>
      <c r="K245" s="34">
        <f t="shared" si="101"/>
        <v>0</v>
      </c>
      <c r="L245" s="34">
        <f t="shared" si="100"/>
        <v>481000</v>
      </c>
      <c r="M245" s="34">
        <f t="shared" si="100"/>
        <v>444000</v>
      </c>
    </row>
    <row r="246" spans="1:14" x14ac:dyDescent="0.25">
      <c r="A246" s="300"/>
      <c r="B246" s="301"/>
      <c r="C246" s="33" t="s">
        <v>29</v>
      </c>
      <c r="D246" s="34">
        <f t="shared" ref="D246:M246" si="102">D205+D176+D162+D142+D119+D110+D95+D83+D81+D60+D31+D132</f>
        <v>3451400</v>
      </c>
      <c r="E246" s="34">
        <f t="shared" si="102"/>
        <v>4813906</v>
      </c>
      <c r="F246" s="34">
        <f t="shared" si="102"/>
        <v>-507366</v>
      </c>
      <c r="G246" s="34">
        <f t="shared" si="102"/>
        <v>0</v>
      </c>
      <c r="H246" s="34">
        <f t="shared" si="102"/>
        <v>0</v>
      </c>
      <c r="I246" s="34">
        <f t="shared" si="102"/>
        <v>0</v>
      </c>
      <c r="J246" s="34">
        <f t="shared" ref="J246:K246" si="103">J205+J176+J162+J142+J119+J110+J95+J83+J81+J60+J31+J132</f>
        <v>-4000</v>
      </c>
      <c r="K246" s="34">
        <f t="shared" si="103"/>
        <v>0</v>
      </c>
      <c r="L246" s="34">
        <f t="shared" si="102"/>
        <v>4302540</v>
      </c>
      <c r="M246" s="34">
        <f t="shared" si="102"/>
        <v>4251040</v>
      </c>
    </row>
    <row r="247" spans="1:14" x14ac:dyDescent="0.25">
      <c r="A247" s="300"/>
      <c r="B247" s="301"/>
      <c r="C247" s="35" t="s">
        <v>30</v>
      </c>
      <c r="D247" s="34">
        <f t="shared" ref="D247:L247" si="104">D163+D143+D120+D61+D32+D182+D96</f>
        <v>200000</v>
      </c>
      <c r="E247" s="34">
        <f t="shared" si="104"/>
        <v>227520</v>
      </c>
      <c r="F247" s="34">
        <f t="shared" si="104"/>
        <v>-28556</v>
      </c>
      <c r="G247" s="34">
        <f t="shared" si="104"/>
        <v>0</v>
      </c>
      <c r="H247" s="34">
        <f t="shared" si="104"/>
        <v>0</v>
      </c>
      <c r="I247" s="34">
        <f t="shared" si="104"/>
        <v>0</v>
      </c>
      <c r="J247" s="34">
        <f t="shared" ref="J247:K247" si="105">J163+J143+J120+J61+J32+J182+J96</f>
        <v>0</v>
      </c>
      <c r="K247" s="34">
        <f t="shared" si="105"/>
        <v>0</v>
      </c>
      <c r="L247" s="34">
        <f t="shared" si="104"/>
        <v>198964</v>
      </c>
      <c r="M247" s="34">
        <f>M163+M143+M120+M61+M32+M182+M96</f>
        <v>163116</v>
      </c>
    </row>
    <row r="248" spans="1:14" x14ac:dyDescent="0.25">
      <c r="A248" s="300"/>
      <c r="B248" s="301"/>
      <c r="C248" s="65" t="s">
        <v>53</v>
      </c>
      <c r="D248" s="66">
        <f t="shared" ref="D248:M248" si="106">D206+D183+D164+D144+D217+D178+D155+D134+D132+D176+D121+D112+D110+D97+D87+D85+D83+D81+D62+D33</f>
        <v>140382424</v>
      </c>
      <c r="E248" s="66">
        <f t="shared" si="106"/>
        <v>140280064</v>
      </c>
      <c r="F248" s="66">
        <f t="shared" si="106"/>
        <v>-949790</v>
      </c>
      <c r="G248" s="66">
        <f t="shared" si="106"/>
        <v>-2956311</v>
      </c>
      <c r="H248" s="66">
        <f t="shared" si="106"/>
        <v>13629</v>
      </c>
      <c r="I248" s="66">
        <f t="shared" si="106"/>
        <v>0</v>
      </c>
      <c r="J248" s="66">
        <f t="shared" ref="J248:K248" si="107">J206+J183+J164+J144+J217+J178+J155+J134+J132+J176+J121+J112+J110+J97+J87+J85+J83+J81+J62+J33</f>
        <v>-4000</v>
      </c>
      <c r="K248" s="66">
        <f t="shared" si="107"/>
        <v>-36352</v>
      </c>
      <c r="L248" s="66">
        <f t="shared" si="106"/>
        <v>136347240</v>
      </c>
      <c r="M248" s="66">
        <f t="shared" si="106"/>
        <v>131878030</v>
      </c>
    </row>
    <row r="249" spans="1:14" x14ac:dyDescent="0.25">
      <c r="A249" s="300"/>
      <c r="B249" s="301"/>
      <c r="C249" s="67" t="s">
        <v>31</v>
      </c>
      <c r="D249" s="66">
        <f t="shared" ref="D249:M249" si="108">D207+D184+D179+D177+D218+D165+D156+D145+D135+D133+D122+D113+D111+D98+D88+D86+D84+D82+D63+D34</f>
        <v>27536677</v>
      </c>
      <c r="E249" s="66">
        <f t="shared" si="108"/>
        <v>31807701</v>
      </c>
      <c r="F249" s="66">
        <f t="shared" si="108"/>
        <v>-30793</v>
      </c>
      <c r="G249" s="66">
        <f t="shared" si="108"/>
        <v>-2224675</v>
      </c>
      <c r="H249" s="66">
        <f t="shared" si="108"/>
        <v>2387</v>
      </c>
      <c r="I249" s="66">
        <f t="shared" si="108"/>
        <v>0</v>
      </c>
      <c r="J249" s="66">
        <f t="shared" ref="J249:K249" si="109">J207+J184+J179+J177+J218+J165+J156+J145+J135+J133+J122+J113+J111+J98+J88+J86+J84+J82+J63+J34</f>
        <v>-692</v>
      </c>
      <c r="K249" s="66">
        <f t="shared" si="109"/>
        <v>-6367</v>
      </c>
      <c r="L249" s="66">
        <f t="shared" si="108"/>
        <v>29547561</v>
      </c>
      <c r="M249" s="66">
        <f t="shared" si="108"/>
        <v>28871468</v>
      </c>
    </row>
    <row r="250" spans="1:14" x14ac:dyDescent="0.25">
      <c r="A250" s="300"/>
      <c r="B250" s="301"/>
      <c r="C250" s="33" t="s">
        <v>32</v>
      </c>
      <c r="D250" s="34">
        <f t="shared" ref="D250:M250" si="110">D166+D146+D123+D99+D64+D35+D208</f>
        <v>540000</v>
      </c>
      <c r="E250" s="34">
        <f t="shared" si="110"/>
        <v>724254</v>
      </c>
      <c r="F250" s="34">
        <f t="shared" si="110"/>
        <v>56932</v>
      </c>
      <c r="G250" s="34">
        <f t="shared" si="110"/>
        <v>0</v>
      </c>
      <c r="H250" s="34">
        <f t="shared" si="110"/>
        <v>0</v>
      </c>
      <c r="I250" s="34">
        <f t="shared" si="110"/>
        <v>0</v>
      </c>
      <c r="J250" s="34">
        <f t="shared" ref="J250:K250" si="111">J166+J146+J123+J99+J64+J35+J208</f>
        <v>0</v>
      </c>
      <c r="K250" s="34">
        <f t="shared" si="111"/>
        <v>0</v>
      </c>
      <c r="L250" s="34">
        <f t="shared" si="110"/>
        <v>781186</v>
      </c>
      <c r="M250" s="34">
        <f t="shared" si="110"/>
        <v>430266</v>
      </c>
    </row>
    <row r="251" spans="1:14" x14ac:dyDescent="0.25">
      <c r="A251" s="300"/>
      <c r="B251" s="301"/>
      <c r="C251" s="35" t="s">
        <v>33</v>
      </c>
      <c r="D251" s="34">
        <f t="shared" ref="D251:M251" si="112">D185+D167+D147+D124+D100+D65+D36+D209</f>
        <v>1700000</v>
      </c>
      <c r="E251" s="34">
        <f t="shared" si="112"/>
        <v>1617372</v>
      </c>
      <c r="F251" s="34">
        <f t="shared" si="112"/>
        <v>444907</v>
      </c>
      <c r="G251" s="34">
        <f t="shared" si="112"/>
        <v>0</v>
      </c>
      <c r="H251" s="34">
        <f t="shared" si="112"/>
        <v>0</v>
      </c>
      <c r="I251" s="34">
        <f t="shared" si="112"/>
        <v>0</v>
      </c>
      <c r="J251" s="34">
        <f t="shared" ref="J251:K251" si="113">J185+J167+J147+J124+J100+J65+J36+J209</f>
        <v>0</v>
      </c>
      <c r="K251" s="34">
        <f t="shared" si="113"/>
        <v>0</v>
      </c>
      <c r="L251" s="34">
        <f t="shared" si="112"/>
        <v>2062279</v>
      </c>
      <c r="M251" s="34">
        <f t="shared" si="112"/>
        <v>1242441</v>
      </c>
    </row>
    <row r="252" spans="1:14" x14ac:dyDescent="0.25">
      <c r="A252" s="300"/>
      <c r="B252" s="301"/>
      <c r="C252" s="33" t="s">
        <v>34</v>
      </c>
      <c r="D252" s="34">
        <f t="shared" ref="D252:M252" si="114">D168+D148+D125+D101+D66+D37</f>
        <v>1036000</v>
      </c>
      <c r="E252" s="34">
        <f t="shared" si="114"/>
        <v>678000</v>
      </c>
      <c r="F252" s="34">
        <f t="shared" si="114"/>
        <v>0</v>
      </c>
      <c r="G252" s="34">
        <f t="shared" si="114"/>
        <v>0</v>
      </c>
      <c r="H252" s="34">
        <f t="shared" si="114"/>
        <v>0</v>
      </c>
      <c r="I252" s="34">
        <f t="shared" si="114"/>
        <v>0</v>
      </c>
      <c r="J252" s="34">
        <f t="shared" ref="J252:K252" si="115">J168+J148+J125+J101+J66+J37</f>
        <v>0</v>
      </c>
      <c r="K252" s="34">
        <f t="shared" si="115"/>
        <v>0</v>
      </c>
      <c r="L252" s="34">
        <f t="shared" si="114"/>
        <v>678000</v>
      </c>
      <c r="M252" s="34">
        <f t="shared" si="114"/>
        <v>253406</v>
      </c>
    </row>
    <row r="253" spans="1:14" x14ac:dyDescent="0.25">
      <c r="A253" s="300"/>
      <c r="B253" s="301"/>
      <c r="C253" s="33" t="s">
        <v>35</v>
      </c>
      <c r="D253" s="34">
        <f t="shared" ref="D253:M253" si="116">D210+D169+D102+D67+D38</f>
        <v>610000</v>
      </c>
      <c r="E253" s="34">
        <f t="shared" si="116"/>
        <v>527000</v>
      </c>
      <c r="F253" s="34">
        <f t="shared" si="116"/>
        <v>0</v>
      </c>
      <c r="G253" s="34">
        <f t="shared" si="116"/>
        <v>0</v>
      </c>
      <c r="H253" s="34">
        <f t="shared" si="116"/>
        <v>0</v>
      </c>
      <c r="I253" s="34">
        <f t="shared" si="116"/>
        <v>0</v>
      </c>
      <c r="J253" s="34">
        <f t="shared" ref="J253:K253" si="117">J210+J169+J102+J67+J38</f>
        <v>0</v>
      </c>
      <c r="K253" s="34">
        <f t="shared" si="117"/>
        <v>0</v>
      </c>
      <c r="L253" s="34">
        <f t="shared" si="116"/>
        <v>527000</v>
      </c>
      <c r="M253" s="34">
        <f t="shared" si="116"/>
        <v>224586</v>
      </c>
    </row>
    <row r="254" spans="1:14" x14ac:dyDescent="0.25">
      <c r="A254" s="300"/>
      <c r="B254" s="301"/>
      <c r="C254" s="33" t="s">
        <v>36</v>
      </c>
      <c r="D254" s="34">
        <f t="shared" ref="D254:M254" si="118">D103+D68+D39</f>
        <v>1739080</v>
      </c>
      <c r="E254" s="34">
        <f t="shared" si="118"/>
        <v>1738180</v>
      </c>
      <c r="F254" s="34">
        <f t="shared" si="118"/>
        <v>-54967</v>
      </c>
      <c r="G254" s="34">
        <f t="shared" si="118"/>
        <v>0</v>
      </c>
      <c r="H254" s="34">
        <f t="shared" si="118"/>
        <v>0</v>
      </c>
      <c r="I254" s="34">
        <f t="shared" si="118"/>
        <v>0</v>
      </c>
      <c r="J254" s="34">
        <f t="shared" ref="J254:K254" si="119">J103+J68+J39</f>
        <v>0</v>
      </c>
      <c r="K254" s="34">
        <f t="shared" si="119"/>
        <v>0</v>
      </c>
      <c r="L254" s="34">
        <f t="shared" si="118"/>
        <v>1683213</v>
      </c>
      <c r="M254" s="34">
        <f t="shared" si="118"/>
        <v>1516728</v>
      </c>
    </row>
    <row r="255" spans="1:14" x14ac:dyDescent="0.25">
      <c r="A255" s="300"/>
      <c r="B255" s="301"/>
      <c r="C255" s="73" t="s">
        <v>37</v>
      </c>
      <c r="D255" s="61">
        <f t="shared" ref="D255:M255" si="120">D186+D69+D40</f>
        <v>356000</v>
      </c>
      <c r="E255" s="61">
        <f t="shared" si="120"/>
        <v>356000</v>
      </c>
      <c r="F255" s="61">
        <f t="shared" si="120"/>
        <v>0</v>
      </c>
      <c r="G255" s="61">
        <f t="shared" si="120"/>
        <v>-37260</v>
      </c>
      <c r="H255" s="61">
        <f t="shared" si="120"/>
        <v>0</v>
      </c>
      <c r="I255" s="61">
        <f t="shared" si="120"/>
        <v>0</v>
      </c>
      <c r="J255" s="61">
        <f t="shared" ref="J255:K255" si="121">J186+J69+J40</f>
        <v>0</v>
      </c>
      <c r="K255" s="61">
        <f t="shared" si="121"/>
        <v>0</v>
      </c>
      <c r="L255" s="61">
        <f t="shared" si="120"/>
        <v>318740</v>
      </c>
      <c r="M255" s="61">
        <f t="shared" si="120"/>
        <v>138000</v>
      </c>
      <c r="N255" s="74"/>
    </row>
    <row r="256" spans="1:14" x14ac:dyDescent="0.25">
      <c r="A256" s="300"/>
      <c r="B256" s="301"/>
      <c r="C256" s="33" t="s">
        <v>38</v>
      </c>
      <c r="D256" s="34">
        <f t="shared" ref="D256:M256" si="122">D170+D149+D126+D104+D70+D41+D211</f>
        <v>1394000</v>
      </c>
      <c r="E256" s="34">
        <f t="shared" si="122"/>
        <v>1362441</v>
      </c>
      <c r="F256" s="34">
        <f t="shared" si="122"/>
        <v>-91400</v>
      </c>
      <c r="G256" s="34">
        <f t="shared" si="122"/>
        <v>0</v>
      </c>
      <c r="H256" s="34">
        <f t="shared" si="122"/>
        <v>0</v>
      </c>
      <c r="I256" s="34">
        <f t="shared" si="122"/>
        <v>0</v>
      </c>
      <c r="J256" s="34">
        <f t="shared" ref="J256:K256" si="123">J170+J149+J126+J104+J70+J41+J211</f>
        <v>0</v>
      </c>
      <c r="K256" s="34">
        <f t="shared" si="123"/>
        <v>0</v>
      </c>
      <c r="L256" s="61">
        <f t="shared" si="122"/>
        <v>1271041</v>
      </c>
      <c r="M256" s="34">
        <f t="shared" si="122"/>
        <v>560493</v>
      </c>
    </row>
    <row r="257" spans="1:13" x14ac:dyDescent="0.25">
      <c r="A257" s="300"/>
      <c r="B257" s="301"/>
      <c r="C257" s="33" t="s">
        <v>39</v>
      </c>
      <c r="D257" s="34">
        <f t="shared" ref="D257:M257" si="124">D42</f>
        <v>13200</v>
      </c>
      <c r="E257" s="34">
        <f t="shared" si="124"/>
        <v>31926</v>
      </c>
      <c r="F257" s="34">
        <f t="shared" si="124"/>
        <v>0</v>
      </c>
      <c r="G257" s="34">
        <f t="shared" si="124"/>
        <v>0</v>
      </c>
      <c r="H257" s="34">
        <f t="shared" si="124"/>
        <v>0</v>
      </c>
      <c r="I257" s="34">
        <f t="shared" si="124"/>
        <v>-5724</v>
      </c>
      <c r="J257" s="34">
        <f t="shared" ref="J257:K257" si="125">J42</f>
        <v>0</v>
      </c>
      <c r="K257" s="34">
        <f t="shared" si="125"/>
        <v>0</v>
      </c>
      <c r="L257" s="61">
        <f t="shared" si="124"/>
        <v>26202</v>
      </c>
      <c r="M257" s="34">
        <f t="shared" si="124"/>
        <v>26202</v>
      </c>
    </row>
    <row r="258" spans="1:13" x14ac:dyDescent="0.25">
      <c r="A258" s="300"/>
      <c r="B258" s="301"/>
      <c r="C258" s="36" t="s">
        <v>40</v>
      </c>
      <c r="D258" s="34">
        <f t="shared" ref="D258:M258" si="126">D187+D171+D150+D127+D105+D71+D43</f>
        <v>16415104</v>
      </c>
      <c r="E258" s="34">
        <f t="shared" si="126"/>
        <v>16245068</v>
      </c>
      <c r="F258" s="34">
        <f t="shared" si="126"/>
        <v>-96600</v>
      </c>
      <c r="G258" s="34">
        <f t="shared" si="126"/>
        <v>-11297383</v>
      </c>
      <c r="H258" s="34">
        <f t="shared" si="126"/>
        <v>0</v>
      </c>
      <c r="I258" s="34">
        <f t="shared" si="126"/>
        <v>0</v>
      </c>
      <c r="J258" s="34">
        <f t="shared" ref="J258:K258" si="127">J187+J171+J150+J127+J105+J71+J43</f>
        <v>0</v>
      </c>
      <c r="K258" s="34">
        <f t="shared" si="127"/>
        <v>0</v>
      </c>
      <c r="L258" s="61">
        <f t="shared" si="126"/>
        <v>4851085</v>
      </c>
      <c r="M258" s="34">
        <f t="shared" si="126"/>
        <v>3044754</v>
      </c>
    </row>
    <row r="259" spans="1:13" x14ac:dyDescent="0.25">
      <c r="A259" s="300"/>
      <c r="B259" s="301"/>
      <c r="C259" s="33" t="s">
        <v>41</v>
      </c>
      <c r="D259" s="34">
        <f t="shared" ref="D259:M259" si="128">D188+D172+D151+D128+D106+D72+D44+D212</f>
        <v>26876743</v>
      </c>
      <c r="E259" s="34">
        <f t="shared" si="128"/>
        <v>15098455</v>
      </c>
      <c r="F259" s="34">
        <f t="shared" si="128"/>
        <v>654525</v>
      </c>
      <c r="G259" s="34">
        <f t="shared" si="128"/>
        <v>-6269063</v>
      </c>
      <c r="H259" s="34">
        <f t="shared" si="128"/>
        <v>0</v>
      </c>
      <c r="I259" s="34">
        <f t="shared" si="128"/>
        <v>-6880</v>
      </c>
      <c r="J259" s="34">
        <f t="shared" ref="J259:K259" si="129">J188+J172+J151+J128+J106+J72+J44+J212</f>
        <v>0</v>
      </c>
      <c r="K259" s="34">
        <f t="shared" si="129"/>
        <v>0</v>
      </c>
      <c r="L259" s="61">
        <f t="shared" si="128"/>
        <v>9477037</v>
      </c>
      <c r="M259" s="34">
        <f t="shared" si="128"/>
        <v>9264840</v>
      </c>
    </row>
    <row r="260" spans="1:13" x14ac:dyDescent="0.25">
      <c r="A260" s="300"/>
      <c r="B260" s="301"/>
      <c r="C260" s="35" t="s">
        <v>42</v>
      </c>
      <c r="D260" s="34">
        <f t="shared" ref="D260:M260" si="130">D213+D189+D173+D152+D129+D107+D73+D45</f>
        <v>2852000</v>
      </c>
      <c r="E260" s="34">
        <f t="shared" si="130"/>
        <v>2769440</v>
      </c>
      <c r="F260" s="34">
        <f t="shared" si="130"/>
        <v>-51740</v>
      </c>
      <c r="G260" s="34">
        <f t="shared" si="130"/>
        <v>-180800</v>
      </c>
      <c r="H260" s="34">
        <f t="shared" si="130"/>
        <v>0</v>
      </c>
      <c r="I260" s="34">
        <f t="shared" si="130"/>
        <v>0</v>
      </c>
      <c r="J260" s="34">
        <f t="shared" ref="J260:K260" si="131">J213+J189+J173+J152+J129+J107+J73+J45</f>
        <v>0</v>
      </c>
      <c r="K260" s="34">
        <f t="shared" si="131"/>
        <v>0</v>
      </c>
      <c r="L260" s="34">
        <f t="shared" si="130"/>
        <v>2536900</v>
      </c>
      <c r="M260" s="34">
        <f t="shared" si="130"/>
        <v>1733120</v>
      </c>
    </row>
    <row r="261" spans="1:13" x14ac:dyDescent="0.25">
      <c r="A261" s="300"/>
      <c r="B261" s="301"/>
      <c r="C261" s="35" t="s">
        <v>43</v>
      </c>
      <c r="D261" s="34">
        <f t="shared" ref="D261:M261" si="132">D46+D74+D190</f>
        <v>290000</v>
      </c>
      <c r="E261" s="34">
        <f t="shared" si="132"/>
        <v>290000</v>
      </c>
      <c r="F261" s="34">
        <f t="shared" si="132"/>
        <v>0</v>
      </c>
      <c r="G261" s="34">
        <f t="shared" si="132"/>
        <v>-230000</v>
      </c>
      <c r="H261" s="34">
        <f t="shared" si="132"/>
        <v>0</v>
      </c>
      <c r="I261" s="34">
        <f t="shared" si="132"/>
        <v>0</v>
      </c>
      <c r="J261" s="34">
        <f t="shared" ref="J261:K261" si="133">J46+J74+J190</f>
        <v>0</v>
      </c>
      <c r="K261" s="34">
        <f t="shared" si="133"/>
        <v>0</v>
      </c>
      <c r="L261" s="34">
        <f t="shared" si="132"/>
        <v>60000</v>
      </c>
      <c r="M261" s="34">
        <f t="shared" si="132"/>
        <v>0</v>
      </c>
    </row>
    <row r="262" spans="1:13" x14ac:dyDescent="0.25">
      <c r="A262" s="300"/>
      <c r="B262" s="301"/>
      <c r="C262" s="33" t="s">
        <v>44</v>
      </c>
      <c r="D262" s="34">
        <f t="shared" ref="D262:M262" si="134">D214+D191+D174+D153+D130+D108+D75+D47</f>
        <v>7754652</v>
      </c>
      <c r="E262" s="34">
        <f t="shared" si="134"/>
        <v>5346093</v>
      </c>
      <c r="F262" s="34">
        <f t="shared" si="134"/>
        <v>56155</v>
      </c>
      <c r="G262" s="34">
        <f t="shared" si="134"/>
        <v>-1873250</v>
      </c>
      <c r="H262" s="34">
        <f t="shared" si="134"/>
        <v>0</v>
      </c>
      <c r="I262" s="34">
        <f t="shared" si="134"/>
        <v>0</v>
      </c>
      <c r="J262" s="34">
        <f t="shared" ref="J262:K262" si="135">J214+J191+J174+J153+J130+J108+J75+J47</f>
        <v>0</v>
      </c>
      <c r="K262" s="34">
        <f t="shared" si="135"/>
        <v>0</v>
      </c>
      <c r="L262" s="34">
        <f t="shared" si="134"/>
        <v>3528998</v>
      </c>
      <c r="M262" s="34">
        <f t="shared" si="134"/>
        <v>2620355</v>
      </c>
    </row>
    <row r="263" spans="1:13" x14ac:dyDescent="0.25">
      <c r="A263" s="300"/>
      <c r="B263" s="301"/>
      <c r="C263" s="37" t="s">
        <v>45</v>
      </c>
      <c r="D263" s="34">
        <f t="shared" ref="D263:M263" si="136">D215+D192+D76+D48</f>
        <v>743011</v>
      </c>
      <c r="E263" s="34">
        <f t="shared" si="136"/>
        <v>793011</v>
      </c>
      <c r="F263" s="34">
        <f t="shared" si="136"/>
        <v>62771</v>
      </c>
      <c r="G263" s="34">
        <f t="shared" si="136"/>
        <v>-229990</v>
      </c>
      <c r="H263" s="34">
        <f t="shared" si="136"/>
        <v>0</v>
      </c>
      <c r="I263" s="34">
        <f t="shared" si="136"/>
        <v>0</v>
      </c>
      <c r="J263" s="34">
        <f t="shared" ref="J263:K263" si="137">J215+J192+J76+J48</f>
        <v>0</v>
      </c>
      <c r="K263" s="34">
        <f t="shared" si="137"/>
        <v>0</v>
      </c>
      <c r="L263" s="34">
        <f t="shared" si="136"/>
        <v>625792</v>
      </c>
      <c r="M263" s="34">
        <f t="shared" si="136"/>
        <v>415988</v>
      </c>
    </row>
    <row r="264" spans="1:13" x14ac:dyDescent="0.25">
      <c r="A264" s="300"/>
      <c r="B264" s="301"/>
      <c r="C264" s="65" t="s">
        <v>49</v>
      </c>
      <c r="D264" s="66">
        <f t="shared" ref="D264:M264" si="138">D216+D193+D175+D154+D131+D109+D77+D49</f>
        <v>62319790</v>
      </c>
      <c r="E264" s="66">
        <f t="shared" si="138"/>
        <v>47577240</v>
      </c>
      <c r="F264" s="66">
        <f t="shared" si="138"/>
        <v>980583</v>
      </c>
      <c r="G264" s="66">
        <f t="shared" si="138"/>
        <v>-20117746</v>
      </c>
      <c r="H264" s="66">
        <f t="shared" si="138"/>
        <v>0</v>
      </c>
      <c r="I264" s="66">
        <f t="shared" si="138"/>
        <v>-12604</v>
      </c>
      <c r="J264" s="66">
        <f t="shared" ref="J264:K264" si="139">J216+J193+J175+J154+J131+J109+J77+J49</f>
        <v>0</v>
      </c>
      <c r="K264" s="66">
        <f t="shared" si="139"/>
        <v>0</v>
      </c>
      <c r="L264" s="66">
        <f t="shared" si="138"/>
        <v>28427473</v>
      </c>
      <c r="M264" s="66">
        <f t="shared" si="138"/>
        <v>21471179</v>
      </c>
    </row>
    <row r="265" spans="1:13" x14ac:dyDescent="0.25">
      <c r="A265" s="300"/>
      <c r="B265" s="301"/>
      <c r="C265" s="65" t="s">
        <v>100</v>
      </c>
      <c r="D265" s="66">
        <f>D198</f>
        <v>0</v>
      </c>
      <c r="E265" s="66">
        <f t="shared" ref="E265:M265" si="140">E198</f>
        <v>10500000</v>
      </c>
      <c r="F265" s="66">
        <f t="shared" si="140"/>
        <v>0</v>
      </c>
      <c r="G265" s="66">
        <f t="shared" si="140"/>
        <v>0</v>
      </c>
      <c r="H265" s="66">
        <f t="shared" si="140"/>
        <v>0</v>
      </c>
      <c r="I265" s="66">
        <f t="shared" si="140"/>
        <v>0</v>
      </c>
      <c r="J265" s="66">
        <f t="shared" ref="J265:K265" si="141">J198</f>
        <v>0</v>
      </c>
      <c r="K265" s="66">
        <f t="shared" si="141"/>
        <v>0</v>
      </c>
      <c r="L265" s="66">
        <f t="shared" si="140"/>
        <v>10500000</v>
      </c>
      <c r="M265" s="66">
        <f t="shared" si="140"/>
        <v>10500000</v>
      </c>
    </row>
    <row r="266" spans="1:13" x14ac:dyDescent="0.25">
      <c r="A266" s="300"/>
      <c r="B266" s="301"/>
      <c r="C266" s="38" t="s">
        <v>50</v>
      </c>
      <c r="D266" s="34">
        <f t="shared" ref="D266:M268" si="142">D195+D78+D50</f>
        <v>161220</v>
      </c>
      <c r="E266" s="34">
        <f t="shared" si="142"/>
        <v>161220</v>
      </c>
      <c r="F266" s="34">
        <f t="shared" si="142"/>
        <v>0</v>
      </c>
      <c r="G266" s="34">
        <f t="shared" si="142"/>
        <v>0</v>
      </c>
      <c r="H266" s="34">
        <f t="shared" si="142"/>
        <v>0</v>
      </c>
      <c r="I266" s="34">
        <f t="shared" si="142"/>
        <v>0</v>
      </c>
      <c r="J266" s="34">
        <f t="shared" ref="J266:K266" si="143">J195+J78+J50</f>
        <v>0</v>
      </c>
      <c r="K266" s="34">
        <f t="shared" si="143"/>
        <v>0</v>
      </c>
      <c r="L266" s="34">
        <f t="shared" si="142"/>
        <v>161220</v>
      </c>
      <c r="M266" s="34">
        <f t="shared" si="142"/>
        <v>157480</v>
      </c>
    </row>
    <row r="267" spans="1:13" x14ac:dyDescent="0.25">
      <c r="A267" s="300"/>
      <c r="B267" s="301"/>
      <c r="C267" s="37" t="s">
        <v>51</v>
      </c>
      <c r="D267" s="34">
        <f t="shared" si="142"/>
        <v>43530</v>
      </c>
      <c r="E267" s="34">
        <f t="shared" si="142"/>
        <v>43530</v>
      </c>
      <c r="F267" s="34">
        <f t="shared" si="142"/>
        <v>0</v>
      </c>
      <c r="G267" s="34">
        <f t="shared" si="142"/>
        <v>0</v>
      </c>
      <c r="H267" s="34">
        <f t="shared" si="142"/>
        <v>0</v>
      </c>
      <c r="I267" s="34">
        <f t="shared" si="142"/>
        <v>0</v>
      </c>
      <c r="J267" s="34">
        <f t="shared" ref="J267:K267" si="144">J196+J79+J51</f>
        <v>0</v>
      </c>
      <c r="K267" s="34">
        <f t="shared" si="144"/>
        <v>0</v>
      </c>
      <c r="L267" s="34">
        <f t="shared" si="142"/>
        <v>43530</v>
      </c>
      <c r="M267" s="34">
        <f t="shared" si="142"/>
        <v>42520</v>
      </c>
    </row>
    <row r="268" spans="1:13" x14ac:dyDescent="0.25">
      <c r="A268" s="300"/>
      <c r="B268" s="301"/>
      <c r="C268" s="65" t="s">
        <v>52</v>
      </c>
      <c r="D268" s="68">
        <f t="shared" si="142"/>
        <v>204750</v>
      </c>
      <c r="E268" s="68">
        <f t="shared" si="142"/>
        <v>204750</v>
      </c>
      <c r="F268" s="68">
        <f t="shared" si="142"/>
        <v>0</v>
      </c>
      <c r="G268" s="68">
        <f t="shared" si="142"/>
        <v>0</v>
      </c>
      <c r="H268" s="68">
        <f t="shared" si="142"/>
        <v>0</v>
      </c>
      <c r="I268" s="68">
        <f t="shared" si="142"/>
        <v>0</v>
      </c>
      <c r="J268" s="68">
        <f t="shared" ref="J268:K268" si="145">J197+J80+J52</f>
        <v>0</v>
      </c>
      <c r="K268" s="68">
        <f t="shared" si="145"/>
        <v>0</v>
      </c>
      <c r="L268" s="68">
        <f t="shared" si="142"/>
        <v>204750</v>
      </c>
      <c r="M268" s="66">
        <f t="shared" si="142"/>
        <v>200000</v>
      </c>
    </row>
    <row r="269" spans="1:13" x14ac:dyDescent="0.25">
      <c r="A269" s="302"/>
      <c r="B269" s="303"/>
      <c r="C269" s="69" t="s">
        <v>88</v>
      </c>
      <c r="D269" s="70">
        <f>D220</f>
        <v>230443641</v>
      </c>
      <c r="E269" s="70">
        <f>E220</f>
        <v>230369755</v>
      </c>
      <c r="F269" s="70">
        <f t="shared" ref="F269:M269" si="146">F220</f>
        <v>0</v>
      </c>
      <c r="G269" s="70">
        <f t="shared" si="146"/>
        <v>-25298732</v>
      </c>
      <c r="H269" s="70">
        <f t="shared" si="146"/>
        <v>16016</v>
      </c>
      <c r="I269" s="70">
        <f t="shared" si="146"/>
        <v>-12604</v>
      </c>
      <c r="J269" s="70">
        <f t="shared" ref="J269:K269" si="147">J220</f>
        <v>-4692</v>
      </c>
      <c r="K269" s="70">
        <f t="shared" si="147"/>
        <v>-42719</v>
      </c>
      <c r="L269" s="70">
        <f t="shared" si="146"/>
        <v>205027024</v>
      </c>
      <c r="M269" s="70">
        <f t="shared" si="146"/>
        <v>192920677</v>
      </c>
    </row>
    <row r="270" spans="1:13" x14ac:dyDescent="0.25">
      <c r="B270" s="5"/>
      <c r="E270" s="4"/>
      <c r="F270" s="4"/>
      <c r="G270" s="4"/>
      <c r="H270" s="4"/>
      <c r="I270" s="4"/>
      <c r="J270" s="4"/>
      <c r="K270" s="4"/>
      <c r="L270" s="4"/>
      <c r="M270" s="111"/>
    </row>
    <row r="271" spans="1:13" x14ac:dyDescent="0.25">
      <c r="B271" s="5"/>
      <c r="E271" s="4"/>
      <c r="F271" s="4"/>
      <c r="G271" s="4"/>
      <c r="H271" s="4"/>
      <c r="I271" s="4"/>
      <c r="J271" s="4"/>
      <c r="K271" s="4"/>
      <c r="L271" s="4"/>
      <c r="M271" s="111"/>
    </row>
    <row r="273" spans="1:6" x14ac:dyDescent="0.25">
      <c r="B273" s="5"/>
      <c r="E273" s="4"/>
      <c r="F273" s="4"/>
    </row>
    <row r="274" spans="1:6" x14ac:dyDescent="0.25">
      <c r="A274" s="140" t="s">
        <v>125</v>
      </c>
      <c r="B274" s="140"/>
      <c r="C274" s="140"/>
      <c r="D274" s="140"/>
      <c r="E274" s="140"/>
      <c r="F274" s="140"/>
    </row>
    <row r="275" spans="1:6" x14ac:dyDescent="0.25">
      <c r="A275" s="220"/>
      <c r="B275" s="220"/>
      <c r="C275" s="220"/>
      <c r="D275" s="142"/>
      <c r="E275" s="142"/>
      <c r="F275" s="143"/>
    </row>
    <row r="276" spans="1:6" x14ac:dyDescent="0.25">
      <c r="A276" s="140" t="s">
        <v>169</v>
      </c>
      <c r="B276" s="140"/>
      <c r="C276" s="140"/>
      <c r="D276" s="140"/>
      <c r="E276" s="219"/>
      <c r="F276" s="143">
        <f>H8+K8</f>
        <v>-26703</v>
      </c>
    </row>
    <row r="277" spans="1:6" x14ac:dyDescent="0.25">
      <c r="A277" s="140" t="s">
        <v>170</v>
      </c>
      <c r="B277" s="140"/>
      <c r="C277" s="140"/>
      <c r="D277" s="140"/>
      <c r="E277" s="219"/>
      <c r="F277" s="143">
        <f>J8</f>
        <v>-4692</v>
      </c>
    </row>
    <row r="278" spans="1:6" x14ac:dyDescent="0.25">
      <c r="A278" s="140" t="s">
        <v>128</v>
      </c>
      <c r="B278" s="140"/>
      <c r="C278" s="140"/>
      <c r="D278" s="140"/>
      <c r="E278" s="219"/>
      <c r="F278" s="143">
        <v>0</v>
      </c>
    </row>
    <row r="279" spans="1:6" x14ac:dyDescent="0.25">
      <c r="A279" s="361" t="s">
        <v>184</v>
      </c>
      <c r="B279" s="361"/>
      <c r="C279" s="361"/>
      <c r="D279" s="361"/>
      <c r="E279" s="219"/>
      <c r="F279" s="143">
        <f>G23</f>
        <v>-25298732</v>
      </c>
    </row>
    <row r="280" spans="1:6" x14ac:dyDescent="0.25">
      <c r="A280" s="361" t="s">
        <v>130</v>
      </c>
      <c r="B280" s="361"/>
      <c r="C280" s="361"/>
      <c r="D280" s="361"/>
      <c r="E280" s="219"/>
      <c r="F280" s="143">
        <v>0</v>
      </c>
    </row>
    <row r="281" spans="1:6" x14ac:dyDescent="0.25">
      <c r="A281" s="140" t="s">
        <v>131</v>
      </c>
      <c r="B281" s="140"/>
      <c r="C281" s="140"/>
      <c r="D281" s="140"/>
      <c r="E281" s="219"/>
      <c r="F281" s="143">
        <v>0</v>
      </c>
    </row>
    <row r="282" spans="1:6" x14ac:dyDescent="0.25">
      <c r="A282" s="219" t="s">
        <v>132</v>
      </c>
      <c r="B282" s="219"/>
      <c r="C282" s="219"/>
      <c r="D282" s="219"/>
      <c r="E282" s="219"/>
      <c r="F282" s="143">
        <v>0</v>
      </c>
    </row>
    <row r="283" spans="1:6" x14ac:dyDescent="0.25">
      <c r="A283" s="361" t="s">
        <v>133</v>
      </c>
      <c r="B283" s="361"/>
      <c r="C283" s="361"/>
      <c r="D283" s="361"/>
      <c r="E283" s="219"/>
      <c r="F283" s="143">
        <f>I10+I11+I12</f>
        <v>-12604</v>
      </c>
    </row>
    <row r="284" spans="1:6" x14ac:dyDescent="0.25">
      <c r="A284" s="221" t="s">
        <v>134</v>
      </c>
      <c r="B284" s="221"/>
      <c r="C284" s="221"/>
      <c r="D284" s="221"/>
      <c r="E284" s="221"/>
      <c r="F284" s="146">
        <v>0</v>
      </c>
    </row>
    <row r="285" spans="1:6" x14ac:dyDescent="0.25">
      <c r="A285" s="361" t="s">
        <v>135</v>
      </c>
      <c r="B285" s="361"/>
      <c r="C285" s="361"/>
      <c r="D285" s="361"/>
      <c r="E285" s="219"/>
      <c r="F285" s="143">
        <f>SUM(F276:F284)</f>
        <v>-25342731</v>
      </c>
    </row>
    <row r="286" spans="1:6" x14ac:dyDescent="0.25">
      <c r="A286" s="362"/>
      <c r="B286" s="362"/>
      <c r="C286" s="362"/>
      <c r="D286" s="362"/>
      <c r="E286" s="362"/>
      <c r="F286" s="362"/>
    </row>
    <row r="287" spans="1:6" x14ac:dyDescent="0.25">
      <c r="A287" s="362"/>
      <c r="B287" s="362"/>
      <c r="C287" s="362"/>
      <c r="D287" s="362"/>
      <c r="E287" s="362"/>
      <c r="F287" s="362"/>
    </row>
    <row r="288" spans="1:6" x14ac:dyDescent="0.25">
      <c r="A288" s="362"/>
      <c r="B288" s="362"/>
      <c r="C288" s="362"/>
      <c r="D288" s="362"/>
      <c r="E288" s="362"/>
      <c r="F288" s="362"/>
    </row>
    <row r="289" spans="1:6" x14ac:dyDescent="0.25">
      <c r="A289" s="361" t="s">
        <v>136</v>
      </c>
      <c r="B289" s="361"/>
      <c r="C289" s="361"/>
      <c r="D289" s="361"/>
      <c r="E289" s="361"/>
      <c r="F289" s="361"/>
    </row>
    <row r="290" spans="1:6" x14ac:dyDescent="0.25">
      <c r="A290" s="362"/>
      <c r="B290" s="362"/>
      <c r="C290" s="362"/>
      <c r="D290" s="362"/>
      <c r="E290" s="362"/>
      <c r="F290" s="362"/>
    </row>
    <row r="291" spans="1:6" x14ac:dyDescent="0.25">
      <c r="A291" s="361" t="s">
        <v>137</v>
      </c>
      <c r="B291" s="361"/>
      <c r="C291" s="361"/>
      <c r="D291" s="361"/>
      <c r="E291" s="219"/>
      <c r="F291" s="143">
        <v>0</v>
      </c>
    </row>
    <row r="292" spans="1:6" x14ac:dyDescent="0.25">
      <c r="A292" s="219" t="s">
        <v>138</v>
      </c>
      <c r="B292" s="219"/>
      <c r="C292" s="219"/>
      <c r="D292" s="219"/>
      <c r="E292" s="219"/>
      <c r="F292" s="143">
        <v>0</v>
      </c>
    </row>
    <row r="293" spans="1:6" x14ac:dyDescent="0.25">
      <c r="A293" s="361" t="s">
        <v>139</v>
      </c>
      <c r="B293" s="361"/>
      <c r="C293" s="361"/>
      <c r="D293" s="361"/>
      <c r="E293" s="219"/>
      <c r="F293" s="143">
        <f>K217+G181+K178+H87+J81+K85+K87</f>
        <v>-2983034</v>
      </c>
    </row>
    <row r="294" spans="1:6" x14ac:dyDescent="0.25">
      <c r="A294" s="361" t="s">
        <v>140</v>
      </c>
      <c r="B294" s="361"/>
      <c r="C294" s="361"/>
      <c r="D294" s="361"/>
      <c r="E294" s="219"/>
      <c r="F294" s="143">
        <f>K218+G184+K156+J133+K113+J111+H88+K88+K86+J84+J82</f>
        <v>-2229347</v>
      </c>
    </row>
    <row r="295" spans="1:6" x14ac:dyDescent="0.25">
      <c r="A295" s="361" t="s">
        <v>141</v>
      </c>
      <c r="B295" s="361"/>
      <c r="C295" s="361"/>
      <c r="D295" s="361"/>
      <c r="E295" s="219"/>
      <c r="F295" s="143">
        <f>G192+G191+G190+G189+G188+G187+G186+I72+I42</f>
        <v>-20130350</v>
      </c>
    </row>
    <row r="296" spans="1:6" x14ac:dyDescent="0.25">
      <c r="A296" s="219" t="s">
        <v>142</v>
      </c>
      <c r="B296" s="219"/>
      <c r="C296" s="219"/>
      <c r="D296" s="219"/>
      <c r="E296" s="219"/>
      <c r="F296" s="143">
        <v>0</v>
      </c>
    </row>
    <row r="297" spans="1:6" x14ac:dyDescent="0.25">
      <c r="A297" s="219" t="s">
        <v>143</v>
      </c>
      <c r="B297" s="219"/>
      <c r="C297" s="219"/>
      <c r="D297" s="219"/>
      <c r="E297" s="219"/>
      <c r="F297" s="143">
        <v>0</v>
      </c>
    </row>
    <row r="298" spans="1:6" x14ac:dyDescent="0.25">
      <c r="A298" s="147" t="s">
        <v>144</v>
      </c>
      <c r="B298" s="147"/>
      <c r="C298" s="147"/>
      <c r="D298" s="148"/>
      <c r="E298" s="148"/>
      <c r="F298" s="149">
        <v>0</v>
      </c>
    </row>
    <row r="299" spans="1:6" x14ac:dyDescent="0.25">
      <c r="A299" s="364" t="s">
        <v>135</v>
      </c>
      <c r="B299" s="364"/>
      <c r="C299" s="364"/>
      <c r="D299" s="364"/>
      <c r="E299" s="219"/>
      <c r="F299" s="143">
        <f>SUM(F291:F298)</f>
        <v>-25342731</v>
      </c>
    </row>
    <row r="300" spans="1:6" x14ac:dyDescent="0.25">
      <c r="A300" s="219"/>
      <c r="B300" s="140"/>
      <c r="C300" s="150"/>
      <c r="D300" s="142"/>
      <c r="E300" s="142"/>
      <c r="F300" s="143"/>
    </row>
    <row r="301" spans="1:6" x14ac:dyDescent="0.25">
      <c r="A301" s="361" t="s">
        <v>145</v>
      </c>
      <c r="B301" s="361"/>
      <c r="C301" s="361"/>
      <c r="D301" s="361"/>
      <c r="E301" s="361"/>
      <c r="F301" s="361"/>
    </row>
    <row r="302" spans="1:6" x14ac:dyDescent="0.25">
      <c r="A302" s="220"/>
      <c r="B302" s="220"/>
      <c r="C302" s="220"/>
      <c r="D302" s="142"/>
      <c r="E302" s="142"/>
      <c r="F302" s="143"/>
    </row>
    <row r="303" spans="1:6" x14ac:dyDescent="0.25">
      <c r="A303" s="140" t="s">
        <v>126</v>
      </c>
      <c r="B303" s="140"/>
      <c r="C303" s="140"/>
      <c r="D303" s="140"/>
      <c r="E303" s="219"/>
      <c r="F303" s="143">
        <v>0</v>
      </c>
    </row>
    <row r="304" spans="1:6" x14ac:dyDescent="0.25">
      <c r="A304" s="361" t="s">
        <v>127</v>
      </c>
      <c r="B304" s="361"/>
      <c r="C304" s="361"/>
      <c r="D304" s="361"/>
      <c r="E304" s="219"/>
      <c r="F304" s="143">
        <v>0</v>
      </c>
    </row>
    <row r="305" spans="1:6" x14ac:dyDescent="0.25">
      <c r="A305" s="140" t="s">
        <v>128</v>
      </c>
      <c r="B305" s="219"/>
      <c r="C305" s="219"/>
      <c r="D305" s="219"/>
      <c r="E305" s="219"/>
      <c r="F305" s="143">
        <v>0</v>
      </c>
    </row>
    <row r="306" spans="1:6" x14ac:dyDescent="0.25">
      <c r="A306" s="361" t="s">
        <v>129</v>
      </c>
      <c r="B306" s="361"/>
      <c r="C306" s="361"/>
      <c r="D306" s="361"/>
      <c r="E306" s="219"/>
      <c r="F306" s="143">
        <v>0</v>
      </c>
    </row>
    <row r="307" spans="1:6" x14ac:dyDescent="0.25">
      <c r="A307" s="361" t="s">
        <v>146</v>
      </c>
      <c r="B307" s="361"/>
      <c r="C307" s="361"/>
      <c r="D307" s="361"/>
      <c r="E307" s="219"/>
      <c r="F307" s="143">
        <v>0</v>
      </c>
    </row>
    <row r="308" spans="1:6" x14ac:dyDescent="0.25">
      <c r="A308" s="140" t="s">
        <v>147</v>
      </c>
      <c r="B308" s="140"/>
      <c r="C308" s="140"/>
      <c r="D308" s="140"/>
      <c r="E308" s="219"/>
      <c r="F308" s="143">
        <v>0</v>
      </c>
    </row>
    <row r="309" spans="1:6" x14ac:dyDescent="0.25">
      <c r="A309" s="219" t="s">
        <v>132</v>
      </c>
      <c r="B309" s="219"/>
      <c r="C309" s="219"/>
      <c r="D309" s="219"/>
      <c r="E309" s="219"/>
      <c r="F309" s="143">
        <v>0</v>
      </c>
    </row>
    <row r="310" spans="1:6" x14ac:dyDescent="0.25">
      <c r="A310" s="363" t="s">
        <v>133</v>
      </c>
      <c r="B310" s="363"/>
      <c r="C310" s="363"/>
      <c r="D310" s="363"/>
      <c r="E310" s="221"/>
      <c r="F310" s="146">
        <f>F14+F13+F12+F11</f>
        <v>0</v>
      </c>
    </row>
    <row r="311" spans="1:6" x14ac:dyDescent="0.25">
      <c r="A311" s="364" t="s">
        <v>135</v>
      </c>
      <c r="B311" s="364"/>
      <c r="C311" s="364"/>
      <c r="D311" s="364"/>
      <c r="E311" s="219"/>
      <c r="F311" s="143">
        <f>SUM(F303:F310)</f>
        <v>0</v>
      </c>
    </row>
    <row r="312" spans="1:6" x14ac:dyDescent="0.25">
      <c r="A312" s="362"/>
      <c r="B312" s="362"/>
      <c r="C312" s="362"/>
      <c r="D312" s="362"/>
      <c r="E312" s="362"/>
      <c r="F312" s="362"/>
    </row>
    <row r="313" spans="1:6" x14ac:dyDescent="0.25">
      <c r="A313" s="362"/>
      <c r="B313" s="362"/>
      <c r="C313" s="362"/>
      <c r="D313" s="362"/>
      <c r="E313" s="362"/>
      <c r="F313" s="362"/>
    </row>
    <row r="314" spans="1:6" x14ac:dyDescent="0.25">
      <c r="A314" s="362"/>
      <c r="B314" s="362"/>
      <c r="C314" s="362"/>
      <c r="D314" s="362"/>
      <c r="E314" s="362"/>
      <c r="F314" s="362"/>
    </row>
    <row r="315" spans="1:6" x14ac:dyDescent="0.25">
      <c r="A315" s="361" t="s">
        <v>148</v>
      </c>
      <c r="B315" s="361"/>
      <c r="C315" s="361"/>
      <c r="D315" s="361"/>
      <c r="E315" s="361"/>
      <c r="F315" s="361"/>
    </row>
    <row r="316" spans="1:6" x14ac:dyDescent="0.25">
      <c r="A316" s="362"/>
      <c r="B316" s="362"/>
      <c r="C316" s="362"/>
      <c r="D316" s="362"/>
      <c r="E316" s="362"/>
      <c r="F316" s="362"/>
    </row>
    <row r="317" spans="1:6" x14ac:dyDescent="0.25">
      <c r="A317" s="361" t="s">
        <v>137</v>
      </c>
      <c r="B317" s="361"/>
      <c r="C317" s="361"/>
      <c r="D317" s="361"/>
      <c r="E317" s="219"/>
      <c r="F317" s="143">
        <v>0</v>
      </c>
    </row>
    <row r="318" spans="1:6" x14ac:dyDescent="0.25">
      <c r="A318" s="219" t="s">
        <v>138</v>
      </c>
      <c r="B318" s="219"/>
      <c r="C318" s="219"/>
      <c r="D318" s="219"/>
      <c r="E318" s="219"/>
      <c r="F318" s="143">
        <v>0</v>
      </c>
    </row>
    <row r="319" spans="1:6" x14ac:dyDescent="0.25">
      <c r="A319" s="361" t="s">
        <v>139</v>
      </c>
      <c r="B319" s="361"/>
      <c r="C319" s="361"/>
      <c r="D319" s="361"/>
      <c r="E319" s="219"/>
      <c r="F319" s="143">
        <f>F205+F203+F201+F162+F159+F158+F142+F138+F137+F119+F116+F115+F95+F93+F91+F90+F60+F58+F56+F53+F32+F31+F29+F27+F26</f>
        <v>-949790</v>
      </c>
    </row>
    <row r="320" spans="1:6" x14ac:dyDescent="0.25">
      <c r="A320" s="361" t="s">
        <v>140</v>
      </c>
      <c r="B320" s="361"/>
      <c r="C320" s="361"/>
      <c r="D320" s="361"/>
      <c r="E320" s="219"/>
      <c r="F320" s="143">
        <f>F98</f>
        <v>-30793</v>
      </c>
    </row>
    <row r="321" spans="1:6" x14ac:dyDescent="0.25">
      <c r="A321" s="361" t="s">
        <v>141</v>
      </c>
      <c r="B321" s="361"/>
      <c r="C321" s="361"/>
      <c r="D321" s="361"/>
      <c r="E321" s="219"/>
      <c r="F321" s="143">
        <f>F215+F214+F209+F208+F173+F172+F128+F108+F107+F106+F105+F104+F103+F100+F99+F71+F44+F43+F72+F76</f>
        <v>980583</v>
      </c>
    </row>
    <row r="322" spans="1:6" x14ac:dyDescent="0.25">
      <c r="A322" s="219" t="s">
        <v>149</v>
      </c>
      <c r="B322" s="219"/>
      <c r="C322" s="219"/>
      <c r="D322" s="219"/>
      <c r="E322" s="219"/>
      <c r="F322" s="143">
        <v>0</v>
      </c>
    </row>
    <row r="323" spans="1:6" x14ac:dyDescent="0.25">
      <c r="A323" s="219" t="s">
        <v>150</v>
      </c>
      <c r="B323" s="219"/>
      <c r="C323" s="219"/>
      <c r="D323" s="219"/>
      <c r="E323" s="219"/>
      <c r="F323" s="143">
        <v>0</v>
      </c>
    </row>
    <row r="324" spans="1:6" x14ac:dyDescent="0.25">
      <c r="A324" s="147" t="s">
        <v>144</v>
      </c>
      <c r="B324" s="147"/>
      <c r="C324" s="147"/>
      <c r="D324" s="148"/>
      <c r="E324" s="148"/>
      <c r="F324" s="149">
        <v>0</v>
      </c>
    </row>
    <row r="325" spans="1:6" x14ac:dyDescent="0.25">
      <c r="A325" s="364" t="s">
        <v>135</v>
      </c>
      <c r="B325" s="364"/>
      <c r="C325" s="364"/>
      <c r="D325" s="364"/>
      <c r="E325" s="219"/>
      <c r="F325" s="143">
        <f>SUM(F317:F324)</f>
        <v>0</v>
      </c>
    </row>
    <row r="326" spans="1:6" x14ac:dyDescent="0.25">
      <c r="A326" s="151"/>
      <c r="B326" s="152"/>
      <c r="C326" s="153"/>
      <c r="D326" s="154"/>
      <c r="E326" s="154"/>
      <c r="F326" s="155"/>
    </row>
    <row r="327" spans="1:6" x14ac:dyDescent="0.25">
      <c r="A327" s="151"/>
      <c r="B327" s="152"/>
      <c r="C327" s="153"/>
      <c r="D327" s="154"/>
      <c r="E327" s="154"/>
      <c r="F327" s="155"/>
    </row>
    <row r="328" spans="1:6" x14ac:dyDescent="0.25">
      <c r="A328" s="365" t="s">
        <v>151</v>
      </c>
      <c r="B328" s="365"/>
      <c r="C328" s="365"/>
      <c r="D328" s="365"/>
      <c r="E328" s="365"/>
      <c r="F328" s="365"/>
    </row>
    <row r="329" spans="1:6" x14ac:dyDescent="0.25">
      <c r="A329" s="366"/>
      <c r="B329" s="366"/>
      <c r="C329" s="366"/>
      <c r="D329" s="366"/>
      <c r="E329" s="366"/>
      <c r="F329" s="366"/>
    </row>
    <row r="330" spans="1:6" x14ac:dyDescent="0.25">
      <c r="A330" s="218"/>
      <c r="B330" s="218"/>
      <c r="C330" s="218"/>
      <c r="D330" s="157"/>
      <c r="E330" s="157"/>
      <c r="F330" s="158"/>
    </row>
    <row r="331" spans="1:6" x14ac:dyDescent="0.25">
      <c r="A331" s="217" t="s">
        <v>171</v>
      </c>
      <c r="B331" s="160"/>
      <c r="C331" s="160"/>
      <c r="D331" s="160"/>
      <c r="E331" s="160"/>
      <c r="F331" s="158">
        <f>SUM(F276,F303)</f>
        <v>-26703</v>
      </c>
    </row>
    <row r="332" spans="1:6" x14ac:dyDescent="0.25">
      <c r="A332" s="217" t="s">
        <v>170</v>
      </c>
      <c r="B332" s="160"/>
      <c r="C332" s="160"/>
      <c r="D332" s="160"/>
      <c r="E332" s="217"/>
      <c r="F332" s="158">
        <f>SUM(F277,F304)</f>
        <v>-4692</v>
      </c>
    </row>
    <row r="333" spans="1:6" x14ac:dyDescent="0.25">
      <c r="A333" s="365" t="s">
        <v>152</v>
      </c>
      <c r="B333" s="365"/>
      <c r="C333" s="365"/>
      <c r="D333" s="365"/>
      <c r="E333" s="217"/>
      <c r="F333" s="158">
        <f>SUM(F278,F305)</f>
        <v>0</v>
      </c>
    </row>
    <row r="334" spans="1:6" x14ac:dyDescent="0.25">
      <c r="A334" s="365" t="s">
        <v>153</v>
      </c>
      <c r="B334" s="365"/>
      <c r="C334" s="365"/>
      <c r="D334" s="365"/>
      <c r="E334" s="217"/>
      <c r="F334" s="158">
        <f>F279+F306</f>
        <v>-25298732</v>
      </c>
    </row>
    <row r="335" spans="1:6" x14ac:dyDescent="0.25">
      <c r="A335" s="365" t="s">
        <v>154</v>
      </c>
      <c r="B335" s="365"/>
      <c r="C335" s="365"/>
      <c r="D335" s="365"/>
      <c r="E335" s="217"/>
      <c r="F335" s="158">
        <f>F280+F307</f>
        <v>0</v>
      </c>
    </row>
    <row r="336" spans="1:6" x14ac:dyDescent="0.25">
      <c r="A336" s="160" t="s">
        <v>147</v>
      </c>
      <c r="B336" s="160"/>
      <c r="C336" s="160"/>
      <c r="D336" s="160"/>
      <c r="E336" s="217"/>
      <c r="F336" s="158">
        <f>SUM(F308,F281)</f>
        <v>0</v>
      </c>
    </row>
    <row r="337" spans="1:6" x14ac:dyDescent="0.25">
      <c r="A337" s="217" t="s">
        <v>132</v>
      </c>
      <c r="B337" s="217"/>
      <c r="C337" s="217"/>
      <c r="D337" s="217"/>
      <c r="E337" s="217"/>
      <c r="F337" s="158">
        <f>F309+F282</f>
        <v>0</v>
      </c>
    </row>
    <row r="338" spans="1:6" x14ac:dyDescent="0.25">
      <c r="A338" s="365" t="s">
        <v>133</v>
      </c>
      <c r="B338" s="365"/>
      <c r="C338" s="365"/>
      <c r="D338" s="365"/>
      <c r="E338" s="217"/>
      <c r="F338" s="158">
        <f>F310+F283</f>
        <v>-12604</v>
      </c>
    </row>
    <row r="339" spans="1:6" x14ac:dyDescent="0.25">
      <c r="A339" s="161" t="s">
        <v>134</v>
      </c>
      <c r="B339" s="161"/>
      <c r="C339" s="161"/>
      <c r="D339" s="161"/>
      <c r="E339" s="161"/>
      <c r="F339" s="162">
        <f>F284</f>
        <v>0</v>
      </c>
    </row>
    <row r="340" spans="1:6" x14ac:dyDescent="0.25">
      <c r="A340" s="365" t="s">
        <v>135</v>
      </c>
      <c r="B340" s="365"/>
      <c r="C340" s="365"/>
      <c r="D340" s="365"/>
      <c r="E340" s="217"/>
      <c r="F340" s="158">
        <f>SUM(F331:F339)</f>
        <v>-25342731</v>
      </c>
    </row>
    <row r="341" spans="1:6" x14ac:dyDescent="0.25">
      <c r="A341" s="217"/>
      <c r="B341" s="217"/>
      <c r="C341" s="217"/>
      <c r="D341" s="217"/>
      <c r="E341" s="217"/>
      <c r="F341" s="158"/>
    </row>
    <row r="342" spans="1:6" x14ac:dyDescent="0.25">
      <c r="A342" s="217"/>
      <c r="B342" s="217"/>
      <c r="C342" s="217"/>
      <c r="D342" s="217"/>
      <c r="E342" s="217"/>
      <c r="F342" s="158"/>
    </row>
    <row r="343" spans="1:6" x14ac:dyDescent="0.25">
      <c r="A343" s="366"/>
      <c r="B343" s="366"/>
      <c r="C343" s="366"/>
      <c r="D343" s="366"/>
      <c r="E343" s="366"/>
      <c r="F343" s="366"/>
    </row>
    <row r="344" spans="1:6" x14ac:dyDescent="0.25">
      <c r="A344" s="365" t="s">
        <v>155</v>
      </c>
      <c r="B344" s="365"/>
      <c r="C344" s="365"/>
      <c r="D344" s="365"/>
      <c r="E344" s="365"/>
      <c r="F344" s="365"/>
    </row>
    <row r="345" spans="1:6" x14ac:dyDescent="0.25">
      <c r="A345" s="366"/>
      <c r="B345" s="366"/>
      <c r="C345" s="366"/>
      <c r="D345" s="366"/>
      <c r="E345" s="366"/>
      <c r="F345" s="366"/>
    </row>
    <row r="346" spans="1:6" x14ac:dyDescent="0.25">
      <c r="A346" s="365" t="s">
        <v>137</v>
      </c>
      <c r="B346" s="365"/>
      <c r="C346" s="365"/>
      <c r="D346" s="365"/>
      <c r="E346" s="217"/>
      <c r="F346" s="158">
        <v>0</v>
      </c>
    </row>
    <row r="347" spans="1:6" x14ac:dyDescent="0.25">
      <c r="A347" s="217" t="s">
        <v>138</v>
      </c>
      <c r="B347" s="217"/>
      <c r="C347" s="217"/>
      <c r="D347" s="217"/>
      <c r="E347" s="217"/>
      <c r="F347" s="158">
        <f>F318+F292</f>
        <v>0</v>
      </c>
    </row>
    <row r="348" spans="1:6" x14ac:dyDescent="0.25">
      <c r="A348" s="365" t="s">
        <v>139</v>
      </c>
      <c r="B348" s="365"/>
      <c r="C348" s="365"/>
      <c r="D348" s="365"/>
      <c r="E348" s="217"/>
      <c r="F348" s="158">
        <f>F319+F293</f>
        <v>-3932824</v>
      </c>
    </row>
    <row r="349" spans="1:6" x14ac:dyDescent="0.25">
      <c r="A349" s="365" t="s">
        <v>140</v>
      </c>
      <c r="B349" s="365"/>
      <c r="C349" s="365"/>
      <c r="D349" s="365"/>
      <c r="E349" s="217"/>
      <c r="F349" s="158">
        <f>F320+F294</f>
        <v>-2260140</v>
      </c>
    </row>
    <row r="350" spans="1:6" x14ac:dyDescent="0.25">
      <c r="A350" s="365" t="s">
        <v>141</v>
      </c>
      <c r="B350" s="365"/>
      <c r="C350" s="365"/>
      <c r="D350" s="365"/>
      <c r="E350" s="217"/>
      <c r="F350" s="158">
        <f>F321+F295</f>
        <v>-19149767</v>
      </c>
    </row>
    <row r="351" spans="1:6" x14ac:dyDescent="0.25">
      <c r="A351" s="217" t="s">
        <v>149</v>
      </c>
      <c r="B351" s="217"/>
      <c r="C351" s="217"/>
      <c r="D351" s="217"/>
      <c r="E351" s="217"/>
      <c r="F351" s="158">
        <f>SUM(F322,F296)</f>
        <v>0</v>
      </c>
    </row>
    <row r="352" spans="1:6" x14ac:dyDescent="0.25">
      <c r="A352" s="217" t="s">
        <v>150</v>
      </c>
      <c r="B352" s="217"/>
      <c r="C352" s="217"/>
      <c r="D352" s="217"/>
      <c r="E352" s="217"/>
      <c r="F352" s="158">
        <f>SUM(F323)</f>
        <v>0</v>
      </c>
    </row>
    <row r="353" spans="1:6" x14ac:dyDescent="0.25">
      <c r="A353" s="163" t="s">
        <v>144</v>
      </c>
      <c r="B353" s="163"/>
      <c r="C353" s="163"/>
      <c r="D353" s="164"/>
      <c r="E353" s="164"/>
      <c r="F353" s="165">
        <f>F324+F298</f>
        <v>0</v>
      </c>
    </row>
    <row r="354" spans="1:6" x14ac:dyDescent="0.25">
      <c r="A354" s="367" t="s">
        <v>135</v>
      </c>
      <c r="B354" s="367"/>
      <c r="C354" s="367"/>
      <c r="D354" s="367"/>
      <c r="E354" s="217"/>
      <c r="F354" s="158">
        <f>SUM(F346:F353)</f>
        <v>-25342731</v>
      </c>
    </row>
  </sheetData>
  <mergeCells count="115">
    <mergeCell ref="A354:D354"/>
    <mergeCell ref="A345:F345"/>
    <mergeCell ref="A346:D346"/>
    <mergeCell ref="A348:D348"/>
    <mergeCell ref="A349:D349"/>
    <mergeCell ref="A350:D350"/>
    <mergeCell ref="A335:D335"/>
    <mergeCell ref="A338:D338"/>
    <mergeCell ref="A340:D340"/>
    <mergeCell ref="A343:F343"/>
    <mergeCell ref="A344:F344"/>
    <mergeCell ref="A325:D325"/>
    <mergeCell ref="A328:F328"/>
    <mergeCell ref="A329:F329"/>
    <mergeCell ref="A333:D333"/>
    <mergeCell ref="A334:D334"/>
    <mergeCell ref="A316:F316"/>
    <mergeCell ref="A317:D317"/>
    <mergeCell ref="A319:D319"/>
    <mergeCell ref="A320:D320"/>
    <mergeCell ref="A321:D321"/>
    <mergeCell ref="A307:D307"/>
    <mergeCell ref="A310:D310"/>
    <mergeCell ref="A311:D311"/>
    <mergeCell ref="A312:F314"/>
    <mergeCell ref="A315:F315"/>
    <mergeCell ref="A295:D295"/>
    <mergeCell ref="A299:D299"/>
    <mergeCell ref="A301:F301"/>
    <mergeCell ref="A304:D304"/>
    <mergeCell ref="A306:D306"/>
    <mergeCell ref="A289:F289"/>
    <mergeCell ref="A290:F290"/>
    <mergeCell ref="A291:D291"/>
    <mergeCell ref="A293:D293"/>
    <mergeCell ref="A294:D294"/>
    <mergeCell ref="A279:D279"/>
    <mergeCell ref="A280:D280"/>
    <mergeCell ref="A283:D283"/>
    <mergeCell ref="A285:D285"/>
    <mergeCell ref="A286:F288"/>
    <mergeCell ref="A1:N1"/>
    <mergeCell ref="A3:A4"/>
    <mergeCell ref="B3:B4"/>
    <mergeCell ref="C3:C4"/>
    <mergeCell ref="D3:D4"/>
    <mergeCell ref="E3:E4"/>
    <mergeCell ref="L3:L4"/>
    <mergeCell ref="M3:M4"/>
    <mergeCell ref="N3:N4"/>
    <mergeCell ref="F3:K3"/>
    <mergeCell ref="A5:A14"/>
    <mergeCell ref="B5:B8"/>
    <mergeCell ref="B9:B12"/>
    <mergeCell ref="B13:B14"/>
    <mergeCell ref="A15:A16"/>
    <mergeCell ref="B15:B16"/>
    <mergeCell ref="A17:A18"/>
    <mergeCell ref="B17:B18"/>
    <mergeCell ref="A19:A20"/>
    <mergeCell ref="B19:B20"/>
    <mergeCell ref="A21:A22"/>
    <mergeCell ref="B21:B22"/>
    <mergeCell ref="A23:A24"/>
    <mergeCell ref="B23:B24"/>
    <mergeCell ref="A25:C25"/>
    <mergeCell ref="A26:A80"/>
    <mergeCell ref="B26:B52"/>
    <mergeCell ref="B53:B80"/>
    <mergeCell ref="A132:A133"/>
    <mergeCell ref="B132:B133"/>
    <mergeCell ref="A110:A111"/>
    <mergeCell ref="B110:B111"/>
    <mergeCell ref="A81:A82"/>
    <mergeCell ref="B81:B82"/>
    <mergeCell ref="A83:A84"/>
    <mergeCell ref="B83:B84"/>
    <mergeCell ref="A85:A86"/>
    <mergeCell ref="B85:B86"/>
    <mergeCell ref="A87:A88"/>
    <mergeCell ref="B87:B88"/>
    <mergeCell ref="A89:C89"/>
    <mergeCell ref="A90:A109"/>
    <mergeCell ref="B90:B109"/>
    <mergeCell ref="A112:A113"/>
    <mergeCell ref="B112:B113"/>
    <mergeCell ref="A114:C114"/>
    <mergeCell ref="A115:A131"/>
    <mergeCell ref="B115:B131"/>
    <mergeCell ref="A227:M227"/>
    <mergeCell ref="A178:A179"/>
    <mergeCell ref="B178:B179"/>
    <mergeCell ref="A134:A135"/>
    <mergeCell ref="B134:B135"/>
    <mergeCell ref="A136:C136"/>
    <mergeCell ref="A137:A154"/>
    <mergeCell ref="A157:C157"/>
    <mergeCell ref="A158:A175"/>
    <mergeCell ref="B158:B175"/>
    <mergeCell ref="A176:A177"/>
    <mergeCell ref="B176:B177"/>
    <mergeCell ref="B137:B154"/>
    <mergeCell ref="A155:A156"/>
    <mergeCell ref="B155:B156"/>
    <mergeCell ref="A228:B269"/>
    <mergeCell ref="A180:C180"/>
    <mergeCell ref="A181:A198"/>
    <mergeCell ref="B181:B198"/>
    <mergeCell ref="A199:C199"/>
    <mergeCell ref="A200:A216"/>
    <mergeCell ref="B200:B216"/>
    <mergeCell ref="A217:A218"/>
    <mergeCell ref="B217:B218"/>
    <mergeCell ref="A219:C219"/>
    <mergeCell ref="A220:C220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  <rowBreaks count="3" manualBreakCount="3">
    <brk id="114" max="16383" man="1"/>
    <brk id="223" max="16383" man="1"/>
    <brk id="326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357"/>
  <sheetViews>
    <sheetView tabSelected="1" view="pageBreakPreview" zoomScale="90" zoomScaleNormal="90" zoomScaleSheetLayoutView="90" workbookViewId="0">
      <pane xSplit="3" ySplit="5" topLeftCell="D348" activePane="bottomRight" state="frozen"/>
      <selection pane="topRight" activeCell="D1" sqref="D1"/>
      <selection pane="bottomLeft" activeCell="A6" sqref="A6"/>
      <selection pane="bottomRight" activeCell="J282" sqref="J282"/>
    </sheetView>
  </sheetViews>
  <sheetFormatPr defaultRowHeight="15" x14ac:dyDescent="0.25"/>
  <cols>
    <col min="1" max="1" width="45.28515625" customWidth="1"/>
    <col min="3" max="3" width="7.7109375" customWidth="1"/>
    <col min="4" max="6" width="13.7109375" customWidth="1"/>
    <col min="7" max="7" width="15.7109375" customWidth="1"/>
    <col min="8" max="8" width="13.7109375" hidden="1" customWidth="1"/>
    <col min="9" max="9" width="8.28515625" hidden="1" customWidth="1"/>
    <col min="10" max="10" width="13.7109375" customWidth="1"/>
    <col min="11" max="11" width="13.7109375" style="122" customWidth="1"/>
    <col min="12" max="12" width="13.85546875" customWidth="1"/>
  </cols>
  <sheetData>
    <row r="1" spans="1:12" ht="21" x14ac:dyDescent="0.25">
      <c r="A1" s="414" t="s">
        <v>189</v>
      </c>
      <c r="B1" s="414"/>
      <c r="C1" s="414"/>
      <c r="D1" s="414"/>
      <c r="E1" s="414"/>
      <c r="F1" s="414"/>
      <c r="G1" s="414"/>
      <c r="H1" s="414"/>
      <c r="I1" s="414"/>
      <c r="J1" s="414"/>
      <c r="K1" s="414"/>
      <c r="L1" s="414"/>
    </row>
    <row r="2" spans="1:12" x14ac:dyDescent="0.25">
      <c r="B2" s="5"/>
      <c r="E2" s="4"/>
      <c r="F2" s="4"/>
      <c r="G2" s="4"/>
      <c r="H2" s="4"/>
      <c r="I2" s="4"/>
      <c r="J2" s="4"/>
      <c r="K2" s="111"/>
    </row>
    <row r="3" spans="1:12" ht="15" customHeight="1" x14ac:dyDescent="0.25">
      <c r="A3" s="425" t="s">
        <v>104</v>
      </c>
      <c r="B3" s="425" t="s">
        <v>105</v>
      </c>
      <c r="C3" s="425" t="s">
        <v>3</v>
      </c>
      <c r="D3" s="417" t="s">
        <v>96</v>
      </c>
      <c r="E3" s="415" t="s">
        <v>69</v>
      </c>
      <c r="F3" s="416"/>
      <c r="G3" s="416"/>
      <c r="H3" s="416"/>
      <c r="I3" s="416"/>
      <c r="J3" s="417" t="s">
        <v>119</v>
      </c>
      <c r="K3" s="420" t="s">
        <v>116</v>
      </c>
      <c r="L3" s="417" t="s">
        <v>120</v>
      </c>
    </row>
    <row r="4" spans="1:12" ht="66.75" customHeight="1" x14ac:dyDescent="0.25">
      <c r="A4" s="426"/>
      <c r="B4" s="426"/>
      <c r="C4" s="426"/>
      <c r="D4" s="418"/>
      <c r="E4" s="423" t="s">
        <v>70</v>
      </c>
      <c r="F4" s="428" t="s">
        <v>191</v>
      </c>
      <c r="G4" s="429"/>
      <c r="H4" s="423"/>
      <c r="I4" s="423"/>
      <c r="J4" s="418"/>
      <c r="K4" s="421"/>
      <c r="L4" s="418"/>
    </row>
    <row r="5" spans="1:12" ht="37.5" customHeight="1" x14ac:dyDescent="0.25">
      <c r="A5" s="427"/>
      <c r="B5" s="427"/>
      <c r="C5" s="427"/>
      <c r="D5" s="419"/>
      <c r="E5" s="424"/>
      <c r="F5" s="214" t="s">
        <v>192</v>
      </c>
      <c r="G5" s="214" t="s">
        <v>193</v>
      </c>
      <c r="H5" s="424"/>
      <c r="I5" s="424"/>
      <c r="J5" s="419"/>
      <c r="K5" s="422"/>
      <c r="L5" s="419"/>
    </row>
    <row r="6" spans="1:12" x14ac:dyDescent="0.25">
      <c r="A6" s="255" t="s">
        <v>6</v>
      </c>
      <c r="B6" s="268" t="s">
        <v>21</v>
      </c>
      <c r="C6" s="2" t="s">
        <v>16</v>
      </c>
      <c r="D6" s="3">
        <v>59296963</v>
      </c>
      <c r="E6" s="3"/>
      <c r="F6" s="3"/>
      <c r="G6" s="3"/>
      <c r="H6" s="3"/>
      <c r="I6" s="20"/>
      <c r="J6" s="20">
        <f t="shared" ref="J6:J25" si="0">SUM(D6:I6)</f>
        <v>59296963</v>
      </c>
      <c r="K6" s="112">
        <v>29748482</v>
      </c>
      <c r="L6" s="3">
        <f>J6-K6</f>
        <v>29548481</v>
      </c>
    </row>
    <row r="7" spans="1:12" x14ac:dyDescent="0.25">
      <c r="A7" s="256"/>
      <c r="B7" s="268"/>
      <c r="C7" s="2" t="s">
        <v>17</v>
      </c>
      <c r="D7" s="3">
        <f>9931955-1572117</f>
        <v>8359838</v>
      </c>
      <c r="E7" s="3"/>
      <c r="F7" s="3"/>
      <c r="G7" s="3"/>
      <c r="H7" s="3"/>
      <c r="I7" s="20"/>
      <c r="J7" s="20">
        <f t="shared" si="0"/>
        <v>8359838</v>
      </c>
      <c r="K7" s="112">
        <v>8359838</v>
      </c>
      <c r="L7" s="3">
        <f t="shared" ref="L7:L25" si="1">J7-K7</f>
        <v>0</v>
      </c>
    </row>
    <row r="8" spans="1:12" x14ac:dyDescent="0.25">
      <c r="A8" s="256"/>
      <c r="B8" s="268"/>
      <c r="C8" s="196" t="s">
        <v>22</v>
      </c>
      <c r="D8" s="3">
        <v>0</v>
      </c>
      <c r="E8" s="3"/>
      <c r="F8" s="3"/>
      <c r="G8" s="3"/>
      <c r="H8" s="3"/>
      <c r="I8" s="20"/>
      <c r="J8" s="20">
        <f t="shared" si="0"/>
        <v>0</v>
      </c>
      <c r="K8" s="112">
        <v>0</v>
      </c>
      <c r="L8" s="3">
        <f t="shared" si="1"/>
        <v>0</v>
      </c>
    </row>
    <row r="9" spans="1:12" x14ac:dyDescent="0.25">
      <c r="A9" s="256"/>
      <c r="B9" s="268"/>
      <c r="C9" s="2" t="s">
        <v>18</v>
      </c>
      <c r="D9" s="3">
        <v>106608492</v>
      </c>
      <c r="E9" s="3"/>
      <c r="F9" s="3">
        <v>4849000</v>
      </c>
      <c r="G9" s="3">
        <v>0</v>
      </c>
      <c r="H9" s="3"/>
      <c r="I9" s="20"/>
      <c r="J9" s="20">
        <f t="shared" si="0"/>
        <v>111457492</v>
      </c>
      <c r="K9" s="112">
        <v>62959441</v>
      </c>
      <c r="L9" s="60">
        <f t="shared" si="1"/>
        <v>48498051</v>
      </c>
    </row>
    <row r="10" spans="1:12" x14ac:dyDescent="0.25">
      <c r="A10" s="256"/>
      <c r="B10" s="252">
        <v>104042</v>
      </c>
      <c r="C10" s="2" t="s">
        <v>22</v>
      </c>
      <c r="D10" s="3">
        <v>200000</v>
      </c>
      <c r="E10" s="3"/>
      <c r="F10" s="3"/>
      <c r="G10" s="3"/>
      <c r="H10" s="3"/>
      <c r="I10" s="20"/>
      <c r="J10" s="20">
        <f t="shared" si="0"/>
        <v>200000</v>
      </c>
      <c r="K10" s="112">
        <v>0</v>
      </c>
      <c r="L10" s="3">
        <f t="shared" si="1"/>
        <v>200000</v>
      </c>
    </row>
    <row r="11" spans="1:12" x14ac:dyDescent="0.25">
      <c r="A11" s="256"/>
      <c r="B11" s="253"/>
      <c r="C11" s="2" t="s">
        <v>19</v>
      </c>
      <c r="D11" s="3">
        <v>7693</v>
      </c>
      <c r="E11" s="3"/>
      <c r="F11" s="3"/>
      <c r="G11" s="3"/>
      <c r="H11" s="3"/>
      <c r="I11" s="20"/>
      <c r="J11" s="20">
        <f t="shared" si="0"/>
        <v>7693</v>
      </c>
      <c r="K11" s="112">
        <v>3474</v>
      </c>
      <c r="L11" s="60">
        <f t="shared" si="1"/>
        <v>4219</v>
      </c>
    </row>
    <row r="12" spans="1:12" x14ac:dyDescent="0.25">
      <c r="A12" s="256"/>
      <c r="B12" s="253"/>
      <c r="C12" s="2" t="s">
        <v>20</v>
      </c>
      <c r="D12" s="3">
        <v>368</v>
      </c>
      <c r="E12" s="3"/>
      <c r="F12" s="3"/>
      <c r="G12" s="3"/>
      <c r="H12" s="3"/>
      <c r="I12" s="20"/>
      <c r="J12" s="20">
        <f t="shared" si="0"/>
        <v>368</v>
      </c>
      <c r="K12" s="112">
        <v>119</v>
      </c>
      <c r="L12" s="3">
        <f t="shared" si="1"/>
        <v>249</v>
      </c>
    </row>
    <row r="13" spans="1:12" x14ac:dyDescent="0.25">
      <c r="A13" s="256"/>
      <c r="B13" s="254"/>
      <c r="C13" s="2" t="s">
        <v>84</v>
      </c>
      <c r="D13" s="3">
        <v>5274</v>
      </c>
      <c r="E13" s="3"/>
      <c r="F13" s="3"/>
      <c r="G13" s="3"/>
      <c r="H13" s="3"/>
      <c r="I13" s="20"/>
      <c r="J13" s="20">
        <f t="shared" si="0"/>
        <v>5274</v>
      </c>
      <c r="K13" s="112">
        <v>2886</v>
      </c>
      <c r="L13" s="60">
        <f t="shared" si="1"/>
        <v>2388</v>
      </c>
    </row>
    <row r="14" spans="1:12" x14ac:dyDescent="0.25">
      <c r="A14" s="256"/>
      <c r="B14" s="252">
        <v>104043</v>
      </c>
      <c r="C14" s="2" t="s">
        <v>20</v>
      </c>
      <c r="D14" s="3">
        <v>365</v>
      </c>
      <c r="E14" s="3"/>
      <c r="F14" s="3"/>
      <c r="G14" s="3"/>
      <c r="H14" s="3"/>
      <c r="I14" s="20"/>
      <c r="J14" s="20">
        <f t="shared" si="0"/>
        <v>365</v>
      </c>
      <c r="K14" s="112">
        <v>121</v>
      </c>
      <c r="L14" s="3">
        <f t="shared" si="1"/>
        <v>244</v>
      </c>
    </row>
    <row r="15" spans="1:12" x14ac:dyDescent="0.25">
      <c r="A15" s="257"/>
      <c r="B15" s="254"/>
      <c r="C15" s="2" t="s">
        <v>84</v>
      </c>
      <c r="D15" s="3">
        <v>0</v>
      </c>
      <c r="E15" s="3"/>
      <c r="F15" s="3"/>
      <c r="G15" s="3"/>
      <c r="H15" s="3"/>
      <c r="I15" s="20"/>
      <c r="J15" s="20">
        <f t="shared" si="0"/>
        <v>0</v>
      </c>
      <c r="K15" s="112">
        <v>0</v>
      </c>
      <c r="L15" s="3">
        <f t="shared" si="1"/>
        <v>0</v>
      </c>
    </row>
    <row r="16" spans="1:12" x14ac:dyDescent="0.25">
      <c r="A16" s="258" t="s">
        <v>7</v>
      </c>
      <c r="B16" s="268" t="s">
        <v>21</v>
      </c>
      <c r="C16" s="2" t="s">
        <v>16</v>
      </c>
      <c r="D16" s="3">
        <v>412899</v>
      </c>
      <c r="E16" s="3"/>
      <c r="F16" s="3"/>
      <c r="G16" s="3">
        <v>-88172</v>
      </c>
      <c r="H16" s="3"/>
      <c r="I16" s="20"/>
      <c r="J16" s="20">
        <f t="shared" si="0"/>
        <v>324727</v>
      </c>
      <c r="K16" s="112">
        <v>324727</v>
      </c>
      <c r="L16" s="3">
        <f t="shared" si="1"/>
        <v>0</v>
      </c>
    </row>
    <row r="17" spans="1:12" x14ac:dyDescent="0.25">
      <c r="A17" s="258"/>
      <c r="B17" s="268"/>
      <c r="C17" s="2" t="s">
        <v>17</v>
      </c>
      <c r="D17" s="3">
        <v>28227</v>
      </c>
      <c r="E17" s="3"/>
      <c r="F17" s="3"/>
      <c r="G17" s="3"/>
      <c r="H17" s="3"/>
      <c r="I17" s="20"/>
      <c r="J17" s="20">
        <f t="shared" si="0"/>
        <v>28227</v>
      </c>
      <c r="K17" s="112">
        <v>28227</v>
      </c>
      <c r="L17" s="3">
        <f t="shared" si="1"/>
        <v>0</v>
      </c>
    </row>
    <row r="18" spans="1:12" x14ac:dyDescent="0.25">
      <c r="A18" s="258" t="s">
        <v>8</v>
      </c>
      <c r="B18" s="268" t="s">
        <v>21</v>
      </c>
      <c r="C18" s="2" t="s">
        <v>16</v>
      </c>
      <c r="D18" s="3">
        <v>2897661</v>
      </c>
      <c r="E18" s="3"/>
      <c r="F18" s="3"/>
      <c r="G18" s="3">
        <v>-320000</v>
      </c>
      <c r="H18" s="3"/>
      <c r="I18" s="20"/>
      <c r="J18" s="20">
        <f t="shared" si="0"/>
        <v>2577661</v>
      </c>
      <c r="K18" s="112">
        <v>1448831</v>
      </c>
      <c r="L18" s="3">
        <f t="shared" si="1"/>
        <v>1128830</v>
      </c>
    </row>
    <row r="19" spans="1:12" x14ac:dyDescent="0.25">
      <c r="A19" s="258"/>
      <c r="B19" s="268"/>
      <c r="C19" s="2" t="s">
        <v>17</v>
      </c>
      <c r="D19" s="3">
        <v>663676</v>
      </c>
      <c r="E19" s="3"/>
      <c r="F19" s="3"/>
      <c r="G19" s="3"/>
      <c r="H19" s="3"/>
      <c r="I19" s="20"/>
      <c r="J19" s="20">
        <f t="shared" si="0"/>
        <v>663676</v>
      </c>
      <c r="K19" s="112">
        <v>663676</v>
      </c>
      <c r="L19" s="3">
        <f t="shared" si="1"/>
        <v>0</v>
      </c>
    </row>
    <row r="20" spans="1:12" x14ac:dyDescent="0.25">
      <c r="A20" s="258" t="s">
        <v>187</v>
      </c>
      <c r="B20" s="268" t="s">
        <v>21</v>
      </c>
      <c r="C20" s="2" t="s">
        <v>16</v>
      </c>
      <c r="D20" s="3">
        <v>1079974</v>
      </c>
      <c r="E20" s="3"/>
      <c r="F20" s="3"/>
      <c r="G20" s="3">
        <v>-473262</v>
      </c>
      <c r="H20" s="3"/>
      <c r="I20" s="20"/>
      <c r="J20" s="20">
        <f t="shared" si="0"/>
        <v>606712</v>
      </c>
      <c r="K20" s="112">
        <v>606712</v>
      </c>
      <c r="L20" s="3">
        <f t="shared" si="1"/>
        <v>0</v>
      </c>
    </row>
    <row r="21" spans="1:12" x14ac:dyDescent="0.25">
      <c r="A21" s="258"/>
      <c r="B21" s="268"/>
      <c r="C21" s="2" t="s">
        <v>17</v>
      </c>
      <c r="D21" s="3">
        <v>847854</v>
      </c>
      <c r="E21" s="3"/>
      <c r="F21" s="3"/>
      <c r="G21" s="3"/>
      <c r="H21" s="3"/>
      <c r="I21" s="20"/>
      <c r="J21" s="20">
        <f t="shared" si="0"/>
        <v>847854</v>
      </c>
      <c r="K21" s="112">
        <v>847854</v>
      </c>
      <c r="L21" s="3">
        <f t="shared" si="1"/>
        <v>0</v>
      </c>
    </row>
    <row r="22" spans="1:12" x14ac:dyDescent="0.25">
      <c r="A22" s="255" t="s">
        <v>54</v>
      </c>
      <c r="B22" s="252" t="s">
        <v>21</v>
      </c>
      <c r="C22" s="2" t="s">
        <v>16</v>
      </c>
      <c r="D22" s="3">
        <v>3387292</v>
      </c>
      <c r="E22" s="3"/>
      <c r="F22" s="3"/>
      <c r="G22" s="3">
        <v>-320000</v>
      </c>
      <c r="H22" s="3"/>
      <c r="I22" s="20"/>
      <c r="J22" s="20">
        <f t="shared" si="0"/>
        <v>3067292</v>
      </c>
      <c r="K22" s="112">
        <v>986564</v>
      </c>
      <c r="L22" s="3">
        <f t="shared" si="1"/>
        <v>2080728</v>
      </c>
    </row>
    <row r="23" spans="1:12" x14ac:dyDescent="0.25">
      <c r="A23" s="257"/>
      <c r="B23" s="254"/>
      <c r="C23" s="2" t="s">
        <v>17</v>
      </c>
      <c r="D23" s="3">
        <v>634635</v>
      </c>
      <c r="E23" s="3"/>
      <c r="F23" s="3"/>
      <c r="G23" s="3"/>
      <c r="H23" s="3"/>
      <c r="I23" s="20"/>
      <c r="J23" s="20">
        <f t="shared" si="0"/>
        <v>634635</v>
      </c>
      <c r="K23" s="112">
        <v>634635</v>
      </c>
      <c r="L23" s="3">
        <f t="shared" si="1"/>
        <v>0</v>
      </c>
    </row>
    <row r="24" spans="1:12" x14ac:dyDescent="0.25">
      <c r="A24" s="258" t="s">
        <v>10</v>
      </c>
      <c r="B24" s="268" t="s">
        <v>21</v>
      </c>
      <c r="C24" s="2" t="s">
        <v>16</v>
      </c>
      <c r="D24" s="3">
        <v>25298732</v>
      </c>
      <c r="E24" s="3"/>
      <c r="F24" s="3"/>
      <c r="G24" s="3"/>
      <c r="H24" s="3"/>
      <c r="I24" s="20"/>
      <c r="J24" s="20">
        <f t="shared" si="0"/>
        <v>25298732</v>
      </c>
      <c r="K24" s="112">
        <v>24780000</v>
      </c>
      <c r="L24" s="3">
        <f t="shared" si="1"/>
        <v>518732</v>
      </c>
    </row>
    <row r="25" spans="1:12" x14ac:dyDescent="0.25">
      <c r="A25" s="258"/>
      <c r="B25" s="268"/>
      <c r="C25" s="2" t="s">
        <v>17</v>
      </c>
      <c r="D25" s="3">
        <v>1572117</v>
      </c>
      <c r="E25" s="3"/>
      <c r="F25" s="3"/>
      <c r="G25" s="3"/>
      <c r="H25" s="3"/>
      <c r="I25" s="20"/>
      <c r="J25" s="20">
        <f t="shared" si="0"/>
        <v>1572117</v>
      </c>
      <c r="K25" s="112">
        <v>1572117</v>
      </c>
      <c r="L25" s="3">
        <f t="shared" si="1"/>
        <v>0</v>
      </c>
    </row>
    <row r="26" spans="1:12" ht="30" customHeight="1" x14ac:dyDescent="0.25">
      <c r="A26" s="430" t="s">
        <v>73</v>
      </c>
      <c r="B26" s="431"/>
      <c r="C26" s="432"/>
      <c r="D26" s="232">
        <f t="shared" ref="D26:L26" si="2">SUM(D6:D25)</f>
        <v>211302060</v>
      </c>
      <c r="E26" s="232">
        <f t="shared" si="2"/>
        <v>0</v>
      </c>
      <c r="F26" s="232">
        <f t="shared" si="2"/>
        <v>4849000</v>
      </c>
      <c r="G26" s="232">
        <f t="shared" si="2"/>
        <v>-1201434</v>
      </c>
      <c r="H26" s="232">
        <f t="shared" si="2"/>
        <v>0</v>
      </c>
      <c r="I26" s="232">
        <f t="shared" si="2"/>
        <v>0</v>
      </c>
      <c r="J26" s="232">
        <f t="shared" si="2"/>
        <v>214949626</v>
      </c>
      <c r="K26" s="233">
        <f t="shared" si="2"/>
        <v>132967704</v>
      </c>
      <c r="L26" s="232">
        <f t="shared" si="2"/>
        <v>81981922</v>
      </c>
    </row>
    <row r="27" spans="1:12" x14ac:dyDescent="0.25">
      <c r="A27" s="258" t="s">
        <v>11</v>
      </c>
      <c r="B27" s="252" t="s">
        <v>23</v>
      </c>
      <c r="C27" s="2" t="s">
        <v>24</v>
      </c>
      <c r="D27" s="3">
        <v>36919515</v>
      </c>
      <c r="E27" s="3">
        <f>-30000-251224</f>
        <v>-281224</v>
      </c>
      <c r="F27" s="3"/>
      <c r="G27" s="3"/>
      <c r="H27" s="3"/>
      <c r="I27" s="20"/>
      <c r="J27" s="20">
        <f t="shared" ref="J27:J33" si="3">SUM(D27:I27)</f>
        <v>36638291</v>
      </c>
      <c r="K27" s="112">
        <v>21260885</v>
      </c>
      <c r="L27" s="3">
        <f t="shared" ref="L27:L33" si="4">J27-K27</f>
        <v>15377406</v>
      </c>
    </row>
    <row r="28" spans="1:12" x14ac:dyDescent="0.25">
      <c r="A28" s="258"/>
      <c r="B28" s="253"/>
      <c r="C28" s="2" t="s">
        <v>25</v>
      </c>
      <c r="D28" s="3">
        <v>1458197</v>
      </c>
      <c r="E28" s="3"/>
      <c r="F28" s="3"/>
      <c r="G28" s="3"/>
      <c r="H28" s="3"/>
      <c r="I28" s="20"/>
      <c r="J28" s="20">
        <f t="shared" si="3"/>
        <v>1458197</v>
      </c>
      <c r="K28" s="112">
        <v>1437868</v>
      </c>
      <c r="L28" s="3">
        <f t="shared" si="4"/>
        <v>20329</v>
      </c>
    </row>
    <row r="29" spans="1:12" x14ac:dyDescent="0.25">
      <c r="A29" s="258"/>
      <c r="B29" s="253"/>
      <c r="C29" s="2" t="s">
        <v>26</v>
      </c>
      <c r="D29" s="3">
        <v>100681</v>
      </c>
      <c r="E29" s="3"/>
      <c r="F29" s="3"/>
      <c r="G29" s="3"/>
      <c r="H29" s="3"/>
      <c r="I29" s="20"/>
      <c r="J29" s="20">
        <f t="shared" si="3"/>
        <v>100681</v>
      </c>
      <c r="K29" s="112">
        <v>0</v>
      </c>
      <c r="L29" s="3">
        <f t="shared" si="4"/>
        <v>100681</v>
      </c>
    </row>
    <row r="30" spans="1:12" x14ac:dyDescent="0.25">
      <c r="A30" s="258"/>
      <c r="B30" s="253"/>
      <c r="C30" s="2" t="s">
        <v>27</v>
      </c>
      <c r="D30" s="3">
        <v>954200</v>
      </c>
      <c r="E30" s="3"/>
      <c r="F30" s="3"/>
      <c r="G30" s="3"/>
      <c r="H30" s="3"/>
      <c r="I30" s="20"/>
      <c r="J30" s="20">
        <f t="shared" si="3"/>
        <v>954200</v>
      </c>
      <c r="K30" s="112">
        <v>277874</v>
      </c>
      <c r="L30" s="3">
        <f t="shared" si="4"/>
        <v>676326</v>
      </c>
    </row>
    <row r="31" spans="1:12" x14ac:dyDescent="0.25">
      <c r="A31" s="258"/>
      <c r="B31" s="253"/>
      <c r="C31" s="2" t="s">
        <v>28</v>
      </c>
      <c r="D31" s="3">
        <v>181000</v>
      </c>
      <c r="E31" s="3"/>
      <c r="F31" s="3"/>
      <c r="G31" s="3"/>
      <c r="H31" s="3"/>
      <c r="I31" s="20"/>
      <c r="J31" s="20">
        <f t="shared" si="3"/>
        <v>181000</v>
      </c>
      <c r="K31" s="112">
        <v>88560</v>
      </c>
      <c r="L31" s="3">
        <f t="shared" si="4"/>
        <v>92440</v>
      </c>
    </row>
    <row r="32" spans="1:12" x14ac:dyDescent="0.25">
      <c r="A32" s="258"/>
      <c r="B32" s="253"/>
      <c r="C32" s="2" t="s">
        <v>29</v>
      </c>
      <c r="D32" s="3">
        <v>1607616</v>
      </c>
      <c r="E32" s="3">
        <v>30000</v>
      </c>
      <c r="F32" s="3"/>
      <c r="G32" s="3"/>
      <c r="H32" s="3"/>
      <c r="I32" s="20"/>
      <c r="J32" s="20">
        <f t="shared" si="3"/>
        <v>1637616</v>
      </c>
      <c r="K32" s="112">
        <v>687267</v>
      </c>
      <c r="L32" s="3">
        <f t="shared" si="4"/>
        <v>950349</v>
      </c>
    </row>
    <row r="33" spans="1:12" x14ac:dyDescent="0.25">
      <c r="A33" s="258"/>
      <c r="B33" s="253"/>
      <c r="C33" s="2" t="s">
        <v>30</v>
      </c>
      <c r="D33" s="3">
        <v>100000</v>
      </c>
      <c r="E33" s="3"/>
      <c r="F33" s="3"/>
      <c r="G33" s="3"/>
      <c r="H33" s="3"/>
      <c r="I33" s="20"/>
      <c r="J33" s="20">
        <f t="shared" si="3"/>
        <v>100000</v>
      </c>
      <c r="K33" s="112">
        <v>750</v>
      </c>
      <c r="L33" s="3">
        <f t="shared" si="4"/>
        <v>99250</v>
      </c>
    </row>
    <row r="34" spans="1:12" x14ac:dyDescent="0.25">
      <c r="A34" s="258"/>
      <c r="B34" s="253"/>
      <c r="C34" s="6" t="s">
        <v>53</v>
      </c>
      <c r="D34" s="7">
        <f>SUM(D27:D33)</f>
        <v>41321209</v>
      </c>
      <c r="E34" s="7">
        <f t="shared" ref="E34:L34" si="5">SUM(E27:E33)</f>
        <v>-251224</v>
      </c>
      <c r="F34" s="7">
        <f t="shared" si="5"/>
        <v>0</v>
      </c>
      <c r="G34" s="7">
        <f t="shared" si="5"/>
        <v>0</v>
      </c>
      <c r="H34" s="7">
        <f t="shared" si="5"/>
        <v>0</v>
      </c>
      <c r="I34" s="7">
        <f t="shared" si="5"/>
        <v>0</v>
      </c>
      <c r="J34" s="7">
        <f t="shared" si="5"/>
        <v>41069985</v>
      </c>
      <c r="K34" s="114">
        <f t="shared" si="5"/>
        <v>23753204</v>
      </c>
      <c r="L34" s="7">
        <f t="shared" si="5"/>
        <v>17316781</v>
      </c>
    </row>
    <row r="35" spans="1:12" x14ac:dyDescent="0.25">
      <c r="A35" s="258"/>
      <c r="B35" s="253"/>
      <c r="C35" s="86" t="s">
        <v>31</v>
      </c>
      <c r="D35" s="87">
        <f>9628836-1930444-55650</f>
        <v>7642742</v>
      </c>
      <c r="E35" s="87"/>
      <c r="F35" s="87"/>
      <c r="G35" s="87"/>
      <c r="H35" s="87"/>
      <c r="I35" s="201"/>
      <c r="J35" s="88">
        <f t="shared" ref="J35:J49" si="6">SUM(D35:I35)</f>
        <v>7642742</v>
      </c>
      <c r="K35" s="115">
        <v>4499335</v>
      </c>
      <c r="L35" s="89">
        <f t="shared" ref="L35:L49" si="7">J35-K35</f>
        <v>3143407</v>
      </c>
    </row>
    <row r="36" spans="1:12" x14ac:dyDescent="0.25">
      <c r="A36" s="258"/>
      <c r="B36" s="253"/>
      <c r="C36" s="2" t="s">
        <v>32</v>
      </c>
      <c r="D36" s="3">
        <v>107000</v>
      </c>
      <c r="E36" s="3"/>
      <c r="F36" s="3"/>
      <c r="G36" s="3"/>
      <c r="H36" s="3"/>
      <c r="I36" s="20"/>
      <c r="J36" s="20">
        <f t="shared" si="6"/>
        <v>107000</v>
      </c>
      <c r="K36" s="112">
        <v>0</v>
      </c>
      <c r="L36" s="3">
        <f t="shared" si="7"/>
        <v>107000</v>
      </c>
    </row>
    <row r="37" spans="1:12" x14ac:dyDescent="0.25">
      <c r="A37" s="258"/>
      <c r="B37" s="253"/>
      <c r="C37" s="2" t="s">
        <v>33</v>
      </c>
      <c r="D37" s="3">
        <v>500000</v>
      </c>
      <c r="E37" s="3"/>
      <c r="F37" s="3"/>
      <c r="G37" s="3"/>
      <c r="H37" s="3"/>
      <c r="I37" s="20"/>
      <c r="J37" s="20">
        <f t="shared" si="6"/>
        <v>500000</v>
      </c>
      <c r="K37" s="112">
        <v>7841</v>
      </c>
      <c r="L37" s="3">
        <f t="shared" si="7"/>
        <v>492159</v>
      </c>
    </row>
    <row r="38" spans="1:12" x14ac:dyDescent="0.25">
      <c r="A38" s="258"/>
      <c r="B38" s="253"/>
      <c r="C38" s="2" t="s">
        <v>34</v>
      </c>
      <c r="D38" s="3">
        <v>201600</v>
      </c>
      <c r="E38" s="3"/>
      <c r="F38" s="3"/>
      <c r="G38" s="3"/>
      <c r="H38" s="3"/>
      <c r="I38" s="20"/>
      <c r="J38" s="20">
        <f t="shared" si="6"/>
        <v>201600</v>
      </c>
      <c r="K38" s="112">
        <v>63204</v>
      </c>
      <c r="L38" s="3">
        <f t="shared" si="7"/>
        <v>138396</v>
      </c>
    </row>
    <row r="39" spans="1:12" x14ac:dyDescent="0.25">
      <c r="A39" s="258"/>
      <c r="B39" s="253"/>
      <c r="C39" s="2" t="s">
        <v>35</v>
      </c>
      <c r="D39" s="3">
        <v>113000</v>
      </c>
      <c r="E39" s="3"/>
      <c r="F39" s="3"/>
      <c r="G39" s="3"/>
      <c r="H39" s="3"/>
      <c r="I39" s="20"/>
      <c r="J39" s="20">
        <f t="shared" si="6"/>
        <v>113000</v>
      </c>
      <c r="K39" s="112">
        <v>42154</v>
      </c>
      <c r="L39" s="3">
        <f t="shared" si="7"/>
        <v>70846</v>
      </c>
    </row>
    <row r="40" spans="1:12" x14ac:dyDescent="0.25">
      <c r="A40" s="258"/>
      <c r="B40" s="253"/>
      <c r="C40" s="2" t="s">
        <v>36</v>
      </c>
      <c r="D40" s="3">
        <v>710000</v>
      </c>
      <c r="E40" s="3"/>
      <c r="F40" s="3"/>
      <c r="G40" s="3"/>
      <c r="H40" s="3"/>
      <c r="I40" s="20"/>
      <c r="J40" s="20">
        <f t="shared" si="6"/>
        <v>710000</v>
      </c>
      <c r="K40" s="112">
        <v>480573</v>
      </c>
      <c r="L40" s="3">
        <f t="shared" si="7"/>
        <v>229427</v>
      </c>
    </row>
    <row r="41" spans="1:12" x14ac:dyDescent="0.25">
      <c r="A41" s="258"/>
      <c r="B41" s="253"/>
      <c r="C41" s="2" t="s">
        <v>37</v>
      </c>
      <c r="D41" s="3">
        <v>20000</v>
      </c>
      <c r="E41" s="3"/>
      <c r="F41" s="3"/>
      <c r="G41" s="3"/>
      <c r="H41" s="3"/>
      <c r="I41" s="20"/>
      <c r="J41" s="20">
        <f t="shared" si="6"/>
        <v>20000</v>
      </c>
      <c r="K41" s="112">
        <v>0</v>
      </c>
      <c r="L41" s="3">
        <f t="shared" si="7"/>
        <v>20000</v>
      </c>
    </row>
    <row r="42" spans="1:12" x14ac:dyDescent="0.25">
      <c r="A42" s="258"/>
      <c r="B42" s="253"/>
      <c r="C42" s="2" t="s">
        <v>38</v>
      </c>
      <c r="D42" s="3">
        <v>467000</v>
      </c>
      <c r="E42" s="3"/>
      <c r="F42" s="3"/>
      <c r="G42" s="3"/>
      <c r="H42" s="3"/>
      <c r="I42" s="20"/>
      <c r="J42" s="20">
        <f t="shared" si="6"/>
        <v>467000</v>
      </c>
      <c r="K42" s="112">
        <v>148020</v>
      </c>
      <c r="L42" s="3">
        <f t="shared" si="7"/>
        <v>318980</v>
      </c>
    </row>
    <row r="43" spans="1:12" x14ac:dyDescent="0.25">
      <c r="A43" s="258"/>
      <c r="B43" s="253"/>
      <c r="C43" s="2" t="s">
        <v>39</v>
      </c>
      <c r="D43" s="3">
        <v>7693</v>
      </c>
      <c r="E43" s="3"/>
      <c r="F43" s="3"/>
      <c r="G43" s="3"/>
      <c r="H43" s="3"/>
      <c r="I43" s="20"/>
      <c r="J43" s="20">
        <f t="shared" si="6"/>
        <v>7693</v>
      </c>
      <c r="K43" s="112">
        <v>3474</v>
      </c>
      <c r="L43" s="60">
        <f t="shared" si="7"/>
        <v>4219</v>
      </c>
    </row>
    <row r="44" spans="1:12" x14ac:dyDescent="0.25">
      <c r="A44" s="258"/>
      <c r="B44" s="253"/>
      <c r="C44" s="2" t="s">
        <v>40</v>
      </c>
      <c r="D44" s="3">
        <f>130000+10000</f>
        <v>140000</v>
      </c>
      <c r="E44" s="3"/>
      <c r="F44" s="3"/>
      <c r="G44" s="3"/>
      <c r="H44" s="3"/>
      <c r="I44" s="20"/>
      <c r="J44" s="20">
        <f t="shared" si="6"/>
        <v>140000</v>
      </c>
      <c r="K44" s="112">
        <v>59400</v>
      </c>
      <c r="L44" s="60">
        <f t="shared" si="7"/>
        <v>80600</v>
      </c>
    </row>
    <row r="45" spans="1:12" x14ac:dyDescent="0.25">
      <c r="A45" s="258"/>
      <c r="B45" s="253"/>
      <c r="C45" s="2" t="s">
        <v>41</v>
      </c>
      <c r="D45" s="3">
        <v>618059</v>
      </c>
      <c r="E45" s="3">
        <v>-50000</v>
      </c>
      <c r="F45" s="3">
        <v>806299</v>
      </c>
      <c r="G45" s="3"/>
      <c r="H45" s="3"/>
      <c r="I45" s="20"/>
      <c r="J45" s="20">
        <f t="shared" si="6"/>
        <v>1374358</v>
      </c>
      <c r="K45" s="112">
        <v>498212</v>
      </c>
      <c r="L45" s="3">
        <f t="shared" si="7"/>
        <v>876146</v>
      </c>
    </row>
    <row r="46" spans="1:12" x14ac:dyDescent="0.25">
      <c r="A46" s="258"/>
      <c r="B46" s="253"/>
      <c r="C46" s="2" t="s">
        <v>42</v>
      </c>
      <c r="D46" s="3">
        <f>480000+100000</f>
        <v>580000</v>
      </c>
      <c r="E46" s="3"/>
      <c r="F46" s="3"/>
      <c r="G46" s="3"/>
      <c r="H46" s="3"/>
      <c r="I46" s="20"/>
      <c r="J46" s="20">
        <f t="shared" si="6"/>
        <v>580000</v>
      </c>
      <c r="K46" s="112">
        <v>111229</v>
      </c>
      <c r="L46" s="3">
        <f t="shared" si="7"/>
        <v>468771</v>
      </c>
    </row>
    <row r="47" spans="1:12" x14ac:dyDescent="0.25">
      <c r="A47" s="258"/>
      <c r="B47" s="253"/>
      <c r="C47" s="2" t="s">
        <v>43</v>
      </c>
      <c r="D47" s="3">
        <v>30000</v>
      </c>
      <c r="E47" s="3"/>
      <c r="F47" s="3"/>
      <c r="G47" s="3"/>
      <c r="H47" s="3"/>
      <c r="I47" s="20"/>
      <c r="J47" s="20">
        <f t="shared" si="6"/>
        <v>30000</v>
      </c>
      <c r="K47" s="112">
        <v>0</v>
      </c>
      <c r="L47" s="3">
        <f t="shared" si="7"/>
        <v>30000</v>
      </c>
    </row>
    <row r="48" spans="1:12" x14ac:dyDescent="0.25">
      <c r="A48" s="258"/>
      <c r="B48" s="253"/>
      <c r="C48" s="2" t="s">
        <v>44</v>
      </c>
      <c r="D48" s="3">
        <v>457189</v>
      </c>
      <c r="E48" s="3"/>
      <c r="F48" s="3">
        <v>217701</v>
      </c>
      <c r="G48" s="3"/>
      <c r="H48" s="3"/>
      <c r="I48" s="20"/>
      <c r="J48" s="20">
        <f t="shared" si="6"/>
        <v>674890</v>
      </c>
      <c r="K48" s="112">
        <v>105831</v>
      </c>
      <c r="L48" s="3">
        <f t="shared" si="7"/>
        <v>569059</v>
      </c>
    </row>
    <row r="49" spans="1:12" x14ac:dyDescent="0.25">
      <c r="A49" s="258"/>
      <c r="B49" s="253"/>
      <c r="C49" s="2" t="s">
        <v>45</v>
      </c>
      <c r="D49" s="3">
        <v>85000</v>
      </c>
      <c r="E49" s="3"/>
      <c r="F49" s="3"/>
      <c r="G49" s="3"/>
      <c r="H49" s="3"/>
      <c r="I49" s="20"/>
      <c r="J49" s="20">
        <f t="shared" si="6"/>
        <v>85000</v>
      </c>
      <c r="K49" s="112">
        <v>16832</v>
      </c>
      <c r="L49" s="3">
        <f t="shared" si="7"/>
        <v>68168</v>
      </c>
    </row>
    <row r="50" spans="1:12" x14ac:dyDescent="0.25">
      <c r="A50" s="258"/>
      <c r="B50" s="253"/>
      <c r="C50" s="6" t="s">
        <v>49</v>
      </c>
      <c r="D50" s="7">
        <f>SUM(D36:D49)</f>
        <v>4036541</v>
      </c>
      <c r="E50" s="7">
        <f t="shared" ref="E50:L50" si="8">SUM(E36:E49)</f>
        <v>-50000</v>
      </c>
      <c r="F50" s="7">
        <f t="shared" si="8"/>
        <v>1024000</v>
      </c>
      <c r="G50" s="7">
        <f t="shared" si="8"/>
        <v>0</v>
      </c>
      <c r="H50" s="7">
        <f t="shared" si="8"/>
        <v>0</v>
      </c>
      <c r="I50" s="7">
        <f t="shared" si="8"/>
        <v>0</v>
      </c>
      <c r="J50" s="7">
        <f t="shared" si="8"/>
        <v>5010541</v>
      </c>
      <c r="K50" s="114">
        <f t="shared" si="8"/>
        <v>1536770</v>
      </c>
      <c r="L50" s="7">
        <f t="shared" si="8"/>
        <v>3473771</v>
      </c>
    </row>
    <row r="51" spans="1:12" x14ac:dyDescent="0.25">
      <c r="A51" s="258"/>
      <c r="B51" s="253"/>
      <c r="C51" s="2" t="s">
        <v>50</v>
      </c>
      <c r="D51" s="3">
        <v>78740</v>
      </c>
      <c r="E51" s="3"/>
      <c r="F51" s="3"/>
      <c r="G51" s="3"/>
      <c r="H51" s="3"/>
      <c r="I51" s="20"/>
      <c r="J51" s="20">
        <f>SUM(D51:I51)</f>
        <v>78740</v>
      </c>
      <c r="K51" s="112">
        <v>0</v>
      </c>
      <c r="L51" s="3">
        <f t="shared" ref="L51:L52" si="9">J51-K51</f>
        <v>78740</v>
      </c>
    </row>
    <row r="52" spans="1:12" x14ac:dyDescent="0.25">
      <c r="A52" s="258"/>
      <c r="B52" s="253"/>
      <c r="C52" s="2" t="s">
        <v>51</v>
      </c>
      <c r="D52" s="3">
        <v>21260</v>
      </c>
      <c r="E52" s="3"/>
      <c r="F52" s="3"/>
      <c r="G52" s="3"/>
      <c r="H52" s="3"/>
      <c r="I52" s="20"/>
      <c r="J52" s="20">
        <f>SUM(D52:I52)</f>
        <v>21260</v>
      </c>
      <c r="K52" s="112">
        <v>0</v>
      </c>
      <c r="L52" s="3">
        <f t="shared" si="9"/>
        <v>21260</v>
      </c>
    </row>
    <row r="53" spans="1:12" x14ac:dyDescent="0.25">
      <c r="A53" s="258"/>
      <c r="B53" s="254"/>
      <c r="C53" s="6" t="s">
        <v>52</v>
      </c>
      <c r="D53" s="7">
        <f>SUM(D51:D52)</f>
        <v>100000</v>
      </c>
      <c r="E53" s="7">
        <f t="shared" ref="E53:L53" si="10">SUM(E51:E52)</f>
        <v>0</v>
      </c>
      <c r="F53" s="7">
        <f t="shared" si="10"/>
        <v>0</v>
      </c>
      <c r="G53" s="7">
        <f t="shared" si="10"/>
        <v>0</v>
      </c>
      <c r="H53" s="7">
        <f t="shared" si="10"/>
        <v>0</v>
      </c>
      <c r="I53" s="7">
        <f t="shared" si="10"/>
        <v>0</v>
      </c>
      <c r="J53" s="7">
        <f t="shared" si="10"/>
        <v>100000</v>
      </c>
      <c r="K53" s="114">
        <f t="shared" si="10"/>
        <v>0</v>
      </c>
      <c r="L53" s="7">
        <f t="shared" si="10"/>
        <v>100000</v>
      </c>
    </row>
    <row r="54" spans="1:12" x14ac:dyDescent="0.25">
      <c r="A54" s="258"/>
      <c r="B54" s="268" t="s">
        <v>46</v>
      </c>
      <c r="C54" s="2" t="s">
        <v>24</v>
      </c>
      <c r="D54" s="3">
        <f>34282952-8079552</f>
        <v>26203400</v>
      </c>
      <c r="E54" s="3">
        <v>-30000</v>
      </c>
      <c r="F54" s="3"/>
      <c r="G54" s="3"/>
      <c r="H54" s="3"/>
      <c r="I54" s="20"/>
      <c r="J54" s="20">
        <f t="shared" ref="J54:J62" si="11">SUM(D54:I54)</f>
        <v>26173400</v>
      </c>
      <c r="K54" s="112">
        <v>14305842</v>
      </c>
      <c r="L54" s="3">
        <f t="shared" ref="L54:L62" si="12">J54-K54</f>
        <v>11867558</v>
      </c>
    </row>
    <row r="55" spans="1:12" x14ac:dyDescent="0.25">
      <c r="A55" s="258"/>
      <c r="B55" s="268"/>
      <c r="C55" s="2" t="s">
        <v>47</v>
      </c>
      <c r="D55" s="3">
        <v>2250000</v>
      </c>
      <c r="E55" s="3"/>
      <c r="F55" s="3"/>
      <c r="G55" s="3"/>
      <c r="H55" s="3"/>
      <c r="I55" s="20"/>
      <c r="J55" s="20">
        <f t="shared" si="11"/>
        <v>2250000</v>
      </c>
      <c r="K55" s="112">
        <v>1306020</v>
      </c>
      <c r="L55" s="3">
        <f t="shared" si="12"/>
        <v>943980</v>
      </c>
    </row>
    <row r="56" spans="1:12" x14ac:dyDescent="0.25">
      <c r="A56" s="258"/>
      <c r="B56" s="268"/>
      <c r="C56" s="2" t="s">
        <v>48</v>
      </c>
      <c r="D56" s="3">
        <v>1084500</v>
      </c>
      <c r="E56" s="3"/>
      <c r="F56" s="3"/>
      <c r="G56" s="3"/>
      <c r="H56" s="3"/>
      <c r="I56" s="20"/>
      <c r="J56" s="20">
        <f t="shared" si="11"/>
        <v>1084500</v>
      </c>
      <c r="K56" s="112">
        <v>1084265</v>
      </c>
      <c r="L56" s="3">
        <f t="shared" si="12"/>
        <v>235</v>
      </c>
    </row>
    <row r="57" spans="1:12" x14ac:dyDescent="0.25">
      <c r="A57" s="258"/>
      <c r="B57" s="268"/>
      <c r="C57" s="2" t="s">
        <v>25</v>
      </c>
      <c r="D57" s="3">
        <v>900000</v>
      </c>
      <c r="E57" s="3"/>
      <c r="F57" s="3"/>
      <c r="G57" s="3"/>
      <c r="H57" s="3"/>
      <c r="I57" s="20"/>
      <c r="J57" s="20">
        <f t="shared" si="11"/>
        <v>900000</v>
      </c>
      <c r="K57" s="112">
        <v>689182</v>
      </c>
      <c r="L57" s="3">
        <f t="shared" si="12"/>
        <v>210818</v>
      </c>
    </row>
    <row r="58" spans="1:12" x14ac:dyDescent="0.25">
      <c r="A58" s="258"/>
      <c r="B58" s="268"/>
      <c r="C58" s="2" t="s">
        <v>26</v>
      </c>
      <c r="D58" s="3">
        <v>66750</v>
      </c>
      <c r="E58" s="3"/>
      <c r="F58" s="3"/>
      <c r="G58" s="3"/>
      <c r="H58" s="3"/>
      <c r="I58" s="20"/>
      <c r="J58" s="20">
        <f t="shared" si="11"/>
        <v>66750</v>
      </c>
      <c r="K58" s="112">
        <v>0</v>
      </c>
      <c r="L58" s="3">
        <f t="shared" si="12"/>
        <v>66750</v>
      </c>
    </row>
    <row r="59" spans="1:12" x14ac:dyDescent="0.25">
      <c r="A59" s="258"/>
      <c r="B59" s="268"/>
      <c r="C59" s="2" t="s">
        <v>27</v>
      </c>
      <c r="D59" s="3">
        <v>118800</v>
      </c>
      <c r="E59" s="3"/>
      <c r="F59" s="3"/>
      <c r="G59" s="3"/>
      <c r="H59" s="3"/>
      <c r="I59" s="20"/>
      <c r="J59" s="20">
        <f t="shared" si="11"/>
        <v>118800</v>
      </c>
      <c r="K59" s="112">
        <v>99160</v>
      </c>
      <c r="L59" s="60">
        <f t="shared" si="12"/>
        <v>19640</v>
      </c>
    </row>
    <row r="60" spans="1:12" x14ac:dyDescent="0.25">
      <c r="A60" s="258"/>
      <c r="B60" s="268"/>
      <c r="C60" s="2" t="s">
        <v>28</v>
      </c>
      <c r="D60" s="3">
        <v>120000</v>
      </c>
      <c r="E60" s="3"/>
      <c r="F60" s="3"/>
      <c r="G60" s="3"/>
      <c r="H60" s="3"/>
      <c r="I60" s="20"/>
      <c r="J60" s="20">
        <f t="shared" si="11"/>
        <v>120000</v>
      </c>
      <c r="K60" s="112">
        <v>48000</v>
      </c>
      <c r="L60" s="3">
        <f t="shared" si="12"/>
        <v>72000</v>
      </c>
    </row>
    <row r="61" spans="1:12" x14ac:dyDescent="0.25">
      <c r="A61" s="258"/>
      <c r="B61" s="268"/>
      <c r="C61" s="2" t="s">
        <v>29</v>
      </c>
      <c r="D61" s="3">
        <f>995900-316900</f>
        <v>679000</v>
      </c>
      <c r="E61" s="3">
        <v>30000</v>
      </c>
      <c r="F61" s="3"/>
      <c r="G61" s="3"/>
      <c r="H61" s="3"/>
      <c r="I61" s="20"/>
      <c r="J61" s="20">
        <f t="shared" si="11"/>
        <v>709000</v>
      </c>
      <c r="K61" s="112">
        <v>335593</v>
      </c>
      <c r="L61" s="60">
        <f t="shared" si="12"/>
        <v>373407</v>
      </c>
    </row>
    <row r="62" spans="1:12" x14ac:dyDescent="0.25">
      <c r="A62" s="258"/>
      <c r="B62" s="268"/>
      <c r="C62" s="2" t="s">
        <v>30</v>
      </c>
      <c r="D62" s="3">
        <v>100000</v>
      </c>
      <c r="E62" s="3"/>
      <c r="F62" s="3"/>
      <c r="G62" s="3"/>
      <c r="H62" s="3"/>
      <c r="I62" s="20"/>
      <c r="J62" s="20">
        <f t="shared" si="11"/>
        <v>100000</v>
      </c>
      <c r="K62" s="112">
        <v>750</v>
      </c>
      <c r="L62" s="3">
        <f t="shared" si="12"/>
        <v>99250</v>
      </c>
    </row>
    <row r="63" spans="1:12" x14ac:dyDescent="0.25">
      <c r="A63" s="258"/>
      <c r="B63" s="268"/>
      <c r="C63" s="6" t="s">
        <v>53</v>
      </c>
      <c r="D63" s="7">
        <f>SUM(D54:D62)</f>
        <v>31522450</v>
      </c>
      <c r="E63" s="7">
        <f t="shared" ref="E63:L63" si="13">SUM(E54:E62)</f>
        <v>0</v>
      </c>
      <c r="F63" s="7">
        <f t="shared" si="13"/>
        <v>0</v>
      </c>
      <c r="G63" s="7">
        <f t="shared" si="13"/>
        <v>0</v>
      </c>
      <c r="H63" s="7">
        <f t="shared" si="13"/>
        <v>0</v>
      </c>
      <c r="I63" s="7">
        <f t="shared" si="13"/>
        <v>0</v>
      </c>
      <c r="J63" s="7">
        <f t="shared" si="13"/>
        <v>31522450</v>
      </c>
      <c r="K63" s="114">
        <f t="shared" si="13"/>
        <v>17868812</v>
      </c>
      <c r="L63" s="7">
        <f t="shared" si="13"/>
        <v>13653638</v>
      </c>
    </row>
    <row r="64" spans="1:12" x14ac:dyDescent="0.25">
      <c r="A64" s="258"/>
      <c r="B64" s="268"/>
      <c r="C64" s="86" t="s">
        <v>31</v>
      </c>
      <c r="D64" s="87">
        <f>7371146-1413922-55458</f>
        <v>5901766</v>
      </c>
      <c r="E64" s="87"/>
      <c r="F64" s="87"/>
      <c r="G64" s="87"/>
      <c r="H64" s="87"/>
      <c r="I64" s="201"/>
      <c r="J64" s="88">
        <f t="shared" ref="J64:J77" si="14">SUM(D64:I64)</f>
        <v>5901766</v>
      </c>
      <c r="K64" s="115">
        <v>3069696</v>
      </c>
      <c r="L64" s="89">
        <f t="shared" ref="L64:L77" si="15">J64-K64</f>
        <v>2832070</v>
      </c>
    </row>
    <row r="65" spans="1:12" x14ac:dyDescent="0.25">
      <c r="A65" s="258"/>
      <c r="B65" s="268"/>
      <c r="C65" s="2" t="s">
        <v>32</v>
      </c>
      <c r="D65" s="3">
        <v>107000</v>
      </c>
      <c r="E65" s="3"/>
      <c r="F65" s="3"/>
      <c r="G65" s="3"/>
      <c r="H65" s="3"/>
      <c r="I65" s="20"/>
      <c r="J65" s="20">
        <f t="shared" si="14"/>
        <v>107000</v>
      </c>
      <c r="K65" s="112">
        <v>0</v>
      </c>
      <c r="L65" s="3">
        <f t="shared" si="15"/>
        <v>107000</v>
      </c>
    </row>
    <row r="66" spans="1:12" x14ac:dyDescent="0.25">
      <c r="A66" s="258"/>
      <c r="B66" s="268"/>
      <c r="C66" s="2" t="s">
        <v>33</v>
      </c>
      <c r="D66" s="3">
        <v>500000</v>
      </c>
      <c r="E66" s="3"/>
      <c r="F66" s="3"/>
      <c r="G66" s="3"/>
      <c r="H66" s="3"/>
      <c r="I66" s="20"/>
      <c r="J66" s="20">
        <f t="shared" si="14"/>
        <v>500000</v>
      </c>
      <c r="K66" s="112">
        <v>12843</v>
      </c>
      <c r="L66" s="3">
        <f t="shared" si="15"/>
        <v>487157</v>
      </c>
    </row>
    <row r="67" spans="1:12" x14ac:dyDescent="0.25">
      <c r="A67" s="258"/>
      <c r="B67" s="268"/>
      <c r="C67" s="2" t="s">
        <v>34</v>
      </c>
      <c r="D67" s="3">
        <v>201600</v>
      </c>
      <c r="E67" s="3"/>
      <c r="F67" s="3"/>
      <c r="G67" s="3"/>
      <c r="H67" s="3"/>
      <c r="I67" s="20"/>
      <c r="J67" s="20">
        <f t="shared" si="14"/>
        <v>201600</v>
      </c>
      <c r="K67" s="112">
        <v>59517</v>
      </c>
      <c r="L67" s="3">
        <f t="shared" si="15"/>
        <v>142083</v>
      </c>
    </row>
    <row r="68" spans="1:12" x14ac:dyDescent="0.25">
      <c r="A68" s="258"/>
      <c r="B68" s="268"/>
      <c r="C68" s="2" t="s">
        <v>35</v>
      </c>
      <c r="D68" s="3">
        <v>150000</v>
      </c>
      <c r="E68" s="3"/>
      <c r="F68" s="3"/>
      <c r="G68" s="3"/>
      <c r="H68" s="3"/>
      <c r="I68" s="20"/>
      <c r="J68" s="20">
        <f t="shared" si="14"/>
        <v>150000</v>
      </c>
      <c r="K68" s="112">
        <v>82157</v>
      </c>
      <c r="L68" s="3">
        <f t="shared" si="15"/>
        <v>67843</v>
      </c>
    </row>
    <row r="69" spans="1:12" x14ac:dyDescent="0.25">
      <c r="A69" s="258"/>
      <c r="B69" s="268"/>
      <c r="C69" s="2" t="s">
        <v>36</v>
      </c>
      <c r="D69" s="3">
        <v>870000</v>
      </c>
      <c r="E69" s="3"/>
      <c r="F69" s="3"/>
      <c r="G69" s="3"/>
      <c r="H69" s="3"/>
      <c r="I69" s="20"/>
      <c r="J69" s="20">
        <f t="shared" si="14"/>
        <v>870000</v>
      </c>
      <c r="K69" s="112">
        <v>480590</v>
      </c>
      <c r="L69" s="3">
        <f t="shared" si="15"/>
        <v>389410</v>
      </c>
    </row>
    <row r="70" spans="1:12" x14ac:dyDescent="0.25">
      <c r="A70" s="258"/>
      <c r="B70" s="268"/>
      <c r="C70" s="2" t="s">
        <v>37</v>
      </c>
      <c r="D70" s="3">
        <v>140000</v>
      </c>
      <c r="E70" s="3"/>
      <c r="F70" s="3"/>
      <c r="G70" s="3"/>
      <c r="H70" s="3"/>
      <c r="I70" s="20"/>
      <c r="J70" s="20">
        <f t="shared" si="14"/>
        <v>140000</v>
      </c>
      <c r="K70" s="112">
        <v>0</v>
      </c>
      <c r="L70" s="3">
        <f t="shared" si="15"/>
        <v>140000</v>
      </c>
    </row>
    <row r="71" spans="1:12" x14ac:dyDescent="0.25">
      <c r="A71" s="258"/>
      <c r="B71" s="268"/>
      <c r="C71" s="2" t="s">
        <v>38</v>
      </c>
      <c r="D71" s="3">
        <v>467000</v>
      </c>
      <c r="E71" s="3">
        <f>-10000-4000</f>
        <v>-14000</v>
      </c>
      <c r="F71" s="3"/>
      <c r="G71" s="3"/>
      <c r="H71" s="3"/>
      <c r="I71" s="20"/>
      <c r="J71" s="20">
        <f t="shared" si="14"/>
        <v>453000</v>
      </c>
      <c r="K71" s="112">
        <v>148024</v>
      </c>
      <c r="L71" s="3">
        <f t="shared" si="15"/>
        <v>304976</v>
      </c>
    </row>
    <row r="72" spans="1:12" x14ac:dyDescent="0.25">
      <c r="A72" s="258"/>
      <c r="B72" s="268"/>
      <c r="C72" s="2" t="s">
        <v>40</v>
      </c>
      <c r="D72" s="3">
        <v>2501940</v>
      </c>
      <c r="E72" s="3"/>
      <c r="F72" s="3"/>
      <c r="G72" s="3"/>
      <c r="H72" s="3"/>
      <c r="I72" s="20"/>
      <c r="J72" s="20">
        <f t="shared" si="14"/>
        <v>2501940</v>
      </c>
      <c r="K72" s="112">
        <v>1023210</v>
      </c>
      <c r="L72" s="3">
        <f t="shared" si="15"/>
        <v>1478730</v>
      </c>
    </row>
    <row r="73" spans="1:12" x14ac:dyDescent="0.25">
      <c r="A73" s="258"/>
      <c r="B73" s="268"/>
      <c r="C73" s="2" t="s">
        <v>41</v>
      </c>
      <c r="D73" s="3">
        <v>1025890</v>
      </c>
      <c r="E73" s="3"/>
      <c r="F73" s="3">
        <v>1625984</v>
      </c>
      <c r="G73" s="3"/>
      <c r="H73" s="3"/>
      <c r="I73" s="20"/>
      <c r="J73" s="20">
        <f t="shared" si="14"/>
        <v>2651874</v>
      </c>
      <c r="K73" s="112">
        <v>483383</v>
      </c>
      <c r="L73" s="3">
        <f t="shared" si="15"/>
        <v>2168491</v>
      </c>
    </row>
    <row r="74" spans="1:12" x14ac:dyDescent="0.25">
      <c r="A74" s="258"/>
      <c r="B74" s="268"/>
      <c r="C74" s="2" t="s">
        <v>42</v>
      </c>
      <c r="D74" s="3">
        <v>520000</v>
      </c>
      <c r="E74" s="3"/>
      <c r="F74" s="3"/>
      <c r="G74" s="3"/>
      <c r="H74" s="3"/>
      <c r="I74" s="20"/>
      <c r="J74" s="20">
        <f t="shared" si="14"/>
        <v>520000</v>
      </c>
      <c r="K74" s="112">
        <v>84760</v>
      </c>
      <c r="L74" s="3">
        <f t="shared" si="15"/>
        <v>435240</v>
      </c>
    </row>
    <row r="75" spans="1:12" x14ac:dyDescent="0.25">
      <c r="A75" s="258"/>
      <c r="B75" s="268"/>
      <c r="C75" s="2" t="s">
        <v>43</v>
      </c>
      <c r="D75" s="3">
        <v>30000</v>
      </c>
      <c r="E75" s="3"/>
      <c r="F75" s="3"/>
      <c r="G75" s="3"/>
      <c r="H75" s="3"/>
      <c r="I75" s="20"/>
      <c r="J75" s="20">
        <f t="shared" si="14"/>
        <v>30000</v>
      </c>
      <c r="K75" s="112">
        <v>0</v>
      </c>
      <c r="L75" s="3">
        <f t="shared" si="15"/>
        <v>30000</v>
      </c>
    </row>
    <row r="76" spans="1:12" x14ac:dyDescent="0.25">
      <c r="A76" s="258"/>
      <c r="B76" s="268"/>
      <c r="C76" s="2" t="s">
        <v>44</v>
      </c>
      <c r="D76" s="3">
        <v>955854</v>
      </c>
      <c r="E76" s="3">
        <v>-1080</v>
      </c>
      <c r="F76" s="3">
        <v>439016</v>
      </c>
      <c r="G76" s="3"/>
      <c r="H76" s="3"/>
      <c r="I76" s="20"/>
      <c r="J76" s="20">
        <f t="shared" si="14"/>
        <v>1393790</v>
      </c>
      <c r="K76" s="112">
        <v>194176</v>
      </c>
      <c r="L76" s="3">
        <f t="shared" si="15"/>
        <v>1199614</v>
      </c>
    </row>
    <row r="77" spans="1:12" x14ac:dyDescent="0.25">
      <c r="A77" s="258"/>
      <c r="B77" s="268"/>
      <c r="C77" s="2" t="s">
        <v>45</v>
      </c>
      <c r="D77" s="3">
        <v>5000</v>
      </c>
      <c r="E77" s="3"/>
      <c r="F77" s="3"/>
      <c r="G77" s="3"/>
      <c r="H77" s="3"/>
      <c r="I77" s="20"/>
      <c r="J77" s="20">
        <f t="shared" si="14"/>
        <v>5000</v>
      </c>
      <c r="K77" s="222">
        <v>2181</v>
      </c>
      <c r="L77" s="3">
        <f t="shared" si="15"/>
        <v>2819</v>
      </c>
    </row>
    <row r="78" spans="1:12" x14ac:dyDescent="0.25">
      <c r="A78" s="258"/>
      <c r="B78" s="268"/>
      <c r="C78" s="6" t="s">
        <v>49</v>
      </c>
      <c r="D78" s="7">
        <f>SUM(D65:D77)</f>
        <v>7474284</v>
      </c>
      <c r="E78" s="7">
        <f t="shared" ref="E78:L78" si="16">SUM(E65:E77)</f>
        <v>-15080</v>
      </c>
      <c r="F78" s="7">
        <f t="shared" si="16"/>
        <v>2065000</v>
      </c>
      <c r="G78" s="7">
        <f t="shared" si="16"/>
        <v>0</v>
      </c>
      <c r="H78" s="7">
        <f t="shared" si="16"/>
        <v>0</v>
      </c>
      <c r="I78" s="7">
        <f t="shared" si="16"/>
        <v>0</v>
      </c>
      <c r="J78" s="7">
        <f t="shared" si="16"/>
        <v>9524204</v>
      </c>
      <c r="K78" s="114">
        <f t="shared" si="16"/>
        <v>2570841</v>
      </c>
      <c r="L78" s="7">
        <f t="shared" si="16"/>
        <v>6953363</v>
      </c>
    </row>
    <row r="79" spans="1:12" x14ac:dyDescent="0.25">
      <c r="A79" s="258"/>
      <c r="B79" s="268"/>
      <c r="C79" s="2" t="s">
        <v>50</v>
      </c>
      <c r="D79" s="3">
        <v>78740</v>
      </c>
      <c r="E79" s="3"/>
      <c r="F79" s="3"/>
      <c r="G79" s="3"/>
      <c r="H79" s="3"/>
      <c r="I79" s="20"/>
      <c r="J79" s="20">
        <f>SUM(D79:I79)</f>
        <v>78740</v>
      </c>
      <c r="K79" s="112">
        <v>0</v>
      </c>
      <c r="L79" s="3">
        <f t="shared" ref="L79:L80" si="17">J79-K79</f>
        <v>78740</v>
      </c>
    </row>
    <row r="80" spans="1:12" x14ac:dyDescent="0.25">
      <c r="A80" s="258"/>
      <c r="B80" s="268"/>
      <c r="C80" s="2" t="s">
        <v>51</v>
      </c>
      <c r="D80" s="3">
        <v>21260</v>
      </c>
      <c r="E80" s="3"/>
      <c r="F80" s="3"/>
      <c r="G80" s="3"/>
      <c r="H80" s="3"/>
      <c r="I80" s="20"/>
      <c r="J80" s="20">
        <f>SUM(D80:I80)</f>
        <v>21260</v>
      </c>
      <c r="K80" s="112">
        <v>0</v>
      </c>
      <c r="L80" s="3">
        <f t="shared" si="17"/>
        <v>21260</v>
      </c>
    </row>
    <row r="81" spans="1:12" x14ac:dyDescent="0.25">
      <c r="A81" s="258"/>
      <c r="B81" s="268"/>
      <c r="C81" s="6" t="s">
        <v>52</v>
      </c>
      <c r="D81" s="7">
        <f>SUM(D79:D80)</f>
        <v>100000</v>
      </c>
      <c r="E81" s="7">
        <f t="shared" ref="E81:L81" si="18">SUM(E79:E80)</f>
        <v>0</v>
      </c>
      <c r="F81" s="7">
        <f t="shared" si="18"/>
        <v>0</v>
      </c>
      <c r="G81" s="7">
        <f t="shared" si="18"/>
        <v>0</v>
      </c>
      <c r="H81" s="7">
        <f t="shared" si="18"/>
        <v>0</v>
      </c>
      <c r="I81" s="7">
        <f t="shared" si="18"/>
        <v>0</v>
      </c>
      <c r="J81" s="7">
        <f t="shared" si="18"/>
        <v>100000</v>
      </c>
      <c r="K81" s="114">
        <f t="shared" si="18"/>
        <v>0</v>
      </c>
      <c r="L81" s="7">
        <f t="shared" si="18"/>
        <v>100000</v>
      </c>
    </row>
    <row r="82" spans="1:12" x14ac:dyDescent="0.25">
      <c r="A82" s="259" t="s">
        <v>58</v>
      </c>
      <c r="B82" s="261" t="s">
        <v>46</v>
      </c>
      <c r="C82" s="15" t="s">
        <v>29</v>
      </c>
      <c r="D82" s="24">
        <v>316900</v>
      </c>
      <c r="E82" s="11"/>
      <c r="F82" s="197"/>
      <c r="G82" s="197"/>
      <c r="H82" s="11"/>
      <c r="I82" s="211"/>
      <c r="J82" s="20">
        <f t="shared" ref="J82:J89" si="19">SUM(D82:I82)</f>
        <v>316900</v>
      </c>
      <c r="K82" s="112">
        <v>88400</v>
      </c>
      <c r="L82" s="3">
        <f t="shared" ref="L82:L89" si="20">J82-K82</f>
        <v>228500</v>
      </c>
    </row>
    <row r="83" spans="1:12" x14ac:dyDescent="0.25">
      <c r="A83" s="260"/>
      <c r="B83" s="262"/>
      <c r="C83" s="15" t="s">
        <v>31</v>
      </c>
      <c r="D83" s="24">
        <v>55458</v>
      </c>
      <c r="E83" s="11"/>
      <c r="F83" s="197"/>
      <c r="G83" s="197"/>
      <c r="H83" s="11"/>
      <c r="I83" s="211"/>
      <c r="J83" s="20">
        <f t="shared" si="19"/>
        <v>55458</v>
      </c>
      <c r="K83" s="112">
        <v>15345</v>
      </c>
      <c r="L83" s="3">
        <f t="shared" si="20"/>
        <v>40113</v>
      </c>
    </row>
    <row r="84" spans="1:12" x14ac:dyDescent="0.25">
      <c r="A84" s="259" t="s">
        <v>59</v>
      </c>
      <c r="B84" s="261" t="s">
        <v>23</v>
      </c>
      <c r="C84" s="15" t="s">
        <v>29</v>
      </c>
      <c r="D84" s="24">
        <v>318000</v>
      </c>
      <c r="E84" s="11"/>
      <c r="F84" s="197"/>
      <c r="G84" s="197"/>
      <c r="H84" s="11"/>
      <c r="I84" s="211"/>
      <c r="J84" s="20">
        <f t="shared" si="19"/>
        <v>318000</v>
      </c>
      <c r="K84" s="112">
        <v>110500</v>
      </c>
      <c r="L84" s="3">
        <f t="shared" si="20"/>
        <v>207500</v>
      </c>
    </row>
    <row r="85" spans="1:12" x14ac:dyDescent="0.25">
      <c r="A85" s="260"/>
      <c r="B85" s="262"/>
      <c r="C85" s="15" t="s">
        <v>31</v>
      </c>
      <c r="D85" s="24">
        <v>55650</v>
      </c>
      <c r="E85" s="11"/>
      <c r="F85" s="197"/>
      <c r="G85" s="197"/>
      <c r="H85" s="11"/>
      <c r="I85" s="211"/>
      <c r="J85" s="20">
        <f t="shared" si="19"/>
        <v>55650</v>
      </c>
      <c r="K85" s="112">
        <v>19097</v>
      </c>
      <c r="L85" s="3">
        <f t="shared" si="20"/>
        <v>36553</v>
      </c>
    </row>
    <row r="86" spans="1:12" x14ac:dyDescent="0.25">
      <c r="A86" s="259" t="s">
        <v>60</v>
      </c>
      <c r="B86" s="261" t="s">
        <v>23</v>
      </c>
      <c r="C86" s="15" t="s">
        <v>24</v>
      </c>
      <c r="D86" s="24">
        <v>13943753</v>
      </c>
      <c r="E86" s="11"/>
      <c r="F86" s="197"/>
      <c r="G86" s="197"/>
      <c r="H86" s="11"/>
      <c r="I86" s="211"/>
      <c r="J86" s="20">
        <f t="shared" si="19"/>
        <v>13943753</v>
      </c>
      <c r="K86" s="112">
        <v>8803635</v>
      </c>
      <c r="L86" s="3">
        <f t="shared" si="20"/>
        <v>5140118</v>
      </c>
    </row>
    <row r="87" spans="1:12" x14ac:dyDescent="0.25">
      <c r="A87" s="260"/>
      <c r="B87" s="262"/>
      <c r="C87" s="15" t="s">
        <v>31</v>
      </c>
      <c r="D87" s="24">
        <v>2413877</v>
      </c>
      <c r="E87" s="11"/>
      <c r="F87" s="197"/>
      <c r="G87" s="197"/>
      <c r="H87" s="11"/>
      <c r="I87" s="211"/>
      <c r="J87" s="20">
        <f t="shared" si="19"/>
        <v>2413877</v>
      </c>
      <c r="K87" s="112">
        <v>1517693</v>
      </c>
      <c r="L87" s="3">
        <f t="shared" si="20"/>
        <v>896184</v>
      </c>
    </row>
    <row r="88" spans="1:12" x14ac:dyDescent="0.25">
      <c r="A88" s="259" t="s">
        <v>61</v>
      </c>
      <c r="B88" s="261" t="s">
        <v>46</v>
      </c>
      <c r="C88" s="15" t="s">
        <v>24</v>
      </c>
      <c r="D88" s="24">
        <v>9243440</v>
      </c>
      <c r="E88" s="11"/>
      <c r="F88" s="197"/>
      <c r="G88" s="197"/>
      <c r="H88" s="11"/>
      <c r="I88" s="211"/>
      <c r="J88" s="20">
        <f t="shared" si="19"/>
        <v>9243440</v>
      </c>
      <c r="K88" s="222">
        <v>6431457</v>
      </c>
      <c r="L88" s="3">
        <f t="shared" si="20"/>
        <v>2811983</v>
      </c>
    </row>
    <row r="89" spans="1:12" x14ac:dyDescent="0.25">
      <c r="A89" s="260"/>
      <c r="B89" s="262"/>
      <c r="C89" s="15" t="s">
        <v>31</v>
      </c>
      <c r="D89" s="24">
        <v>1607022</v>
      </c>
      <c r="E89" s="11"/>
      <c r="F89" s="197"/>
      <c r="G89" s="197"/>
      <c r="H89" s="11"/>
      <c r="I89" s="211"/>
      <c r="J89" s="20">
        <f t="shared" si="19"/>
        <v>1607022</v>
      </c>
      <c r="K89" s="222">
        <v>1106197</v>
      </c>
      <c r="L89" s="3">
        <f t="shared" si="20"/>
        <v>500825</v>
      </c>
    </row>
    <row r="90" spans="1:12" x14ac:dyDescent="0.25">
      <c r="A90" s="430" t="s">
        <v>76</v>
      </c>
      <c r="B90" s="431"/>
      <c r="C90" s="432"/>
      <c r="D90" s="232">
        <f t="shared" ref="D90:L90" si="21">SUM(D34+D35+D50+D53+D63+D64+D78+D81+D82+D83+D84+D85+D86+D87+D88+D89)</f>
        <v>126053092</v>
      </c>
      <c r="E90" s="232">
        <f t="shared" si="21"/>
        <v>-316304</v>
      </c>
      <c r="F90" s="232">
        <f t="shared" si="21"/>
        <v>3089000</v>
      </c>
      <c r="G90" s="232">
        <f t="shared" si="21"/>
        <v>0</v>
      </c>
      <c r="H90" s="232">
        <f t="shared" si="21"/>
        <v>0</v>
      </c>
      <c r="I90" s="232">
        <f t="shared" si="21"/>
        <v>0</v>
      </c>
      <c r="J90" s="232">
        <f t="shared" si="21"/>
        <v>128825788</v>
      </c>
      <c r="K90" s="232">
        <f t="shared" si="21"/>
        <v>71390982</v>
      </c>
      <c r="L90" s="232">
        <f t="shared" si="21"/>
        <v>57434806</v>
      </c>
    </row>
    <row r="91" spans="1:12" x14ac:dyDescent="0.25">
      <c r="A91" s="258" t="s">
        <v>12</v>
      </c>
      <c r="B91" s="268" t="s">
        <v>23</v>
      </c>
      <c r="C91" s="2" t="s">
        <v>24</v>
      </c>
      <c r="D91" s="3">
        <v>5093047</v>
      </c>
      <c r="E91" s="3"/>
      <c r="F91" s="3"/>
      <c r="G91" s="3"/>
      <c r="H91" s="3"/>
      <c r="I91" s="20"/>
      <c r="J91" s="20">
        <f t="shared" ref="J91:J97" si="22">SUM(D91:I91)</f>
        <v>5093047</v>
      </c>
      <c r="K91" s="112">
        <v>3044497</v>
      </c>
      <c r="L91" s="3">
        <f t="shared" ref="L91:L97" si="23">J91-K91</f>
        <v>2048550</v>
      </c>
    </row>
    <row r="92" spans="1:12" x14ac:dyDescent="0.25">
      <c r="A92" s="258"/>
      <c r="B92" s="268"/>
      <c r="C92" s="2" t="s">
        <v>25</v>
      </c>
      <c r="D92" s="3">
        <v>200000</v>
      </c>
      <c r="E92" s="3"/>
      <c r="F92" s="3"/>
      <c r="G92" s="3"/>
      <c r="H92" s="3"/>
      <c r="I92" s="20"/>
      <c r="J92" s="20">
        <f t="shared" si="22"/>
        <v>200000</v>
      </c>
      <c r="K92" s="112">
        <v>193430</v>
      </c>
      <c r="L92" s="3">
        <f t="shared" si="23"/>
        <v>6570</v>
      </c>
    </row>
    <row r="93" spans="1:12" x14ac:dyDescent="0.25">
      <c r="A93" s="258"/>
      <c r="B93" s="268"/>
      <c r="C93" s="2" t="s">
        <v>26</v>
      </c>
      <c r="D93" s="3">
        <v>13350</v>
      </c>
      <c r="E93" s="3"/>
      <c r="F93" s="3"/>
      <c r="G93" s="3"/>
      <c r="H93" s="3"/>
      <c r="I93" s="20"/>
      <c r="J93" s="20">
        <f t="shared" si="22"/>
        <v>13350</v>
      </c>
      <c r="K93" s="112">
        <v>0</v>
      </c>
      <c r="L93" s="3">
        <f t="shared" si="23"/>
        <v>13350</v>
      </c>
    </row>
    <row r="94" spans="1:12" x14ac:dyDescent="0.25">
      <c r="A94" s="258"/>
      <c r="B94" s="268"/>
      <c r="C94" s="2" t="s">
        <v>27</v>
      </c>
      <c r="D94" s="3">
        <v>215000</v>
      </c>
      <c r="E94" s="3"/>
      <c r="F94" s="3"/>
      <c r="G94" s="3"/>
      <c r="H94" s="3"/>
      <c r="I94" s="20"/>
      <c r="J94" s="20">
        <f t="shared" si="22"/>
        <v>215000</v>
      </c>
      <c r="K94" s="112">
        <v>57036</v>
      </c>
      <c r="L94" s="3">
        <f t="shared" si="23"/>
        <v>157964</v>
      </c>
    </row>
    <row r="95" spans="1:12" x14ac:dyDescent="0.25">
      <c r="A95" s="258"/>
      <c r="B95" s="268"/>
      <c r="C95" s="2" t="s">
        <v>28</v>
      </c>
      <c r="D95" s="3">
        <v>24000</v>
      </c>
      <c r="E95" s="3"/>
      <c r="F95" s="3"/>
      <c r="G95" s="3"/>
      <c r="H95" s="3"/>
      <c r="I95" s="20"/>
      <c r="J95" s="20">
        <f t="shared" si="22"/>
        <v>24000</v>
      </c>
      <c r="K95" s="112">
        <v>11000</v>
      </c>
      <c r="L95" s="3">
        <f t="shared" si="23"/>
        <v>13000</v>
      </c>
    </row>
    <row r="96" spans="1:12" x14ac:dyDescent="0.25">
      <c r="A96" s="258"/>
      <c r="B96" s="268"/>
      <c r="C96" s="2" t="s">
        <v>29</v>
      </c>
      <c r="D96" s="3">
        <v>148053</v>
      </c>
      <c r="E96" s="3"/>
      <c r="F96" s="3"/>
      <c r="G96" s="3"/>
      <c r="H96" s="3"/>
      <c r="I96" s="20"/>
      <c r="J96" s="20">
        <f t="shared" si="22"/>
        <v>148053</v>
      </c>
      <c r="K96" s="112">
        <v>73053</v>
      </c>
      <c r="L96" s="3">
        <f t="shared" si="23"/>
        <v>75000</v>
      </c>
    </row>
    <row r="97" spans="1:12" x14ac:dyDescent="0.25">
      <c r="A97" s="258"/>
      <c r="B97" s="268"/>
      <c r="C97" s="2" t="s">
        <v>30</v>
      </c>
      <c r="D97" s="3">
        <v>0</v>
      </c>
      <c r="E97" s="3"/>
      <c r="F97" s="3"/>
      <c r="G97" s="3"/>
      <c r="H97" s="3"/>
      <c r="I97" s="20"/>
      <c r="J97" s="20">
        <f t="shared" si="22"/>
        <v>0</v>
      </c>
      <c r="K97" s="112">
        <v>0</v>
      </c>
      <c r="L97" s="3">
        <f t="shared" si="23"/>
        <v>0</v>
      </c>
    </row>
    <row r="98" spans="1:12" x14ac:dyDescent="0.25">
      <c r="A98" s="258"/>
      <c r="B98" s="268"/>
      <c r="C98" s="6" t="s">
        <v>53</v>
      </c>
      <c r="D98" s="7">
        <f>SUM(D91:D97)</f>
        <v>5693450</v>
      </c>
      <c r="E98" s="7">
        <f t="shared" ref="E98:L98" si="24">SUM(E91:E97)</f>
        <v>0</v>
      </c>
      <c r="F98" s="7">
        <f t="shared" si="24"/>
        <v>0</v>
      </c>
      <c r="G98" s="7">
        <f t="shared" si="24"/>
        <v>0</v>
      </c>
      <c r="H98" s="7">
        <f t="shared" si="24"/>
        <v>0</v>
      </c>
      <c r="I98" s="7">
        <f t="shared" si="24"/>
        <v>0</v>
      </c>
      <c r="J98" s="7">
        <f t="shared" si="24"/>
        <v>5693450</v>
      </c>
      <c r="K98" s="114">
        <f t="shared" si="24"/>
        <v>3379016</v>
      </c>
      <c r="L98" s="7">
        <f t="shared" si="24"/>
        <v>2314434</v>
      </c>
    </row>
    <row r="99" spans="1:12" x14ac:dyDescent="0.25">
      <c r="A99" s="258"/>
      <c r="B99" s="268"/>
      <c r="C99" s="86" t="s">
        <v>31</v>
      </c>
      <c r="D99" s="87">
        <f>1324833-264279-11130</f>
        <v>1049424</v>
      </c>
      <c r="E99" s="87"/>
      <c r="F99" s="87"/>
      <c r="G99" s="87"/>
      <c r="H99" s="87"/>
      <c r="I99" s="201"/>
      <c r="J99" s="88">
        <f t="shared" ref="J99:J109" si="25">SUM(D99:I99)</f>
        <v>1049424</v>
      </c>
      <c r="K99" s="115">
        <v>614117</v>
      </c>
      <c r="L99" s="89">
        <f t="shared" ref="L99:L109" si="26">J99-K99</f>
        <v>435307</v>
      </c>
    </row>
    <row r="100" spans="1:12" x14ac:dyDescent="0.25">
      <c r="A100" s="258"/>
      <c r="B100" s="268"/>
      <c r="C100" s="2" t="s">
        <v>32</v>
      </c>
      <c r="D100" s="3">
        <v>100000</v>
      </c>
      <c r="E100" s="3"/>
      <c r="F100" s="3"/>
      <c r="G100" s="3"/>
      <c r="H100" s="3"/>
      <c r="I100" s="20"/>
      <c r="J100" s="20">
        <f t="shared" si="25"/>
        <v>100000</v>
      </c>
      <c r="K100" s="112">
        <v>0</v>
      </c>
      <c r="L100" s="3">
        <f t="shared" si="26"/>
        <v>100000</v>
      </c>
    </row>
    <row r="101" spans="1:12" x14ac:dyDescent="0.25">
      <c r="A101" s="258"/>
      <c r="B101" s="268"/>
      <c r="C101" s="2" t="s">
        <v>33</v>
      </c>
      <c r="D101" s="3">
        <v>100000</v>
      </c>
      <c r="E101" s="3"/>
      <c r="F101" s="3"/>
      <c r="G101" s="3"/>
      <c r="H101" s="3"/>
      <c r="I101" s="20"/>
      <c r="J101" s="20">
        <f t="shared" si="25"/>
        <v>100000</v>
      </c>
      <c r="K101" s="112">
        <v>0</v>
      </c>
      <c r="L101" s="3">
        <f t="shared" si="26"/>
        <v>100000</v>
      </c>
    </row>
    <row r="102" spans="1:12" x14ac:dyDescent="0.25">
      <c r="A102" s="258"/>
      <c r="B102" s="268"/>
      <c r="C102" s="2" t="s">
        <v>34</v>
      </c>
      <c r="D102" s="3">
        <v>210000</v>
      </c>
      <c r="E102" s="3"/>
      <c r="F102" s="3"/>
      <c r="G102" s="3"/>
      <c r="H102" s="3"/>
      <c r="I102" s="20"/>
      <c r="J102" s="20">
        <f t="shared" si="25"/>
        <v>210000</v>
      </c>
      <c r="K102" s="112">
        <v>0</v>
      </c>
      <c r="L102" s="3">
        <f t="shared" si="26"/>
        <v>210000</v>
      </c>
    </row>
    <row r="103" spans="1:12" x14ac:dyDescent="0.25">
      <c r="A103" s="258"/>
      <c r="B103" s="268"/>
      <c r="C103" s="2" t="s">
        <v>35</v>
      </c>
      <c r="D103" s="3">
        <v>110000</v>
      </c>
      <c r="E103" s="3"/>
      <c r="F103" s="3"/>
      <c r="G103" s="3"/>
      <c r="H103" s="3"/>
      <c r="I103" s="20"/>
      <c r="J103" s="20">
        <f t="shared" si="25"/>
        <v>110000</v>
      </c>
      <c r="K103" s="112">
        <v>0</v>
      </c>
      <c r="L103" s="3">
        <f t="shared" si="26"/>
        <v>110000</v>
      </c>
    </row>
    <row r="104" spans="1:12" x14ac:dyDescent="0.25">
      <c r="A104" s="258"/>
      <c r="B104" s="268"/>
      <c r="C104" s="2" t="s">
        <v>36</v>
      </c>
      <c r="D104" s="3">
        <v>0</v>
      </c>
      <c r="E104" s="3"/>
      <c r="F104" s="3"/>
      <c r="G104" s="3"/>
      <c r="H104" s="3"/>
      <c r="I104" s="20"/>
      <c r="J104" s="20">
        <f t="shared" si="25"/>
        <v>0</v>
      </c>
      <c r="K104" s="112">
        <v>0</v>
      </c>
      <c r="L104" s="3">
        <f t="shared" si="26"/>
        <v>0</v>
      </c>
    </row>
    <row r="105" spans="1:12" x14ac:dyDescent="0.25">
      <c r="A105" s="258"/>
      <c r="B105" s="268"/>
      <c r="C105" s="2" t="s">
        <v>38</v>
      </c>
      <c r="D105" s="3">
        <v>197000</v>
      </c>
      <c r="E105" s="3"/>
      <c r="F105" s="3"/>
      <c r="G105" s="3"/>
      <c r="H105" s="3"/>
      <c r="I105" s="20"/>
      <c r="J105" s="20">
        <f t="shared" si="25"/>
        <v>197000</v>
      </c>
      <c r="K105" s="112">
        <v>2289</v>
      </c>
      <c r="L105" s="3">
        <f t="shared" si="26"/>
        <v>194711</v>
      </c>
    </row>
    <row r="106" spans="1:12" x14ac:dyDescent="0.25">
      <c r="A106" s="258"/>
      <c r="B106" s="268"/>
      <c r="C106" s="2" t="s">
        <v>40</v>
      </c>
      <c r="D106" s="3">
        <v>13600</v>
      </c>
      <c r="E106" s="3"/>
      <c r="F106" s="3"/>
      <c r="G106" s="3"/>
      <c r="H106" s="3"/>
      <c r="I106" s="20"/>
      <c r="J106" s="20">
        <f t="shared" si="25"/>
        <v>13600</v>
      </c>
      <c r="K106" s="112">
        <v>6800</v>
      </c>
      <c r="L106" s="3">
        <f t="shared" si="26"/>
        <v>6800</v>
      </c>
    </row>
    <row r="107" spans="1:12" x14ac:dyDescent="0.25">
      <c r="A107" s="258"/>
      <c r="B107" s="268"/>
      <c r="C107" s="2" t="s">
        <v>41</v>
      </c>
      <c r="D107" s="3">
        <v>96662</v>
      </c>
      <c r="E107" s="3"/>
      <c r="F107" s="3">
        <v>503937</v>
      </c>
      <c r="G107" s="3">
        <v>-69427</v>
      </c>
      <c r="H107" s="3"/>
      <c r="I107" s="20"/>
      <c r="J107" s="20">
        <f t="shared" si="25"/>
        <v>531172</v>
      </c>
      <c r="K107" s="112">
        <v>34840</v>
      </c>
      <c r="L107" s="60">
        <f t="shared" si="26"/>
        <v>496332</v>
      </c>
    </row>
    <row r="108" spans="1:12" x14ac:dyDescent="0.25">
      <c r="A108" s="258"/>
      <c r="B108" s="268"/>
      <c r="C108" s="2" t="s">
        <v>42</v>
      </c>
      <c r="D108" s="3">
        <v>240000</v>
      </c>
      <c r="E108" s="3"/>
      <c r="F108" s="3"/>
      <c r="G108" s="3"/>
      <c r="H108" s="3"/>
      <c r="I108" s="20"/>
      <c r="J108" s="20">
        <f t="shared" si="25"/>
        <v>240000</v>
      </c>
      <c r="K108" s="112">
        <v>42382</v>
      </c>
      <c r="L108" s="3">
        <f t="shared" si="26"/>
        <v>197618</v>
      </c>
    </row>
    <row r="109" spans="1:12" x14ac:dyDescent="0.25">
      <c r="A109" s="258"/>
      <c r="B109" s="268"/>
      <c r="C109" s="2" t="s">
        <v>44</v>
      </c>
      <c r="D109" s="3">
        <v>190990</v>
      </c>
      <c r="E109" s="3"/>
      <c r="F109" s="3">
        <v>136063</v>
      </c>
      <c r="G109" s="3">
        <v>-18745</v>
      </c>
      <c r="H109" s="3"/>
      <c r="I109" s="20"/>
      <c r="J109" s="20">
        <f t="shared" si="25"/>
        <v>308308</v>
      </c>
      <c r="K109" s="112">
        <v>4625</v>
      </c>
      <c r="L109" s="3">
        <f t="shared" si="26"/>
        <v>303683</v>
      </c>
    </row>
    <row r="110" spans="1:12" x14ac:dyDescent="0.25">
      <c r="A110" s="258"/>
      <c r="B110" s="268"/>
      <c r="C110" s="6" t="s">
        <v>49</v>
      </c>
      <c r="D110" s="7">
        <f>SUM(D100:D109)</f>
        <v>1258252</v>
      </c>
      <c r="E110" s="7">
        <f t="shared" ref="E110:L110" si="27">SUM(E100:E109)</f>
        <v>0</v>
      </c>
      <c r="F110" s="7">
        <f t="shared" si="27"/>
        <v>640000</v>
      </c>
      <c r="G110" s="7">
        <f t="shared" si="27"/>
        <v>-88172</v>
      </c>
      <c r="H110" s="7">
        <f t="shared" si="27"/>
        <v>0</v>
      </c>
      <c r="I110" s="7">
        <f t="shared" si="27"/>
        <v>0</v>
      </c>
      <c r="J110" s="7">
        <f t="shared" si="27"/>
        <v>1810080</v>
      </c>
      <c r="K110" s="114">
        <f t="shared" si="27"/>
        <v>90936</v>
      </c>
      <c r="L110" s="7">
        <f t="shared" si="27"/>
        <v>1719144</v>
      </c>
    </row>
    <row r="111" spans="1:12" x14ac:dyDescent="0.25">
      <c r="A111" s="255" t="s">
        <v>62</v>
      </c>
      <c r="B111" s="252" t="s">
        <v>23</v>
      </c>
      <c r="C111" s="15" t="s">
        <v>29</v>
      </c>
      <c r="D111" s="24">
        <v>63600</v>
      </c>
      <c r="E111" s="11"/>
      <c r="F111" s="197"/>
      <c r="G111" s="197"/>
      <c r="H111" s="11"/>
      <c r="I111" s="202"/>
      <c r="J111" s="20">
        <f>SUM(D111:I111)</f>
        <v>63600</v>
      </c>
      <c r="K111" s="112">
        <v>10900</v>
      </c>
      <c r="L111" s="3">
        <f t="shared" ref="L111:L114" si="28">J111-K111</f>
        <v>52700</v>
      </c>
    </row>
    <row r="112" spans="1:12" x14ac:dyDescent="0.25">
      <c r="A112" s="257"/>
      <c r="B112" s="254"/>
      <c r="C112" s="15" t="s">
        <v>31</v>
      </c>
      <c r="D112" s="24">
        <v>11130</v>
      </c>
      <c r="E112" s="11"/>
      <c r="F112" s="197"/>
      <c r="G112" s="197"/>
      <c r="H112" s="11"/>
      <c r="I112" s="202"/>
      <c r="J112" s="20">
        <f>SUM(D112:I112)</f>
        <v>11130</v>
      </c>
      <c r="K112" s="112">
        <v>1892</v>
      </c>
      <c r="L112" s="3">
        <f t="shared" si="28"/>
        <v>9238</v>
      </c>
    </row>
    <row r="113" spans="1:12" x14ac:dyDescent="0.25">
      <c r="A113" s="255" t="s">
        <v>63</v>
      </c>
      <c r="B113" s="252" t="s">
        <v>23</v>
      </c>
      <c r="C113" s="15" t="s">
        <v>24</v>
      </c>
      <c r="D113" s="24">
        <v>1958832</v>
      </c>
      <c r="E113" s="11"/>
      <c r="F113" s="197"/>
      <c r="G113" s="197"/>
      <c r="H113" s="11"/>
      <c r="I113" s="202"/>
      <c r="J113" s="20">
        <f>SUM(D113:I113)</f>
        <v>1958832</v>
      </c>
      <c r="K113" s="112">
        <v>958266</v>
      </c>
      <c r="L113" s="3">
        <f t="shared" si="28"/>
        <v>1000566</v>
      </c>
    </row>
    <row r="114" spans="1:12" x14ac:dyDescent="0.25">
      <c r="A114" s="257"/>
      <c r="B114" s="254"/>
      <c r="C114" s="15" t="s">
        <v>31</v>
      </c>
      <c r="D114" s="24">
        <v>338717</v>
      </c>
      <c r="E114" s="11"/>
      <c r="F114" s="197"/>
      <c r="G114" s="197"/>
      <c r="H114" s="11"/>
      <c r="I114" s="202"/>
      <c r="J114" s="20">
        <f>SUM(D114:I114)</f>
        <v>338717</v>
      </c>
      <c r="K114" s="112">
        <v>165440</v>
      </c>
      <c r="L114" s="3">
        <f t="shared" si="28"/>
        <v>173277</v>
      </c>
    </row>
    <row r="115" spans="1:12" x14ac:dyDescent="0.25">
      <c r="A115" s="430" t="s">
        <v>77</v>
      </c>
      <c r="B115" s="431"/>
      <c r="C115" s="432"/>
      <c r="D115" s="232">
        <f>SUM(D98+D99+D110+D111+D112+D113+D114)</f>
        <v>10373405</v>
      </c>
      <c r="E115" s="232">
        <f t="shared" ref="E115:L115" si="29">SUM(E98+E99+E110+E111+E112+E113+E114)</f>
        <v>0</v>
      </c>
      <c r="F115" s="232">
        <f t="shared" si="29"/>
        <v>640000</v>
      </c>
      <c r="G115" s="232">
        <f t="shared" si="29"/>
        <v>-88172</v>
      </c>
      <c r="H115" s="232">
        <f t="shared" si="29"/>
        <v>0</v>
      </c>
      <c r="I115" s="232">
        <f t="shared" si="29"/>
        <v>0</v>
      </c>
      <c r="J115" s="232">
        <f t="shared" si="29"/>
        <v>10925233</v>
      </c>
      <c r="K115" s="234">
        <f t="shared" si="29"/>
        <v>5220567</v>
      </c>
      <c r="L115" s="232">
        <f t="shared" si="29"/>
        <v>5704666</v>
      </c>
    </row>
    <row r="116" spans="1:12" x14ac:dyDescent="0.25">
      <c r="A116" s="258" t="s">
        <v>13</v>
      </c>
      <c r="B116" s="268" t="s">
        <v>23</v>
      </c>
      <c r="C116" s="2" t="s">
        <v>24</v>
      </c>
      <c r="D116" s="3">
        <f>6995732-1745632</f>
        <v>5250100</v>
      </c>
      <c r="E116" s="3"/>
      <c r="F116" s="3"/>
      <c r="G116" s="3"/>
      <c r="H116" s="3"/>
      <c r="I116" s="20"/>
      <c r="J116" s="20">
        <f t="shared" ref="J116:J121" si="30">SUM(D116:I116)</f>
        <v>5250100</v>
      </c>
      <c r="K116" s="112">
        <v>3394397</v>
      </c>
      <c r="L116" s="3">
        <f t="shared" ref="L116:L121" si="31">J116-K116</f>
        <v>1855703</v>
      </c>
    </row>
    <row r="117" spans="1:12" x14ac:dyDescent="0.25">
      <c r="A117" s="258"/>
      <c r="B117" s="268"/>
      <c r="C117" s="2" t="s">
        <v>25</v>
      </c>
      <c r="D117" s="3">
        <v>200000</v>
      </c>
      <c r="E117" s="3"/>
      <c r="F117" s="3"/>
      <c r="G117" s="3"/>
      <c r="H117" s="3"/>
      <c r="I117" s="20"/>
      <c r="J117" s="20">
        <f t="shared" si="30"/>
        <v>200000</v>
      </c>
      <c r="K117" s="112">
        <v>200000</v>
      </c>
      <c r="L117" s="3">
        <f t="shared" si="31"/>
        <v>0</v>
      </c>
    </row>
    <row r="118" spans="1:12" x14ac:dyDescent="0.25">
      <c r="A118" s="258"/>
      <c r="B118" s="268"/>
      <c r="C118" s="2" t="s">
        <v>26</v>
      </c>
      <c r="D118" s="3">
        <v>13350</v>
      </c>
      <c r="E118" s="3"/>
      <c r="F118" s="3"/>
      <c r="G118" s="3"/>
      <c r="H118" s="3"/>
      <c r="I118" s="20"/>
      <c r="J118" s="20">
        <f t="shared" si="30"/>
        <v>13350</v>
      </c>
      <c r="K118" s="112">
        <v>0</v>
      </c>
      <c r="L118" s="3">
        <f t="shared" si="31"/>
        <v>13350</v>
      </c>
    </row>
    <row r="119" spans="1:12" x14ac:dyDescent="0.25">
      <c r="A119" s="258"/>
      <c r="B119" s="268"/>
      <c r="C119" s="2" t="s">
        <v>28</v>
      </c>
      <c r="D119" s="3">
        <v>24000</v>
      </c>
      <c r="E119" s="3"/>
      <c r="F119" s="3"/>
      <c r="G119" s="3"/>
      <c r="H119" s="3"/>
      <c r="I119" s="20"/>
      <c r="J119" s="20">
        <f t="shared" si="30"/>
        <v>24000</v>
      </c>
      <c r="K119" s="112">
        <v>12000</v>
      </c>
      <c r="L119" s="3">
        <f t="shared" si="31"/>
        <v>12000</v>
      </c>
    </row>
    <row r="120" spans="1:12" x14ac:dyDescent="0.25">
      <c r="A120" s="258"/>
      <c r="B120" s="268"/>
      <c r="C120" s="2" t="s">
        <v>29</v>
      </c>
      <c r="D120" s="3">
        <f>114600-39600</f>
        <v>75000</v>
      </c>
      <c r="E120" s="3"/>
      <c r="F120" s="3"/>
      <c r="G120" s="3"/>
      <c r="H120" s="3"/>
      <c r="I120" s="20"/>
      <c r="J120" s="20">
        <f t="shared" si="30"/>
        <v>75000</v>
      </c>
      <c r="K120" s="112">
        <v>0</v>
      </c>
      <c r="L120" s="3">
        <f t="shared" si="31"/>
        <v>75000</v>
      </c>
    </row>
    <row r="121" spans="1:12" x14ac:dyDescent="0.25">
      <c r="A121" s="258"/>
      <c r="B121" s="268"/>
      <c r="C121" s="2" t="s">
        <v>30</v>
      </c>
      <c r="D121" s="3">
        <v>0</v>
      </c>
      <c r="E121" s="3"/>
      <c r="F121" s="3"/>
      <c r="G121" s="3"/>
      <c r="H121" s="3"/>
      <c r="I121" s="20"/>
      <c r="J121" s="20">
        <f t="shared" si="30"/>
        <v>0</v>
      </c>
      <c r="K121" s="112">
        <v>0</v>
      </c>
      <c r="L121" s="3">
        <f t="shared" si="31"/>
        <v>0</v>
      </c>
    </row>
    <row r="122" spans="1:12" x14ac:dyDescent="0.25">
      <c r="A122" s="258"/>
      <c r="B122" s="268"/>
      <c r="C122" s="6" t="s">
        <v>53</v>
      </c>
      <c r="D122" s="7">
        <f>SUM(D116:D121)</f>
        <v>5562450</v>
      </c>
      <c r="E122" s="7">
        <f t="shared" ref="E122:L122" si="32">SUM(E116:E121)</f>
        <v>0</v>
      </c>
      <c r="F122" s="7">
        <f t="shared" si="32"/>
        <v>0</v>
      </c>
      <c r="G122" s="7">
        <f t="shared" si="32"/>
        <v>0</v>
      </c>
      <c r="H122" s="7">
        <f t="shared" si="32"/>
        <v>0</v>
      </c>
      <c r="I122" s="7">
        <f t="shared" si="32"/>
        <v>0</v>
      </c>
      <c r="J122" s="7">
        <f t="shared" si="32"/>
        <v>5562450</v>
      </c>
      <c r="K122" s="114">
        <f t="shared" si="32"/>
        <v>3606397</v>
      </c>
      <c r="L122" s="7">
        <f t="shared" si="32"/>
        <v>1956053</v>
      </c>
    </row>
    <row r="123" spans="1:12" x14ac:dyDescent="0.25">
      <c r="A123" s="258"/>
      <c r="B123" s="268"/>
      <c r="C123" s="86" t="s">
        <v>31</v>
      </c>
      <c r="D123" s="87">
        <f>1376540-305486-6930</f>
        <v>1064124</v>
      </c>
      <c r="E123" s="87"/>
      <c r="F123" s="87"/>
      <c r="G123" s="87"/>
      <c r="H123" s="87"/>
      <c r="I123" s="201"/>
      <c r="J123" s="88">
        <f t="shared" ref="J123:J131" si="33">SUM(D123:I123)</f>
        <v>1064124</v>
      </c>
      <c r="K123" s="115">
        <v>663595</v>
      </c>
      <c r="L123" s="89">
        <f t="shared" ref="L123:L131" si="34">J123-K123</f>
        <v>400529</v>
      </c>
    </row>
    <row r="124" spans="1:12" x14ac:dyDescent="0.25">
      <c r="A124" s="258"/>
      <c r="B124" s="268"/>
      <c r="C124" s="2" t="s">
        <v>32</v>
      </c>
      <c r="D124" s="3">
        <v>50000</v>
      </c>
      <c r="E124" s="3"/>
      <c r="F124" s="3"/>
      <c r="G124" s="3"/>
      <c r="H124" s="3"/>
      <c r="I124" s="20"/>
      <c r="J124" s="20">
        <f t="shared" si="33"/>
        <v>50000</v>
      </c>
      <c r="K124" s="112">
        <v>0</v>
      </c>
      <c r="L124" s="3">
        <f t="shared" si="34"/>
        <v>50000</v>
      </c>
    </row>
    <row r="125" spans="1:12" x14ac:dyDescent="0.25">
      <c r="A125" s="258"/>
      <c r="B125" s="268"/>
      <c r="C125" s="2" t="s">
        <v>33</v>
      </c>
      <c r="D125" s="3">
        <v>100000</v>
      </c>
      <c r="E125" s="3">
        <v>-8000</v>
      </c>
      <c r="F125" s="3"/>
      <c r="G125" s="3"/>
      <c r="H125" s="3"/>
      <c r="I125" s="20"/>
      <c r="J125" s="20">
        <f t="shared" si="33"/>
        <v>92000</v>
      </c>
      <c r="K125" s="112">
        <v>0</v>
      </c>
      <c r="L125" s="3">
        <f t="shared" si="34"/>
        <v>92000</v>
      </c>
    </row>
    <row r="126" spans="1:12" x14ac:dyDescent="0.25">
      <c r="A126" s="258"/>
      <c r="B126" s="268"/>
      <c r="C126" s="2" t="s">
        <v>34</v>
      </c>
      <c r="D126" s="3">
        <v>150000</v>
      </c>
      <c r="E126" s="3"/>
      <c r="F126" s="3"/>
      <c r="G126" s="3"/>
      <c r="H126" s="3"/>
      <c r="I126" s="20"/>
      <c r="J126" s="20">
        <f t="shared" si="33"/>
        <v>150000</v>
      </c>
      <c r="K126" s="112">
        <v>0</v>
      </c>
      <c r="L126" s="3">
        <f t="shared" si="34"/>
        <v>150000</v>
      </c>
    </row>
    <row r="127" spans="1:12" x14ac:dyDescent="0.25">
      <c r="A127" s="258"/>
      <c r="B127" s="268"/>
      <c r="C127" s="2" t="s">
        <v>38</v>
      </c>
      <c r="D127" s="3">
        <v>50000</v>
      </c>
      <c r="E127" s="3"/>
      <c r="F127" s="3"/>
      <c r="G127" s="3"/>
      <c r="H127" s="3"/>
      <c r="I127" s="20"/>
      <c r="J127" s="20">
        <f t="shared" si="33"/>
        <v>50000</v>
      </c>
      <c r="K127" s="112">
        <v>0</v>
      </c>
      <c r="L127" s="3">
        <f t="shared" si="34"/>
        <v>50000</v>
      </c>
    </row>
    <row r="128" spans="1:12" x14ac:dyDescent="0.25">
      <c r="A128" s="258"/>
      <c r="B128" s="268"/>
      <c r="C128" s="2" t="s">
        <v>40</v>
      </c>
      <c r="D128" s="3">
        <v>13600</v>
      </c>
      <c r="E128" s="3"/>
      <c r="F128" s="3"/>
      <c r="G128" s="3"/>
      <c r="H128" s="3"/>
      <c r="I128" s="20"/>
      <c r="J128" s="20">
        <f t="shared" si="33"/>
        <v>13600</v>
      </c>
      <c r="K128" s="112">
        <v>6800</v>
      </c>
      <c r="L128" s="3">
        <f t="shared" si="34"/>
        <v>6800</v>
      </c>
    </row>
    <row r="129" spans="1:12" x14ac:dyDescent="0.25">
      <c r="A129" s="258"/>
      <c r="B129" s="268"/>
      <c r="C129" s="2" t="s">
        <v>41</v>
      </c>
      <c r="D129" s="3">
        <v>16663</v>
      </c>
      <c r="E129" s="3">
        <v>8000</v>
      </c>
      <c r="F129" s="3">
        <v>251969</v>
      </c>
      <c r="G129" s="3">
        <v>-251969</v>
      </c>
      <c r="H129" s="3"/>
      <c r="I129" s="20"/>
      <c r="J129" s="20">
        <f t="shared" si="33"/>
        <v>24663</v>
      </c>
      <c r="K129" s="112">
        <v>14840</v>
      </c>
      <c r="L129" s="3">
        <f t="shared" si="34"/>
        <v>9823</v>
      </c>
    </row>
    <row r="130" spans="1:12" x14ac:dyDescent="0.25">
      <c r="A130" s="258"/>
      <c r="B130" s="268"/>
      <c r="C130" s="2" t="s">
        <v>42</v>
      </c>
      <c r="D130" s="3">
        <v>240000</v>
      </c>
      <c r="E130" s="3"/>
      <c r="F130" s="3"/>
      <c r="G130" s="3"/>
      <c r="H130" s="3"/>
      <c r="I130" s="20"/>
      <c r="J130" s="20">
        <f t="shared" si="33"/>
        <v>240000</v>
      </c>
      <c r="K130" s="112">
        <v>40380</v>
      </c>
      <c r="L130" s="3">
        <f t="shared" si="34"/>
        <v>199620</v>
      </c>
    </row>
    <row r="131" spans="1:12" x14ac:dyDescent="0.25">
      <c r="A131" s="258"/>
      <c r="B131" s="268"/>
      <c r="C131" s="2" t="s">
        <v>44</v>
      </c>
      <c r="D131" s="3">
        <v>94500</v>
      </c>
      <c r="E131" s="3"/>
      <c r="F131" s="3">
        <v>68031</v>
      </c>
      <c r="G131" s="3">
        <v>-68031</v>
      </c>
      <c r="H131" s="3"/>
      <c r="I131" s="20"/>
      <c r="J131" s="20">
        <f t="shared" si="33"/>
        <v>94500</v>
      </c>
      <c r="K131" s="112">
        <v>4006</v>
      </c>
      <c r="L131" s="3">
        <f t="shared" si="34"/>
        <v>90494</v>
      </c>
    </row>
    <row r="132" spans="1:12" x14ac:dyDescent="0.25">
      <c r="A132" s="258"/>
      <c r="B132" s="268"/>
      <c r="C132" s="6" t="s">
        <v>49</v>
      </c>
      <c r="D132" s="7">
        <f>SUM(D124:D131)</f>
        <v>714763</v>
      </c>
      <c r="E132" s="7">
        <f t="shared" ref="E132:L132" si="35">SUM(E124:E131)</f>
        <v>0</v>
      </c>
      <c r="F132" s="7">
        <f t="shared" si="35"/>
        <v>320000</v>
      </c>
      <c r="G132" s="7">
        <f t="shared" si="35"/>
        <v>-320000</v>
      </c>
      <c r="H132" s="7">
        <f t="shared" si="35"/>
        <v>0</v>
      </c>
      <c r="I132" s="7">
        <f t="shared" si="35"/>
        <v>0</v>
      </c>
      <c r="J132" s="7">
        <f t="shared" si="35"/>
        <v>714763</v>
      </c>
      <c r="K132" s="114">
        <f t="shared" si="35"/>
        <v>66026</v>
      </c>
      <c r="L132" s="7">
        <f t="shared" si="35"/>
        <v>648737</v>
      </c>
    </row>
    <row r="133" spans="1:12" x14ac:dyDescent="0.25">
      <c r="A133" s="255" t="s">
        <v>64</v>
      </c>
      <c r="B133" s="252" t="s">
        <v>23</v>
      </c>
      <c r="C133" s="15" t="s">
        <v>29</v>
      </c>
      <c r="D133" s="24">
        <v>85800</v>
      </c>
      <c r="E133" s="224"/>
      <c r="F133" s="224"/>
      <c r="G133" s="224"/>
      <c r="H133" s="224"/>
      <c r="I133" s="225"/>
      <c r="J133" s="20">
        <f>SUM(D133:I133)</f>
        <v>85800</v>
      </c>
      <c r="K133" s="112">
        <v>55800</v>
      </c>
      <c r="L133" s="3">
        <f t="shared" ref="L133:L136" si="36">J133-K133</f>
        <v>30000</v>
      </c>
    </row>
    <row r="134" spans="1:12" x14ac:dyDescent="0.25">
      <c r="A134" s="257"/>
      <c r="B134" s="254"/>
      <c r="C134" s="15" t="s">
        <v>31</v>
      </c>
      <c r="D134" s="24">
        <v>14266</v>
      </c>
      <c r="E134" s="224"/>
      <c r="F134" s="224"/>
      <c r="G134" s="224"/>
      <c r="H134" s="224"/>
      <c r="I134" s="225"/>
      <c r="J134" s="20">
        <f>SUM(D134:I134)</f>
        <v>14266</v>
      </c>
      <c r="K134" s="112">
        <v>9611</v>
      </c>
      <c r="L134" s="3">
        <f t="shared" si="36"/>
        <v>4655</v>
      </c>
    </row>
    <row r="135" spans="1:12" x14ac:dyDescent="0.25">
      <c r="A135" s="255" t="s">
        <v>65</v>
      </c>
      <c r="B135" s="252" t="s">
        <v>23</v>
      </c>
      <c r="C135" s="15" t="s">
        <v>24</v>
      </c>
      <c r="D135" s="24">
        <v>2622024</v>
      </c>
      <c r="E135" s="11"/>
      <c r="F135" s="197"/>
      <c r="G135" s="197"/>
      <c r="H135" s="11"/>
      <c r="I135" s="202"/>
      <c r="J135" s="20">
        <f>SUM(D135:I135)</f>
        <v>2622024</v>
      </c>
      <c r="K135" s="112">
        <v>1501873</v>
      </c>
      <c r="L135" s="3">
        <f t="shared" si="36"/>
        <v>1120151</v>
      </c>
    </row>
    <row r="136" spans="1:12" x14ac:dyDescent="0.25">
      <c r="A136" s="257"/>
      <c r="B136" s="254"/>
      <c r="C136" s="15" t="s">
        <v>31</v>
      </c>
      <c r="D136" s="24">
        <v>450887</v>
      </c>
      <c r="E136" s="11"/>
      <c r="F136" s="197"/>
      <c r="G136" s="197"/>
      <c r="H136" s="11"/>
      <c r="I136" s="202"/>
      <c r="J136" s="20">
        <f>SUM(D136:I136)</f>
        <v>450887</v>
      </c>
      <c r="K136" s="112">
        <v>258709</v>
      </c>
      <c r="L136" s="3">
        <f t="shared" si="36"/>
        <v>192178</v>
      </c>
    </row>
    <row r="137" spans="1:12" x14ac:dyDescent="0.25">
      <c r="A137" s="430" t="s">
        <v>78</v>
      </c>
      <c r="B137" s="431"/>
      <c r="C137" s="432"/>
      <c r="D137" s="232">
        <f>SUM(D122+D123+D132+D133+D134+D135+D136)</f>
        <v>10514314</v>
      </c>
      <c r="E137" s="232">
        <f t="shared" ref="E137:L137" si="37">SUM(E122+E123+E132+E133+E134+E135+E136)</f>
        <v>0</v>
      </c>
      <c r="F137" s="232">
        <f t="shared" si="37"/>
        <v>320000</v>
      </c>
      <c r="G137" s="232">
        <f t="shared" si="37"/>
        <v>-320000</v>
      </c>
      <c r="H137" s="232">
        <f>SUM(H122+H123+H132+H133+H134+H135+H136)</f>
        <v>0</v>
      </c>
      <c r="I137" s="232">
        <f t="shared" ref="I137" si="38">SUM(I122+I123+I132+I133+I134+I135+I136)</f>
        <v>0</v>
      </c>
      <c r="J137" s="232">
        <f>SUM(J122+J123+J132+J133+J134+J135+J136)</f>
        <v>10514314</v>
      </c>
      <c r="K137" s="234">
        <f t="shared" si="37"/>
        <v>6162011</v>
      </c>
      <c r="L137" s="232">
        <f t="shared" si="37"/>
        <v>4352303</v>
      </c>
    </row>
    <row r="138" spans="1:12" x14ac:dyDescent="0.25">
      <c r="A138" s="258" t="s">
        <v>185</v>
      </c>
      <c r="B138" s="268" t="s">
        <v>23</v>
      </c>
      <c r="C138" s="2" t="s">
        <v>24</v>
      </c>
      <c r="D138" s="3">
        <f>6000388-834288</f>
        <v>5166100</v>
      </c>
      <c r="E138" s="3"/>
      <c r="F138" s="3"/>
      <c r="G138" s="3"/>
      <c r="H138" s="3"/>
      <c r="I138" s="20"/>
      <c r="J138" s="20">
        <f t="shared" ref="J138:J144" si="39">SUM(D138:I138)</f>
        <v>5166100</v>
      </c>
      <c r="K138" s="112">
        <v>3338401</v>
      </c>
      <c r="L138" s="3">
        <f t="shared" ref="L138:L144" si="40">J138-K138</f>
        <v>1827699</v>
      </c>
    </row>
    <row r="139" spans="1:12" x14ac:dyDescent="0.25">
      <c r="A139" s="258"/>
      <c r="B139" s="268"/>
      <c r="C139" s="2" t="s">
        <v>25</v>
      </c>
      <c r="D139" s="3">
        <v>200000</v>
      </c>
      <c r="E139" s="3"/>
      <c r="F139" s="3"/>
      <c r="G139" s="3"/>
      <c r="H139" s="3"/>
      <c r="I139" s="20"/>
      <c r="J139" s="20">
        <f t="shared" si="39"/>
        <v>200000</v>
      </c>
      <c r="K139" s="112">
        <v>200000</v>
      </c>
      <c r="L139" s="3">
        <f t="shared" si="40"/>
        <v>0</v>
      </c>
    </row>
    <row r="140" spans="1:12" x14ac:dyDescent="0.25">
      <c r="A140" s="258"/>
      <c r="B140" s="268"/>
      <c r="C140" s="2" t="s">
        <v>26</v>
      </c>
      <c r="D140" s="3">
        <v>13350</v>
      </c>
      <c r="E140" s="3"/>
      <c r="F140" s="3"/>
      <c r="G140" s="3"/>
      <c r="H140" s="3"/>
      <c r="I140" s="20"/>
      <c r="J140" s="20">
        <f t="shared" si="39"/>
        <v>13350</v>
      </c>
      <c r="K140" s="112">
        <v>0</v>
      </c>
      <c r="L140" s="3">
        <f t="shared" si="40"/>
        <v>13350</v>
      </c>
    </row>
    <row r="141" spans="1:12" x14ac:dyDescent="0.25">
      <c r="A141" s="258"/>
      <c r="B141" s="268"/>
      <c r="C141" s="2" t="s">
        <v>27</v>
      </c>
      <c r="D141" s="3">
        <v>270000</v>
      </c>
      <c r="E141" s="3"/>
      <c r="F141" s="3"/>
      <c r="G141" s="3"/>
      <c r="H141" s="3"/>
      <c r="I141" s="20"/>
      <c r="J141" s="20">
        <f t="shared" si="39"/>
        <v>270000</v>
      </c>
      <c r="K141" s="112">
        <v>139138</v>
      </c>
      <c r="L141" s="3">
        <f t="shared" si="40"/>
        <v>130862</v>
      </c>
    </row>
    <row r="142" spans="1:12" x14ac:dyDescent="0.25">
      <c r="A142" s="258"/>
      <c r="B142" s="268"/>
      <c r="C142" s="2" t="s">
        <v>28</v>
      </c>
      <c r="D142" s="3">
        <v>24000</v>
      </c>
      <c r="E142" s="3"/>
      <c r="F142" s="3"/>
      <c r="G142" s="3"/>
      <c r="H142" s="3"/>
      <c r="I142" s="20"/>
      <c r="J142" s="20">
        <f t="shared" si="39"/>
        <v>24000</v>
      </c>
      <c r="K142" s="112">
        <v>12000</v>
      </c>
      <c r="L142" s="3">
        <f t="shared" si="40"/>
        <v>12000</v>
      </c>
    </row>
    <row r="143" spans="1:12" x14ac:dyDescent="0.25">
      <c r="A143" s="258"/>
      <c r="B143" s="268"/>
      <c r="C143" s="2" t="s">
        <v>29</v>
      </c>
      <c r="D143" s="3">
        <v>0</v>
      </c>
      <c r="E143" s="3"/>
      <c r="F143" s="3"/>
      <c r="G143" s="3"/>
      <c r="H143" s="3"/>
      <c r="I143" s="20"/>
      <c r="J143" s="20">
        <f t="shared" si="39"/>
        <v>0</v>
      </c>
      <c r="K143" s="112">
        <v>0</v>
      </c>
      <c r="L143" s="3">
        <f t="shared" si="40"/>
        <v>0</v>
      </c>
    </row>
    <row r="144" spans="1:12" x14ac:dyDescent="0.25">
      <c r="A144" s="258"/>
      <c r="B144" s="268"/>
      <c r="C144" s="2" t="s">
        <v>30</v>
      </c>
      <c r="D144" s="3">
        <v>0</v>
      </c>
      <c r="E144" s="3"/>
      <c r="F144" s="3"/>
      <c r="G144" s="3"/>
      <c r="H144" s="3"/>
      <c r="I144" s="20"/>
      <c r="J144" s="20">
        <f t="shared" si="39"/>
        <v>0</v>
      </c>
      <c r="K144" s="112">
        <v>0</v>
      </c>
      <c r="L144" s="3">
        <f t="shared" si="40"/>
        <v>0</v>
      </c>
    </row>
    <row r="145" spans="1:12" x14ac:dyDescent="0.25">
      <c r="A145" s="258"/>
      <c r="B145" s="268"/>
      <c r="C145" s="6" t="s">
        <v>53</v>
      </c>
      <c r="D145" s="7">
        <f>SUM(D138:D144)</f>
        <v>5673450</v>
      </c>
      <c r="E145" s="7">
        <f t="shared" ref="E145:L145" si="41">SUM(E138:E144)</f>
        <v>0</v>
      </c>
      <c r="F145" s="7">
        <f t="shared" si="41"/>
        <v>0</v>
      </c>
      <c r="G145" s="7">
        <f t="shared" si="41"/>
        <v>0</v>
      </c>
      <c r="H145" s="7">
        <f t="shared" si="41"/>
        <v>0</v>
      </c>
      <c r="I145" s="7">
        <f t="shared" si="41"/>
        <v>0</v>
      </c>
      <c r="J145" s="7">
        <f t="shared" si="41"/>
        <v>5673450</v>
      </c>
      <c r="K145" s="114">
        <f t="shared" si="41"/>
        <v>3689539</v>
      </c>
      <c r="L145" s="7">
        <f t="shared" si="41"/>
        <v>1983911</v>
      </c>
    </row>
    <row r="146" spans="1:12" x14ac:dyDescent="0.25">
      <c r="A146" s="258"/>
      <c r="B146" s="268"/>
      <c r="C146" s="86" t="s">
        <v>31</v>
      </c>
      <c r="D146" s="87">
        <f>1195425-146000</f>
        <v>1049425</v>
      </c>
      <c r="E146" s="87"/>
      <c r="F146" s="87"/>
      <c r="G146" s="87"/>
      <c r="H146" s="87"/>
      <c r="I146" s="201"/>
      <c r="J146" s="88">
        <f t="shared" ref="J146:J154" si="42">SUM(D146:I146)</f>
        <v>1049425</v>
      </c>
      <c r="K146" s="115">
        <v>653929</v>
      </c>
      <c r="L146" s="89">
        <f t="shared" ref="L146:L154" si="43">J146-K146</f>
        <v>395496</v>
      </c>
    </row>
    <row r="147" spans="1:12" x14ac:dyDescent="0.25">
      <c r="A147" s="258"/>
      <c r="B147" s="268"/>
      <c r="C147" s="2" t="s">
        <v>32</v>
      </c>
      <c r="D147" s="3">
        <v>100000</v>
      </c>
      <c r="E147" s="3"/>
      <c r="F147" s="3"/>
      <c r="G147" s="3"/>
      <c r="H147" s="3"/>
      <c r="I147" s="20"/>
      <c r="J147" s="20">
        <f t="shared" si="42"/>
        <v>100000</v>
      </c>
      <c r="K147" s="112">
        <v>0</v>
      </c>
      <c r="L147" s="3">
        <f t="shared" si="43"/>
        <v>100000</v>
      </c>
    </row>
    <row r="148" spans="1:12" x14ac:dyDescent="0.25">
      <c r="A148" s="258"/>
      <c r="B148" s="268"/>
      <c r="C148" s="2" t="s">
        <v>33</v>
      </c>
      <c r="D148" s="3">
        <v>150000</v>
      </c>
      <c r="E148" s="3">
        <v>-15000</v>
      </c>
      <c r="F148" s="3"/>
      <c r="G148" s="3"/>
      <c r="H148" s="3"/>
      <c r="I148" s="20"/>
      <c r="J148" s="20">
        <f t="shared" si="42"/>
        <v>135000</v>
      </c>
      <c r="K148" s="112">
        <v>0</v>
      </c>
      <c r="L148" s="3">
        <f t="shared" si="43"/>
        <v>135000</v>
      </c>
    </row>
    <row r="149" spans="1:12" x14ac:dyDescent="0.25">
      <c r="A149" s="258"/>
      <c r="B149" s="268"/>
      <c r="C149" s="2" t="s">
        <v>34</v>
      </c>
      <c r="D149" s="3">
        <v>150000</v>
      </c>
      <c r="E149" s="3"/>
      <c r="F149" s="3"/>
      <c r="G149" s="3"/>
      <c r="H149" s="3"/>
      <c r="I149" s="20"/>
      <c r="J149" s="20">
        <f t="shared" si="42"/>
        <v>150000</v>
      </c>
      <c r="K149" s="112">
        <v>0</v>
      </c>
      <c r="L149" s="3">
        <f t="shared" si="43"/>
        <v>150000</v>
      </c>
    </row>
    <row r="150" spans="1:12" x14ac:dyDescent="0.25">
      <c r="A150" s="258"/>
      <c r="B150" s="268"/>
      <c r="C150" s="2" t="s">
        <v>38</v>
      </c>
      <c r="D150" s="3">
        <v>107000</v>
      </c>
      <c r="E150" s="3"/>
      <c r="F150" s="3"/>
      <c r="G150" s="3"/>
      <c r="H150" s="3"/>
      <c r="I150" s="20"/>
      <c r="J150" s="20">
        <f t="shared" si="42"/>
        <v>107000</v>
      </c>
      <c r="K150" s="112">
        <v>0</v>
      </c>
      <c r="L150" s="3">
        <f t="shared" si="43"/>
        <v>107000</v>
      </c>
    </row>
    <row r="151" spans="1:12" x14ac:dyDescent="0.25">
      <c r="A151" s="258"/>
      <c r="B151" s="268"/>
      <c r="C151" s="2" t="s">
        <v>40</v>
      </c>
      <c r="D151" s="3">
        <v>13600</v>
      </c>
      <c r="E151" s="3"/>
      <c r="F151" s="3"/>
      <c r="G151" s="3"/>
      <c r="H151" s="3"/>
      <c r="I151" s="20"/>
      <c r="J151" s="20">
        <f t="shared" si="42"/>
        <v>13600</v>
      </c>
      <c r="K151" s="112">
        <v>6800</v>
      </c>
      <c r="L151" s="3">
        <f t="shared" si="43"/>
        <v>6800</v>
      </c>
    </row>
    <row r="152" spans="1:12" x14ac:dyDescent="0.25">
      <c r="A152" s="258"/>
      <c r="B152" s="268"/>
      <c r="C152" s="2" t="s">
        <v>41</v>
      </c>
      <c r="D152" s="3">
        <v>56663</v>
      </c>
      <c r="E152" s="3">
        <v>15000</v>
      </c>
      <c r="F152" s="3">
        <v>377953</v>
      </c>
      <c r="G152" s="3">
        <v>-372647</v>
      </c>
      <c r="H152" s="3"/>
      <c r="I152" s="20"/>
      <c r="J152" s="20">
        <f t="shared" si="42"/>
        <v>76969</v>
      </c>
      <c r="K152" s="112">
        <v>54840</v>
      </c>
      <c r="L152" s="3">
        <f t="shared" si="43"/>
        <v>22129</v>
      </c>
    </row>
    <row r="153" spans="1:12" x14ac:dyDescent="0.25">
      <c r="A153" s="258"/>
      <c r="B153" s="268"/>
      <c r="C153" s="2" t="s">
        <v>42</v>
      </c>
      <c r="D153" s="3">
        <v>150000</v>
      </c>
      <c r="E153" s="3"/>
      <c r="F153" s="3"/>
      <c r="G153" s="3"/>
      <c r="H153" s="3"/>
      <c r="I153" s="20"/>
      <c r="J153" s="20">
        <f t="shared" si="42"/>
        <v>150000</v>
      </c>
      <c r="K153" s="112">
        <v>40595</v>
      </c>
      <c r="L153" s="3">
        <f t="shared" si="43"/>
        <v>109405</v>
      </c>
    </row>
    <row r="154" spans="1:12" x14ac:dyDescent="0.25">
      <c r="A154" s="258"/>
      <c r="B154" s="268"/>
      <c r="C154" s="2" t="s">
        <v>44</v>
      </c>
      <c r="D154" s="3">
        <v>147690</v>
      </c>
      <c r="E154" s="3"/>
      <c r="F154" s="3">
        <v>102047</v>
      </c>
      <c r="G154" s="3">
        <v>-100615</v>
      </c>
      <c r="H154" s="3"/>
      <c r="I154" s="20"/>
      <c r="J154" s="20">
        <f t="shared" si="42"/>
        <v>149122</v>
      </c>
      <c r="K154" s="112">
        <v>4006</v>
      </c>
      <c r="L154" s="3">
        <f t="shared" si="43"/>
        <v>145116</v>
      </c>
    </row>
    <row r="155" spans="1:12" x14ac:dyDescent="0.25">
      <c r="A155" s="258"/>
      <c r="B155" s="268"/>
      <c r="C155" s="6" t="s">
        <v>49</v>
      </c>
      <c r="D155" s="7">
        <f>SUM(D147:D154)</f>
        <v>874953</v>
      </c>
      <c r="E155" s="7">
        <f t="shared" ref="E155:L155" si="44">SUM(E147:E154)</f>
        <v>0</v>
      </c>
      <c r="F155" s="7">
        <f t="shared" si="44"/>
        <v>480000</v>
      </c>
      <c r="G155" s="7">
        <f t="shared" si="44"/>
        <v>-473262</v>
      </c>
      <c r="H155" s="7">
        <f t="shared" si="44"/>
        <v>0</v>
      </c>
      <c r="I155" s="7">
        <f t="shared" si="44"/>
        <v>0</v>
      </c>
      <c r="J155" s="7">
        <f t="shared" si="44"/>
        <v>881691</v>
      </c>
      <c r="K155" s="114">
        <f t="shared" si="44"/>
        <v>106241</v>
      </c>
      <c r="L155" s="7">
        <f t="shared" si="44"/>
        <v>775450</v>
      </c>
    </row>
    <row r="156" spans="1:12" x14ac:dyDescent="0.25">
      <c r="A156" s="255" t="s">
        <v>186</v>
      </c>
      <c r="B156" s="252" t="s">
        <v>23</v>
      </c>
      <c r="C156" s="15" t="s">
        <v>24</v>
      </c>
      <c r="D156" s="24">
        <v>1198751</v>
      </c>
      <c r="E156" s="11"/>
      <c r="F156" s="223"/>
      <c r="G156" s="197"/>
      <c r="H156" s="11"/>
      <c r="I156" s="202"/>
      <c r="J156" s="20">
        <f>SUM(D156:I156)</f>
        <v>1198751</v>
      </c>
      <c r="K156" s="112">
        <v>788123</v>
      </c>
      <c r="L156" s="3">
        <f t="shared" ref="L156:L157" si="45">J156-K156</f>
        <v>410628</v>
      </c>
    </row>
    <row r="157" spans="1:12" x14ac:dyDescent="0.25">
      <c r="A157" s="257"/>
      <c r="B157" s="254"/>
      <c r="C157" s="15" t="s">
        <v>31</v>
      </c>
      <c r="D157" s="24">
        <v>206468</v>
      </c>
      <c r="E157" s="11"/>
      <c r="F157" s="223"/>
      <c r="G157" s="197"/>
      <c r="H157" s="11"/>
      <c r="I157" s="202"/>
      <c r="J157" s="20">
        <f>SUM(D157:I157)</f>
        <v>206468</v>
      </c>
      <c r="K157" s="112">
        <v>135867</v>
      </c>
      <c r="L157" s="3">
        <f t="shared" si="45"/>
        <v>70601</v>
      </c>
    </row>
    <row r="158" spans="1:12" x14ac:dyDescent="0.25">
      <c r="A158" s="430" t="s">
        <v>188</v>
      </c>
      <c r="B158" s="431"/>
      <c r="C158" s="432"/>
      <c r="D158" s="232">
        <f>SUM(D145+D146+D155+D156+D157)</f>
        <v>9003047</v>
      </c>
      <c r="E158" s="232">
        <f t="shared" ref="E158:L158" si="46">SUM(E145+E146+E155+E156+E157)</f>
        <v>0</v>
      </c>
      <c r="F158" s="232">
        <f t="shared" si="46"/>
        <v>480000</v>
      </c>
      <c r="G158" s="232">
        <f t="shared" si="46"/>
        <v>-473262</v>
      </c>
      <c r="H158" s="232">
        <f t="shared" si="46"/>
        <v>0</v>
      </c>
      <c r="I158" s="232">
        <f t="shared" si="46"/>
        <v>0</v>
      </c>
      <c r="J158" s="232">
        <f t="shared" si="46"/>
        <v>9009785</v>
      </c>
      <c r="K158" s="234">
        <f t="shared" si="46"/>
        <v>5373699</v>
      </c>
      <c r="L158" s="232">
        <f t="shared" si="46"/>
        <v>3636086</v>
      </c>
    </row>
    <row r="159" spans="1:12" x14ac:dyDescent="0.25">
      <c r="A159" s="258" t="s">
        <v>55</v>
      </c>
      <c r="B159" s="268" t="s">
        <v>23</v>
      </c>
      <c r="C159" s="10" t="s">
        <v>24</v>
      </c>
      <c r="D159" s="24">
        <f>6282410-876310</f>
        <v>5406100</v>
      </c>
      <c r="E159" s="197"/>
      <c r="F159" s="11"/>
      <c r="G159" s="11"/>
      <c r="H159" s="11"/>
      <c r="I159" s="202"/>
      <c r="J159" s="20">
        <f t="shared" ref="J159:J164" si="47">SUM(D159:I159)</f>
        <v>5406100</v>
      </c>
      <c r="K159" s="112">
        <v>3637754</v>
      </c>
      <c r="L159" s="3">
        <f t="shared" ref="L159:L164" si="48">J159-K159</f>
        <v>1768346</v>
      </c>
    </row>
    <row r="160" spans="1:12" x14ac:dyDescent="0.25">
      <c r="A160" s="258"/>
      <c r="B160" s="268"/>
      <c r="C160" s="10" t="s">
        <v>25</v>
      </c>
      <c r="D160" s="24">
        <v>200000</v>
      </c>
      <c r="E160" s="197"/>
      <c r="F160" s="11"/>
      <c r="G160" s="11"/>
      <c r="H160" s="11"/>
      <c r="I160" s="202"/>
      <c r="J160" s="20">
        <f t="shared" si="47"/>
        <v>200000</v>
      </c>
      <c r="K160" s="222">
        <v>200000</v>
      </c>
      <c r="L160" s="3">
        <f t="shared" si="48"/>
        <v>0</v>
      </c>
    </row>
    <row r="161" spans="1:12" x14ac:dyDescent="0.25">
      <c r="A161" s="258"/>
      <c r="B161" s="268"/>
      <c r="C161" s="10" t="s">
        <v>26</v>
      </c>
      <c r="D161" s="24">
        <v>13350</v>
      </c>
      <c r="E161" s="197"/>
      <c r="F161" s="11"/>
      <c r="G161" s="11"/>
      <c r="H161" s="11"/>
      <c r="I161" s="202"/>
      <c r="J161" s="20">
        <f t="shared" si="47"/>
        <v>13350</v>
      </c>
      <c r="K161" s="112">
        <v>0</v>
      </c>
      <c r="L161" s="3">
        <f t="shared" si="48"/>
        <v>13350</v>
      </c>
    </row>
    <row r="162" spans="1:12" x14ac:dyDescent="0.25">
      <c r="A162" s="258"/>
      <c r="B162" s="268"/>
      <c r="C162" s="10" t="s">
        <v>28</v>
      </c>
      <c r="D162" s="24">
        <v>24000</v>
      </c>
      <c r="E162" s="197"/>
      <c r="F162" s="11"/>
      <c r="G162" s="11"/>
      <c r="H162" s="11"/>
      <c r="I162" s="202"/>
      <c r="J162" s="20">
        <f t="shared" si="47"/>
        <v>24000</v>
      </c>
      <c r="K162" s="112">
        <v>12000</v>
      </c>
      <c r="L162" s="3">
        <f t="shared" si="48"/>
        <v>12000</v>
      </c>
    </row>
    <row r="163" spans="1:12" x14ac:dyDescent="0.25">
      <c r="A163" s="258"/>
      <c r="B163" s="268"/>
      <c r="C163" s="10" t="s">
        <v>29</v>
      </c>
      <c r="D163" s="24">
        <f>138600-63600</f>
        <v>75000</v>
      </c>
      <c r="E163" s="197"/>
      <c r="F163" s="11"/>
      <c r="G163" s="11"/>
      <c r="H163" s="11"/>
      <c r="I163" s="202"/>
      <c r="J163" s="20">
        <f t="shared" si="47"/>
        <v>75000</v>
      </c>
      <c r="K163" s="112">
        <v>-225000</v>
      </c>
      <c r="L163" s="3">
        <f t="shared" si="48"/>
        <v>300000</v>
      </c>
    </row>
    <row r="164" spans="1:12" x14ac:dyDescent="0.25">
      <c r="A164" s="258"/>
      <c r="B164" s="268"/>
      <c r="C164" s="10" t="s">
        <v>30</v>
      </c>
      <c r="D164" s="24">
        <v>0</v>
      </c>
      <c r="E164" s="197"/>
      <c r="F164" s="11"/>
      <c r="G164" s="11"/>
      <c r="H164" s="11"/>
      <c r="I164" s="202"/>
      <c r="J164" s="20">
        <f t="shared" si="47"/>
        <v>0</v>
      </c>
      <c r="K164" s="112">
        <v>0</v>
      </c>
      <c r="L164" s="3">
        <f t="shared" si="48"/>
        <v>0</v>
      </c>
    </row>
    <row r="165" spans="1:12" x14ac:dyDescent="0.25">
      <c r="A165" s="258"/>
      <c r="B165" s="268"/>
      <c r="C165" s="6" t="s">
        <v>53</v>
      </c>
      <c r="D165" s="7">
        <f>SUM(D159:D164)</f>
        <v>5718450</v>
      </c>
      <c r="E165" s="7">
        <f t="shared" ref="E165:L165" si="49">SUM(E159:E164)</f>
        <v>0</v>
      </c>
      <c r="F165" s="7">
        <f t="shared" si="49"/>
        <v>0</v>
      </c>
      <c r="G165" s="7">
        <f t="shared" si="49"/>
        <v>0</v>
      </c>
      <c r="H165" s="7">
        <f t="shared" si="49"/>
        <v>0</v>
      </c>
      <c r="I165" s="7">
        <f t="shared" si="49"/>
        <v>0</v>
      </c>
      <c r="J165" s="7">
        <f t="shared" si="49"/>
        <v>5718450</v>
      </c>
      <c r="K165" s="114">
        <f t="shared" si="49"/>
        <v>3624754</v>
      </c>
      <c r="L165" s="7">
        <f t="shared" si="49"/>
        <v>2093696</v>
      </c>
    </row>
    <row r="166" spans="1:12" x14ac:dyDescent="0.25">
      <c r="A166" s="258"/>
      <c r="B166" s="268"/>
      <c r="C166" s="86" t="s">
        <v>31</v>
      </c>
      <c r="D166" s="87">
        <f>1255909-153354-11130</f>
        <v>1091425</v>
      </c>
      <c r="E166" s="87"/>
      <c r="F166" s="87"/>
      <c r="G166" s="87"/>
      <c r="H166" s="87"/>
      <c r="I166" s="201"/>
      <c r="J166" s="88">
        <f t="shared" ref="J166:J176" si="50">SUM(D166:I166)</f>
        <v>1091425</v>
      </c>
      <c r="K166" s="115">
        <v>663901</v>
      </c>
      <c r="L166" s="89">
        <f t="shared" ref="L166:L176" si="51">J166-K166</f>
        <v>427524</v>
      </c>
    </row>
    <row r="167" spans="1:12" x14ac:dyDescent="0.25">
      <c r="A167" s="258"/>
      <c r="B167" s="268"/>
      <c r="C167" s="10" t="s">
        <v>32</v>
      </c>
      <c r="D167" s="24">
        <v>100000</v>
      </c>
      <c r="E167" s="11"/>
      <c r="F167" s="11"/>
      <c r="G167" s="11"/>
      <c r="H167" s="11"/>
      <c r="I167" s="202"/>
      <c r="J167" s="20">
        <f t="shared" si="50"/>
        <v>100000</v>
      </c>
      <c r="K167" s="112">
        <v>0</v>
      </c>
      <c r="L167" s="3">
        <f t="shared" si="51"/>
        <v>100000</v>
      </c>
    </row>
    <row r="168" spans="1:12" x14ac:dyDescent="0.25">
      <c r="A168" s="258"/>
      <c r="B168" s="268"/>
      <c r="C168" s="10" t="s">
        <v>33</v>
      </c>
      <c r="D168" s="24">
        <v>100000</v>
      </c>
      <c r="E168" s="11"/>
      <c r="F168" s="11"/>
      <c r="G168" s="11"/>
      <c r="H168" s="11"/>
      <c r="I168" s="202"/>
      <c r="J168" s="20">
        <f t="shared" si="50"/>
        <v>100000</v>
      </c>
      <c r="K168" s="112">
        <v>0</v>
      </c>
      <c r="L168" s="3">
        <f t="shared" si="51"/>
        <v>100000</v>
      </c>
    </row>
    <row r="169" spans="1:12" x14ac:dyDescent="0.25">
      <c r="A169" s="258"/>
      <c r="B169" s="268"/>
      <c r="C169" s="10" t="s">
        <v>34</v>
      </c>
      <c r="D169" s="24">
        <v>100000</v>
      </c>
      <c r="E169" s="197"/>
      <c r="F169" s="11"/>
      <c r="G169" s="11"/>
      <c r="H169" s="11"/>
      <c r="I169" s="202"/>
      <c r="J169" s="20">
        <f t="shared" si="50"/>
        <v>100000</v>
      </c>
      <c r="K169" s="112">
        <v>0</v>
      </c>
      <c r="L169" s="3">
        <f t="shared" si="51"/>
        <v>100000</v>
      </c>
    </row>
    <row r="170" spans="1:12" x14ac:dyDescent="0.25">
      <c r="A170" s="258"/>
      <c r="B170" s="268"/>
      <c r="C170" s="10" t="s">
        <v>35</v>
      </c>
      <c r="D170" s="24">
        <v>50000</v>
      </c>
      <c r="E170" s="197"/>
      <c r="F170" s="11"/>
      <c r="G170" s="11"/>
      <c r="H170" s="11"/>
      <c r="I170" s="202"/>
      <c r="J170" s="20">
        <f t="shared" si="50"/>
        <v>50000</v>
      </c>
      <c r="K170" s="112">
        <v>0</v>
      </c>
      <c r="L170" s="3">
        <f t="shared" si="51"/>
        <v>50000</v>
      </c>
    </row>
    <row r="171" spans="1:12" x14ac:dyDescent="0.25">
      <c r="A171" s="258"/>
      <c r="B171" s="268"/>
      <c r="C171" s="10" t="s">
        <v>38</v>
      </c>
      <c r="D171" s="24">
        <v>147180</v>
      </c>
      <c r="E171" s="197"/>
      <c r="F171" s="11"/>
      <c r="G171" s="11"/>
      <c r="H171" s="11"/>
      <c r="I171" s="202"/>
      <c r="J171" s="20">
        <f t="shared" si="50"/>
        <v>147180</v>
      </c>
      <c r="K171" s="112">
        <v>17774</v>
      </c>
      <c r="L171" s="3">
        <f t="shared" si="51"/>
        <v>129406</v>
      </c>
    </row>
    <row r="172" spans="1:12" x14ac:dyDescent="0.25">
      <c r="A172" s="258"/>
      <c r="B172" s="268"/>
      <c r="C172" s="10" t="s">
        <v>40</v>
      </c>
      <c r="D172" s="24">
        <v>13600</v>
      </c>
      <c r="E172" s="197"/>
      <c r="F172" s="11"/>
      <c r="G172" s="11"/>
      <c r="H172" s="11"/>
      <c r="I172" s="202"/>
      <c r="J172" s="20">
        <f t="shared" si="50"/>
        <v>13600</v>
      </c>
      <c r="K172" s="112">
        <v>6800</v>
      </c>
      <c r="L172" s="3">
        <f t="shared" si="51"/>
        <v>6800</v>
      </c>
    </row>
    <row r="173" spans="1:12" x14ac:dyDescent="0.25">
      <c r="A173" s="258"/>
      <c r="B173" s="268"/>
      <c r="C173" s="10" t="s">
        <v>41</v>
      </c>
      <c r="D173" s="24">
        <v>96482</v>
      </c>
      <c r="E173" s="197"/>
      <c r="F173" s="249">
        <v>251969</v>
      </c>
      <c r="G173" s="249">
        <v>-251969</v>
      </c>
      <c r="H173" s="11"/>
      <c r="I173" s="202"/>
      <c r="J173" s="20">
        <f t="shared" si="50"/>
        <v>96482</v>
      </c>
      <c r="K173" s="112">
        <v>34840</v>
      </c>
      <c r="L173" s="3">
        <f t="shared" si="51"/>
        <v>61642</v>
      </c>
    </row>
    <row r="174" spans="1:12" x14ac:dyDescent="0.25">
      <c r="A174" s="258"/>
      <c r="B174" s="268"/>
      <c r="C174" s="10" t="s">
        <v>42</v>
      </c>
      <c r="D174" s="24">
        <v>240000</v>
      </c>
      <c r="E174" s="197"/>
      <c r="F174" s="249"/>
      <c r="G174" s="249"/>
      <c r="H174" s="11"/>
      <c r="I174" s="202"/>
      <c r="J174" s="20">
        <f t="shared" si="50"/>
        <v>240000</v>
      </c>
      <c r="K174" s="112">
        <v>77259</v>
      </c>
      <c r="L174" s="3">
        <f t="shared" si="51"/>
        <v>162741</v>
      </c>
    </row>
    <row r="175" spans="1:12" x14ac:dyDescent="0.25">
      <c r="A175" s="258"/>
      <c r="B175" s="268"/>
      <c r="C175" s="10" t="s">
        <v>44</v>
      </c>
      <c r="D175" s="24">
        <v>144790</v>
      </c>
      <c r="E175" s="197"/>
      <c r="F175" s="249">
        <v>68031</v>
      </c>
      <c r="G175" s="249">
        <v>-68031</v>
      </c>
      <c r="H175" s="11"/>
      <c r="I175" s="202"/>
      <c r="J175" s="20">
        <f t="shared" si="50"/>
        <v>144790</v>
      </c>
      <c r="K175" s="112">
        <v>8806</v>
      </c>
      <c r="L175" s="3">
        <f t="shared" si="51"/>
        <v>135984</v>
      </c>
    </row>
    <row r="176" spans="1:12" x14ac:dyDescent="0.25">
      <c r="A176" s="258"/>
      <c r="B176" s="268"/>
      <c r="C176" s="231" t="s">
        <v>45</v>
      </c>
      <c r="D176" s="24">
        <v>0</v>
      </c>
      <c r="E176" s="197"/>
      <c r="F176" s="249"/>
      <c r="G176" s="11"/>
      <c r="H176" s="11"/>
      <c r="I176" s="202"/>
      <c r="J176" s="20">
        <f t="shared" si="50"/>
        <v>0</v>
      </c>
      <c r="K176" s="112">
        <v>-42376</v>
      </c>
      <c r="L176" s="3">
        <f t="shared" si="51"/>
        <v>42376</v>
      </c>
    </row>
    <row r="177" spans="1:12" x14ac:dyDescent="0.25">
      <c r="A177" s="258"/>
      <c r="B177" s="268"/>
      <c r="C177" s="6" t="s">
        <v>49</v>
      </c>
      <c r="D177" s="114">
        <f t="shared" ref="D177:J177" si="52">SUM(D167:D176)</f>
        <v>992052</v>
      </c>
      <c r="E177" s="114">
        <f t="shared" si="52"/>
        <v>0</v>
      </c>
      <c r="F177" s="114">
        <f t="shared" si="52"/>
        <v>320000</v>
      </c>
      <c r="G177" s="114">
        <f t="shared" si="52"/>
        <v>-320000</v>
      </c>
      <c r="H177" s="114">
        <f t="shared" si="52"/>
        <v>0</v>
      </c>
      <c r="I177" s="114">
        <f t="shared" si="52"/>
        <v>0</v>
      </c>
      <c r="J177" s="114">
        <f t="shared" si="52"/>
        <v>992052</v>
      </c>
      <c r="K177" s="114">
        <f>SUM(K167:K176)</f>
        <v>103103</v>
      </c>
      <c r="L177" s="114">
        <f>SUM(L167:L176)</f>
        <v>888949</v>
      </c>
    </row>
    <row r="178" spans="1:12" x14ac:dyDescent="0.25">
      <c r="A178" s="255" t="s">
        <v>67</v>
      </c>
      <c r="B178" s="252" t="s">
        <v>23</v>
      </c>
      <c r="C178" s="25" t="s">
        <v>29</v>
      </c>
      <c r="D178" s="24">
        <v>63600</v>
      </c>
      <c r="E178" s="11"/>
      <c r="F178" s="197"/>
      <c r="G178" s="197"/>
      <c r="H178" s="11"/>
      <c r="I178" s="202"/>
      <c r="J178" s="20">
        <f>SUM(D178:I178)</f>
        <v>63600</v>
      </c>
      <c r="K178" s="112">
        <v>5300</v>
      </c>
      <c r="L178" s="3">
        <f t="shared" ref="L178:L194" si="53">J178-K178</f>
        <v>58300</v>
      </c>
    </row>
    <row r="179" spans="1:12" x14ac:dyDescent="0.25">
      <c r="A179" s="257"/>
      <c r="B179" s="254"/>
      <c r="C179" s="25" t="s">
        <v>31</v>
      </c>
      <c r="D179" s="24">
        <v>11130</v>
      </c>
      <c r="E179" s="11"/>
      <c r="F179" s="197"/>
      <c r="G179" s="197"/>
      <c r="H179" s="11"/>
      <c r="I179" s="202"/>
      <c r="J179" s="20">
        <f>SUM(D179:I179)</f>
        <v>11130</v>
      </c>
      <c r="K179" s="112">
        <v>927</v>
      </c>
      <c r="L179" s="3">
        <f t="shared" si="53"/>
        <v>10203</v>
      </c>
    </row>
    <row r="180" spans="1:12" x14ac:dyDescent="0.25">
      <c r="A180" s="255" t="s">
        <v>75</v>
      </c>
      <c r="B180" s="252" t="s">
        <v>23</v>
      </c>
      <c r="C180" s="15" t="s">
        <v>24</v>
      </c>
      <c r="D180" s="24">
        <v>1237132</v>
      </c>
      <c r="E180" s="11"/>
      <c r="F180" s="197"/>
      <c r="G180" s="197"/>
      <c r="H180" s="11"/>
      <c r="I180" s="202"/>
      <c r="J180" s="20">
        <f>SUM(D180:I180)</f>
        <v>1237132</v>
      </c>
      <c r="K180" s="112">
        <v>697949</v>
      </c>
      <c r="L180" s="3">
        <f t="shared" si="53"/>
        <v>539183</v>
      </c>
    </row>
    <row r="181" spans="1:12" x14ac:dyDescent="0.25">
      <c r="A181" s="257"/>
      <c r="B181" s="254"/>
      <c r="C181" s="15" t="s">
        <v>31</v>
      </c>
      <c r="D181" s="24">
        <v>213218</v>
      </c>
      <c r="E181" s="11"/>
      <c r="F181" s="197"/>
      <c r="G181" s="197"/>
      <c r="H181" s="11"/>
      <c r="I181" s="202"/>
      <c r="J181" s="20">
        <f>SUM(D181:I181)</f>
        <v>213218</v>
      </c>
      <c r="K181" s="112">
        <v>120536</v>
      </c>
      <c r="L181" s="3">
        <f t="shared" si="53"/>
        <v>92682</v>
      </c>
    </row>
    <row r="182" spans="1:12" x14ac:dyDescent="0.25">
      <c r="A182" s="433" t="s">
        <v>80</v>
      </c>
      <c r="B182" s="433"/>
      <c r="C182" s="433"/>
      <c r="D182" s="233">
        <f>SUM(D165+D166+D177+D178+D179+D180+D181)</f>
        <v>9327007</v>
      </c>
      <c r="E182" s="233">
        <f t="shared" ref="E182:L182" si="54">SUM(E165+E166+E177+E178+E179+E180+E181)</f>
        <v>0</v>
      </c>
      <c r="F182" s="233">
        <f t="shared" si="54"/>
        <v>320000</v>
      </c>
      <c r="G182" s="233">
        <f t="shared" si="54"/>
        <v>-320000</v>
      </c>
      <c r="H182" s="233">
        <f t="shared" si="54"/>
        <v>0</v>
      </c>
      <c r="I182" s="233">
        <f t="shared" si="54"/>
        <v>0</v>
      </c>
      <c r="J182" s="233">
        <f t="shared" si="54"/>
        <v>9327007</v>
      </c>
      <c r="K182" s="234">
        <f t="shared" si="54"/>
        <v>5216470</v>
      </c>
      <c r="L182" s="233">
        <f t="shared" si="54"/>
        <v>4110537</v>
      </c>
    </row>
    <row r="183" spans="1:12" x14ac:dyDescent="0.25">
      <c r="A183" s="258" t="s">
        <v>15</v>
      </c>
      <c r="B183" s="252" t="s">
        <v>23</v>
      </c>
      <c r="C183" s="43" t="s">
        <v>24</v>
      </c>
      <c r="D183" s="44">
        <v>10094191</v>
      </c>
      <c r="E183" s="44">
        <v>251224</v>
      </c>
      <c r="F183" s="44"/>
      <c r="G183" s="44"/>
      <c r="H183" s="44"/>
      <c r="I183" s="203"/>
      <c r="J183" s="20">
        <f>SUM(D183:I183)</f>
        <v>10345415</v>
      </c>
      <c r="K183" s="56">
        <v>9924215</v>
      </c>
      <c r="L183" s="3">
        <f t="shared" si="53"/>
        <v>421200</v>
      </c>
    </row>
    <row r="184" spans="1:12" x14ac:dyDescent="0.25">
      <c r="A184" s="258"/>
      <c r="B184" s="253"/>
      <c r="C184" s="43" t="s">
        <v>30</v>
      </c>
      <c r="D184" s="44">
        <v>0</v>
      </c>
      <c r="E184" s="44"/>
      <c r="F184" s="44"/>
      <c r="G184" s="44"/>
      <c r="H184" s="44"/>
      <c r="I184" s="203"/>
      <c r="J184" s="20">
        <f>SUM(D184:I184)</f>
        <v>0</v>
      </c>
      <c r="K184" s="56">
        <v>0</v>
      </c>
      <c r="L184" s="3">
        <f t="shared" si="53"/>
        <v>0</v>
      </c>
    </row>
    <row r="185" spans="1:12" x14ac:dyDescent="0.25">
      <c r="A185" s="258"/>
      <c r="B185" s="253"/>
      <c r="C185" s="6" t="s">
        <v>53</v>
      </c>
      <c r="D185" s="7">
        <f>D183+D184</f>
        <v>10094191</v>
      </c>
      <c r="E185" s="7">
        <f t="shared" ref="E185:L185" si="55">E183+E184</f>
        <v>251224</v>
      </c>
      <c r="F185" s="7">
        <f t="shared" si="55"/>
        <v>0</v>
      </c>
      <c r="G185" s="7">
        <f t="shared" si="55"/>
        <v>0</v>
      </c>
      <c r="H185" s="7">
        <f t="shared" si="55"/>
        <v>0</v>
      </c>
      <c r="I185" s="7">
        <f t="shared" si="55"/>
        <v>0</v>
      </c>
      <c r="J185" s="8">
        <f>SUM(J183:J184)</f>
        <v>10345415</v>
      </c>
      <c r="K185" s="117">
        <f t="shared" si="55"/>
        <v>9924215</v>
      </c>
      <c r="L185" s="7">
        <f t="shared" si="55"/>
        <v>421200</v>
      </c>
    </row>
    <row r="186" spans="1:12" x14ac:dyDescent="0.25">
      <c r="A186" s="258"/>
      <c r="B186" s="253"/>
      <c r="C186" s="86" t="s">
        <v>31</v>
      </c>
      <c r="D186" s="87">
        <v>3504444</v>
      </c>
      <c r="E186" s="87"/>
      <c r="F186" s="87"/>
      <c r="G186" s="87"/>
      <c r="H186" s="87"/>
      <c r="I186" s="87"/>
      <c r="J186" s="88">
        <f t="shared" ref="J186:J194" si="56">SUM(D186:I186)</f>
        <v>3504444</v>
      </c>
      <c r="K186" s="115">
        <v>3161841</v>
      </c>
      <c r="L186" s="89">
        <f t="shared" si="53"/>
        <v>342603</v>
      </c>
    </row>
    <row r="187" spans="1:12" x14ac:dyDescent="0.25">
      <c r="A187" s="258"/>
      <c r="B187" s="253"/>
      <c r="C187" s="10" t="s">
        <v>33</v>
      </c>
      <c r="D187" s="3">
        <v>2018763</v>
      </c>
      <c r="E187" s="3"/>
      <c r="F187" s="3"/>
      <c r="G187" s="3"/>
      <c r="H187" s="3"/>
      <c r="I187" s="3"/>
      <c r="J187" s="20">
        <f t="shared" si="56"/>
        <v>2018763</v>
      </c>
      <c r="K187" s="112">
        <v>0</v>
      </c>
      <c r="L187" s="3">
        <f t="shared" si="53"/>
        <v>2018763</v>
      </c>
    </row>
    <row r="188" spans="1:12" x14ac:dyDescent="0.25">
      <c r="A188" s="258"/>
      <c r="B188" s="253"/>
      <c r="C188" s="10" t="s">
        <v>37</v>
      </c>
      <c r="D188" s="3">
        <v>146740</v>
      </c>
      <c r="E188" s="3"/>
      <c r="F188" s="3"/>
      <c r="G188" s="3"/>
      <c r="H188" s="3"/>
      <c r="I188" s="3"/>
      <c r="J188" s="20">
        <f t="shared" si="56"/>
        <v>146740</v>
      </c>
      <c r="K188" s="112">
        <v>92000</v>
      </c>
      <c r="L188" s="3">
        <f t="shared" si="53"/>
        <v>54740</v>
      </c>
    </row>
    <row r="189" spans="1:12" x14ac:dyDescent="0.25">
      <c r="A189" s="258"/>
      <c r="B189" s="253"/>
      <c r="C189" s="10" t="s">
        <v>40</v>
      </c>
      <c r="D189" s="3">
        <v>9540100</v>
      </c>
      <c r="E189" s="3"/>
      <c r="F189" s="3"/>
      <c r="G189" s="3"/>
      <c r="H189" s="3"/>
      <c r="I189" s="3"/>
      <c r="J189" s="20">
        <f t="shared" si="56"/>
        <v>9540100</v>
      </c>
      <c r="K189" s="112">
        <v>9510000</v>
      </c>
      <c r="L189" s="3">
        <f t="shared" si="53"/>
        <v>30100</v>
      </c>
    </row>
    <row r="190" spans="1:12" x14ac:dyDescent="0.25">
      <c r="A190" s="258"/>
      <c r="B190" s="253"/>
      <c r="C190" s="10" t="s">
        <v>41</v>
      </c>
      <c r="D190" s="3">
        <v>543891</v>
      </c>
      <c r="E190" s="3"/>
      <c r="F190" s="3"/>
      <c r="G190" s="3"/>
      <c r="H190" s="3"/>
      <c r="I190" s="3"/>
      <c r="J190" s="20">
        <f t="shared" si="56"/>
        <v>543891</v>
      </c>
      <c r="K190" s="112">
        <v>438216</v>
      </c>
      <c r="L190" s="3">
        <f t="shared" si="53"/>
        <v>105675</v>
      </c>
    </row>
    <row r="191" spans="1:12" x14ac:dyDescent="0.25">
      <c r="A191" s="258"/>
      <c r="B191" s="253"/>
      <c r="C191" s="10" t="s">
        <v>42</v>
      </c>
      <c r="D191" s="3">
        <v>242900</v>
      </c>
      <c r="E191" s="3"/>
      <c r="F191" s="3"/>
      <c r="G191" s="3"/>
      <c r="H191" s="3"/>
      <c r="I191" s="3"/>
      <c r="J191" s="20">
        <f t="shared" si="56"/>
        <v>242900</v>
      </c>
      <c r="K191" s="112">
        <v>7127</v>
      </c>
      <c r="L191" s="3">
        <f t="shared" si="53"/>
        <v>235773</v>
      </c>
    </row>
    <row r="192" spans="1:12" x14ac:dyDescent="0.25">
      <c r="A192" s="258"/>
      <c r="B192" s="253"/>
      <c r="C192" s="10" t="s">
        <v>43</v>
      </c>
      <c r="D192" s="3">
        <v>0</v>
      </c>
      <c r="E192" s="3"/>
      <c r="F192" s="3"/>
      <c r="G192" s="3"/>
      <c r="H192" s="3"/>
      <c r="I192" s="3"/>
      <c r="J192" s="20">
        <f t="shared" si="56"/>
        <v>0</v>
      </c>
      <c r="K192" s="112">
        <v>0</v>
      </c>
      <c r="L192" s="3">
        <f t="shared" si="53"/>
        <v>0</v>
      </c>
    </row>
    <row r="193" spans="1:12" x14ac:dyDescent="0.25">
      <c r="A193" s="258"/>
      <c r="B193" s="253"/>
      <c r="C193" s="10" t="s">
        <v>44</v>
      </c>
      <c r="D193" s="3">
        <v>545070</v>
      </c>
      <c r="E193" s="3"/>
      <c r="F193" s="3"/>
      <c r="G193" s="3"/>
      <c r="H193" s="3"/>
      <c r="I193" s="3"/>
      <c r="J193" s="20">
        <f t="shared" si="56"/>
        <v>545070</v>
      </c>
      <c r="K193" s="112">
        <v>43974</v>
      </c>
      <c r="L193" s="3">
        <f t="shared" si="53"/>
        <v>501096</v>
      </c>
    </row>
    <row r="194" spans="1:12" x14ac:dyDescent="0.25">
      <c r="A194" s="258"/>
      <c r="B194" s="253"/>
      <c r="C194" s="10" t="s">
        <v>45</v>
      </c>
      <c r="D194" s="3">
        <v>230000</v>
      </c>
      <c r="E194" s="3"/>
      <c r="F194" s="3"/>
      <c r="G194" s="3"/>
      <c r="H194" s="3"/>
      <c r="I194" s="3"/>
      <c r="J194" s="20">
        <f t="shared" si="56"/>
        <v>230000</v>
      </c>
      <c r="K194" s="112">
        <v>0</v>
      </c>
      <c r="L194" s="3">
        <f t="shared" si="53"/>
        <v>230000</v>
      </c>
    </row>
    <row r="195" spans="1:12" x14ac:dyDescent="0.25">
      <c r="A195" s="258"/>
      <c r="B195" s="253"/>
      <c r="C195" s="6" t="s">
        <v>49</v>
      </c>
      <c r="D195" s="7">
        <f>SUM(D187:D194)</f>
        <v>13267464</v>
      </c>
      <c r="E195" s="7">
        <f t="shared" ref="E195:L195" si="57">SUM(E187:E194)</f>
        <v>0</v>
      </c>
      <c r="F195" s="7">
        <f t="shared" si="57"/>
        <v>0</v>
      </c>
      <c r="G195" s="7">
        <f t="shared" si="57"/>
        <v>0</v>
      </c>
      <c r="H195" s="7">
        <f t="shared" si="57"/>
        <v>0</v>
      </c>
      <c r="I195" s="7">
        <f t="shared" si="57"/>
        <v>0</v>
      </c>
      <c r="J195" s="7">
        <f t="shared" si="57"/>
        <v>13267464</v>
      </c>
      <c r="K195" s="114">
        <f t="shared" si="57"/>
        <v>10091317</v>
      </c>
      <c r="L195" s="7">
        <f t="shared" si="57"/>
        <v>3176147</v>
      </c>
    </row>
    <row r="196" spans="1:12" x14ac:dyDescent="0.25">
      <c r="A196" s="258"/>
      <c r="B196" s="253"/>
      <c r="C196" s="10" t="s">
        <v>56</v>
      </c>
      <c r="D196" s="3">
        <v>0</v>
      </c>
      <c r="E196" s="3"/>
      <c r="F196" s="3"/>
      <c r="G196" s="3"/>
      <c r="H196" s="3"/>
      <c r="I196" s="3"/>
      <c r="J196" s="20">
        <f>SUM(D196:I196)</f>
        <v>0</v>
      </c>
      <c r="K196" s="112">
        <v>0</v>
      </c>
      <c r="L196" s="3">
        <f t="shared" ref="L196:L198" si="58">J196-K196</f>
        <v>0</v>
      </c>
    </row>
    <row r="197" spans="1:12" x14ac:dyDescent="0.25">
      <c r="A197" s="258"/>
      <c r="B197" s="253"/>
      <c r="C197" s="10" t="s">
        <v>50</v>
      </c>
      <c r="D197" s="3">
        <v>3740</v>
      </c>
      <c r="E197" s="3"/>
      <c r="F197" s="3"/>
      <c r="G197" s="3"/>
      <c r="H197" s="3"/>
      <c r="I197" s="3"/>
      <c r="J197" s="20">
        <f>SUM(D197:I197)</f>
        <v>3740</v>
      </c>
      <c r="K197" s="112">
        <v>0</v>
      </c>
      <c r="L197" s="3">
        <f t="shared" si="58"/>
        <v>3740</v>
      </c>
    </row>
    <row r="198" spans="1:12" x14ac:dyDescent="0.25">
      <c r="A198" s="258"/>
      <c r="B198" s="253"/>
      <c r="C198" s="10" t="s">
        <v>51</v>
      </c>
      <c r="D198" s="3">
        <v>1010</v>
      </c>
      <c r="E198" s="3"/>
      <c r="F198" s="3"/>
      <c r="G198" s="3"/>
      <c r="H198" s="3"/>
      <c r="I198" s="3"/>
      <c r="J198" s="20">
        <f>SUM(D198:I198)</f>
        <v>1010</v>
      </c>
      <c r="K198" s="112">
        <v>0</v>
      </c>
      <c r="L198" s="3">
        <f t="shared" si="58"/>
        <v>1010</v>
      </c>
    </row>
    <row r="199" spans="1:12" x14ac:dyDescent="0.25">
      <c r="A199" s="258"/>
      <c r="B199" s="253"/>
      <c r="C199" s="6" t="s">
        <v>52</v>
      </c>
      <c r="D199" s="7">
        <f>SUM(D196:D198)</f>
        <v>4750</v>
      </c>
      <c r="E199" s="7">
        <f t="shared" ref="E199:L199" si="59">SUM(E196:E198)</f>
        <v>0</v>
      </c>
      <c r="F199" s="7">
        <f t="shared" si="59"/>
        <v>0</v>
      </c>
      <c r="G199" s="7">
        <f t="shared" si="59"/>
        <v>0</v>
      </c>
      <c r="H199" s="7">
        <f t="shared" si="59"/>
        <v>0</v>
      </c>
      <c r="I199" s="7">
        <f t="shared" si="59"/>
        <v>0</v>
      </c>
      <c r="J199" s="7">
        <f t="shared" si="59"/>
        <v>4750</v>
      </c>
      <c r="K199" s="114">
        <f t="shared" si="59"/>
        <v>0</v>
      </c>
      <c r="L199" s="7">
        <f t="shared" si="59"/>
        <v>4750</v>
      </c>
    </row>
    <row r="200" spans="1:12" x14ac:dyDescent="0.25">
      <c r="A200" s="258"/>
      <c r="B200" s="254"/>
      <c r="C200" s="10" t="s">
        <v>57</v>
      </c>
      <c r="D200" s="3">
        <v>0</v>
      </c>
      <c r="E200" s="3"/>
      <c r="F200" s="3"/>
      <c r="G200" s="3"/>
      <c r="H200" s="3"/>
      <c r="I200" s="3"/>
      <c r="J200" s="20">
        <f>SUM(D200:I200)</f>
        <v>0</v>
      </c>
      <c r="K200" s="112">
        <v>0</v>
      </c>
      <c r="L200" s="3">
        <f t="shared" ref="L200" si="60">J200-K200</f>
        <v>0</v>
      </c>
    </row>
    <row r="201" spans="1:12" x14ac:dyDescent="0.25">
      <c r="A201" s="430" t="s">
        <v>81</v>
      </c>
      <c r="B201" s="431"/>
      <c r="C201" s="432"/>
      <c r="D201" s="232">
        <f>SUM(D185+D186+D195+D199+D200)</f>
        <v>26870849</v>
      </c>
      <c r="E201" s="232">
        <f t="shared" ref="E201:L201" si="61">SUM(E185+E186+E195+E199+E200)</f>
        <v>251224</v>
      </c>
      <c r="F201" s="232">
        <f t="shared" si="61"/>
        <v>0</v>
      </c>
      <c r="G201" s="232">
        <f t="shared" si="61"/>
        <v>0</v>
      </c>
      <c r="H201" s="232">
        <f t="shared" si="61"/>
        <v>0</v>
      </c>
      <c r="I201" s="232">
        <f t="shared" si="61"/>
        <v>0</v>
      </c>
      <c r="J201" s="232">
        <f t="shared" si="61"/>
        <v>27122073</v>
      </c>
      <c r="K201" s="234">
        <f t="shared" si="61"/>
        <v>23177373</v>
      </c>
      <c r="L201" s="232">
        <f t="shared" si="61"/>
        <v>3944700</v>
      </c>
    </row>
    <row r="202" spans="1:12" x14ac:dyDescent="0.25">
      <c r="A202" s="256" t="s">
        <v>85</v>
      </c>
      <c r="B202" s="252" t="s">
        <v>46</v>
      </c>
      <c r="C202" s="12" t="s">
        <v>24</v>
      </c>
      <c r="D202" s="3">
        <f>13874752-2650152</f>
        <v>11224600</v>
      </c>
      <c r="E202" s="3"/>
      <c r="F202" s="3"/>
      <c r="G202" s="3"/>
      <c r="H202" s="3"/>
      <c r="I202" s="20"/>
      <c r="J202" s="20">
        <f t="shared" ref="J202:J207" si="62">SUM(D202:I202)</f>
        <v>11224600</v>
      </c>
      <c r="K202" s="112">
        <v>6857740</v>
      </c>
      <c r="L202" s="3">
        <f t="shared" ref="L202:L207" si="63">J202-K202</f>
        <v>4366860</v>
      </c>
    </row>
    <row r="203" spans="1:12" x14ac:dyDescent="0.25">
      <c r="A203" s="256"/>
      <c r="B203" s="253"/>
      <c r="C203" s="12" t="s">
        <v>25</v>
      </c>
      <c r="D203" s="3">
        <v>400000</v>
      </c>
      <c r="E203" s="3"/>
      <c r="F203" s="3"/>
      <c r="G203" s="3"/>
      <c r="H203" s="3"/>
      <c r="I203" s="20"/>
      <c r="J203" s="20">
        <f t="shared" si="62"/>
        <v>400000</v>
      </c>
      <c r="K203" s="112">
        <v>400000</v>
      </c>
      <c r="L203" s="3">
        <f t="shared" si="63"/>
        <v>0</v>
      </c>
    </row>
    <row r="204" spans="1:12" x14ac:dyDescent="0.25">
      <c r="A204" s="256"/>
      <c r="B204" s="253"/>
      <c r="C204" s="12" t="s">
        <v>26</v>
      </c>
      <c r="D204" s="3">
        <v>26700</v>
      </c>
      <c r="E204" s="3"/>
      <c r="F204" s="3"/>
      <c r="G204" s="3"/>
      <c r="H204" s="3"/>
      <c r="I204" s="20"/>
      <c r="J204" s="20">
        <f t="shared" si="62"/>
        <v>26700</v>
      </c>
      <c r="K204" s="112">
        <v>0</v>
      </c>
      <c r="L204" s="3">
        <f t="shared" si="63"/>
        <v>26700</v>
      </c>
    </row>
    <row r="205" spans="1:12" x14ac:dyDescent="0.25">
      <c r="A205" s="256"/>
      <c r="B205" s="253"/>
      <c r="C205" s="2" t="s">
        <v>27</v>
      </c>
      <c r="D205" s="3">
        <v>81000</v>
      </c>
      <c r="E205" s="3"/>
      <c r="F205" s="3"/>
      <c r="G205" s="3"/>
      <c r="H205" s="3"/>
      <c r="I205" s="20"/>
      <c r="J205" s="20">
        <f t="shared" si="62"/>
        <v>81000</v>
      </c>
      <c r="K205" s="112">
        <v>12852</v>
      </c>
      <c r="L205" s="3">
        <f t="shared" si="63"/>
        <v>68148</v>
      </c>
    </row>
    <row r="206" spans="1:12" x14ac:dyDescent="0.25">
      <c r="A206" s="256"/>
      <c r="B206" s="253"/>
      <c r="C206" s="2" t="s">
        <v>28</v>
      </c>
      <c r="D206" s="3">
        <v>48000</v>
      </c>
      <c r="E206" s="3"/>
      <c r="F206" s="3"/>
      <c r="G206" s="3"/>
      <c r="H206" s="3"/>
      <c r="I206" s="20"/>
      <c r="J206" s="20">
        <f t="shared" si="62"/>
        <v>48000</v>
      </c>
      <c r="K206" s="112">
        <v>24000</v>
      </c>
      <c r="L206" s="3">
        <f t="shared" si="63"/>
        <v>24000</v>
      </c>
    </row>
    <row r="207" spans="1:12" x14ac:dyDescent="0.25">
      <c r="A207" s="256"/>
      <c r="B207" s="253"/>
      <c r="C207" s="2" t="s">
        <v>29</v>
      </c>
      <c r="D207" s="3">
        <v>288000</v>
      </c>
      <c r="E207" s="3"/>
      <c r="F207" s="3"/>
      <c r="G207" s="3"/>
      <c r="H207" s="3"/>
      <c r="I207" s="20"/>
      <c r="J207" s="20">
        <f t="shared" si="62"/>
        <v>288000</v>
      </c>
      <c r="K207" s="112">
        <v>238219</v>
      </c>
      <c r="L207" s="3">
        <f t="shared" si="63"/>
        <v>49781</v>
      </c>
    </row>
    <row r="208" spans="1:12" x14ac:dyDescent="0.25">
      <c r="A208" s="256"/>
      <c r="B208" s="253"/>
      <c r="C208" s="26" t="s">
        <v>53</v>
      </c>
      <c r="D208" s="7">
        <f>SUM(D202:D207)</f>
        <v>12068300</v>
      </c>
      <c r="E208" s="7">
        <f t="shared" ref="E208:L208" si="64">SUM(E202:E207)</f>
        <v>0</v>
      </c>
      <c r="F208" s="7">
        <f t="shared" si="64"/>
        <v>0</v>
      </c>
      <c r="G208" s="7">
        <f t="shared" si="64"/>
        <v>0</v>
      </c>
      <c r="H208" s="7">
        <f t="shared" si="64"/>
        <v>0</v>
      </c>
      <c r="I208" s="7">
        <f t="shared" si="64"/>
        <v>0</v>
      </c>
      <c r="J208" s="7">
        <f t="shared" si="64"/>
        <v>12068300</v>
      </c>
      <c r="K208" s="114">
        <f t="shared" si="64"/>
        <v>7532811</v>
      </c>
      <c r="L208" s="7">
        <f t="shared" si="64"/>
        <v>4535489</v>
      </c>
    </row>
    <row r="209" spans="1:12" x14ac:dyDescent="0.25">
      <c r="A209" s="256"/>
      <c r="B209" s="253"/>
      <c r="C209" s="90" t="s">
        <v>31</v>
      </c>
      <c r="D209" s="91">
        <f>2718790-463777</f>
        <v>2255013</v>
      </c>
      <c r="E209" s="92"/>
      <c r="F209" s="92"/>
      <c r="G209" s="92"/>
      <c r="H209" s="92"/>
      <c r="I209" s="204"/>
      <c r="J209" s="88">
        <f t="shared" ref="J209:J217" si="65">SUM(D209:I209)</f>
        <v>2255013</v>
      </c>
      <c r="K209" s="115">
        <v>1355697</v>
      </c>
      <c r="L209" s="89">
        <f t="shared" ref="L209:L217" si="66">J209-K209</f>
        <v>899316</v>
      </c>
    </row>
    <row r="210" spans="1:12" x14ac:dyDescent="0.25">
      <c r="A210" s="256"/>
      <c r="B210" s="253"/>
      <c r="C210" s="176" t="s">
        <v>32</v>
      </c>
      <c r="D210" s="173">
        <v>0</v>
      </c>
      <c r="E210" s="173"/>
      <c r="F210" s="173"/>
      <c r="G210" s="173"/>
      <c r="H210" s="173"/>
      <c r="I210" s="205"/>
      <c r="J210" s="20">
        <f t="shared" si="65"/>
        <v>0</v>
      </c>
      <c r="K210" s="118">
        <v>0</v>
      </c>
      <c r="L210" s="175">
        <f t="shared" si="66"/>
        <v>0</v>
      </c>
    </row>
    <row r="211" spans="1:12" x14ac:dyDescent="0.25">
      <c r="A211" s="256"/>
      <c r="B211" s="253"/>
      <c r="C211" s="103" t="s">
        <v>33</v>
      </c>
      <c r="D211" s="104">
        <v>240000</v>
      </c>
      <c r="E211" s="104"/>
      <c r="F211" s="104"/>
      <c r="G211" s="104"/>
      <c r="H211" s="104"/>
      <c r="I211" s="206"/>
      <c r="J211" s="20">
        <f t="shared" si="65"/>
        <v>240000</v>
      </c>
      <c r="K211" s="118">
        <v>72545</v>
      </c>
      <c r="L211" s="3">
        <f t="shared" si="66"/>
        <v>167455</v>
      </c>
    </row>
    <row r="212" spans="1:12" x14ac:dyDescent="0.25">
      <c r="A212" s="256"/>
      <c r="B212" s="253"/>
      <c r="C212" s="46" t="s">
        <v>35</v>
      </c>
      <c r="D212" s="47">
        <v>58000</v>
      </c>
      <c r="E212" s="47"/>
      <c r="F212" s="47"/>
      <c r="G212" s="47"/>
      <c r="H212" s="47"/>
      <c r="I212" s="207"/>
      <c r="J212" s="20">
        <f t="shared" si="65"/>
        <v>58000</v>
      </c>
      <c r="K212" s="118">
        <v>22884</v>
      </c>
      <c r="L212" s="3">
        <f t="shared" si="66"/>
        <v>35116</v>
      </c>
    </row>
    <row r="213" spans="1:12" x14ac:dyDescent="0.25">
      <c r="A213" s="256"/>
      <c r="B213" s="253"/>
      <c r="C213" s="102" t="s">
        <v>38</v>
      </c>
      <c r="D213" s="47">
        <v>0</v>
      </c>
      <c r="E213" s="47">
        <f>10000+4000</f>
        <v>14000</v>
      </c>
      <c r="F213" s="47"/>
      <c r="G213" s="47"/>
      <c r="H213" s="47"/>
      <c r="I213" s="207"/>
      <c r="J213" s="20">
        <f t="shared" si="65"/>
        <v>14000</v>
      </c>
      <c r="K213" s="118">
        <v>4000</v>
      </c>
      <c r="L213" s="3">
        <f t="shared" si="66"/>
        <v>10000</v>
      </c>
    </row>
    <row r="214" spans="1:12" x14ac:dyDescent="0.25">
      <c r="A214" s="256"/>
      <c r="B214" s="253"/>
      <c r="C214" s="135" t="s">
        <v>41</v>
      </c>
      <c r="D214" s="47">
        <v>70000</v>
      </c>
      <c r="E214" s="47"/>
      <c r="F214" s="47"/>
      <c r="G214" s="47"/>
      <c r="H214" s="47"/>
      <c r="I214" s="207"/>
      <c r="J214" s="20">
        <f t="shared" si="65"/>
        <v>70000</v>
      </c>
      <c r="K214" s="118">
        <v>0</v>
      </c>
      <c r="L214" s="3">
        <f t="shared" si="66"/>
        <v>70000</v>
      </c>
    </row>
    <row r="215" spans="1:12" x14ac:dyDescent="0.25">
      <c r="A215" s="256"/>
      <c r="B215" s="253"/>
      <c r="C215" s="46" t="s">
        <v>42</v>
      </c>
      <c r="D215" s="47">
        <v>180000</v>
      </c>
      <c r="E215" s="47"/>
      <c r="F215" s="47"/>
      <c r="G215" s="47"/>
      <c r="H215" s="47"/>
      <c r="I215" s="207"/>
      <c r="J215" s="20">
        <f t="shared" si="65"/>
        <v>180000</v>
      </c>
      <c r="K215" s="118">
        <v>35401</v>
      </c>
      <c r="L215" s="3">
        <f t="shared" si="66"/>
        <v>144599</v>
      </c>
    </row>
    <row r="216" spans="1:12" x14ac:dyDescent="0.25">
      <c r="A216" s="256"/>
      <c r="B216" s="253"/>
      <c r="C216" s="46" t="s">
        <v>44</v>
      </c>
      <c r="D216" s="47">
        <v>76320</v>
      </c>
      <c r="E216" s="47">
        <v>1080</v>
      </c>
      <c r="F216" s="47"/>
      <c r="G216" s="47"/>
      <c r="H216" s="47"/>
      <c r="I216" s="207"/>
      <c r="J216" s="20">
        <f t="shared" si="65"/>
        <v>77400</v>
      </c>
      <c r="K216" s="118">
        <v>25357</v>
      </c>
      <c r="L216" s="3">
        <f t="shared" si="66"/>
        <v>52043</v>
      </c>
    </row>
    <row r="217" spans="1:12" x14ac:dyDescent="0.25">
      <c r="A217" s="256"/>
      <c r="B217" s="253"/>
      <c r="C217" s="46" t="s">
        <v>45</v>
      </c>
      <c r="D217" s="47">
        <v>102051</v>
      </c>
      <c r="E217" s="47">
        <v>50000</v>
      </c>
      <c r="F217" s="47"/>
      <c r="G217" s="47"/>
      <c r="H217" s="47"/>
      <c r="I217" s="207"/>
      <c r="J217" s="20">
        <f t="shared" si="65"/>
        <v>152051</v>
      </c>
      <c r="K217" s="118">
        <v>79200</v>
      </c>
      <c r="L217" s="60">
        <f t="shared" si="66"/>
        <v>72851</v>
      </c>
    </row>
    <row r="218" spans="1:12" x14ac:dyDescent="0.25">
      <c r="A218" s="257"/>
      <c r="B218" s="254"/>
      <c r="C218" s="49" t="s">
        <v>49</v>
      </c>
      <c r="D218" s="50">
        <f t="shared" ref="D218:I218" si="67">SUM(D210:D217)</f>
        <v>726371</v>
      </c>
      <c r="E218" s="50">
        <f t="shared" si="67"/>
        <v>65080</v>
      </c>
      <c r="F218" s="50">
        <f t="shared" si="67"/>
        <v>0</v>
      </c>
      <c r="G218" s="50">
        <f t="shared" si="67"/>
        <v>0</v>
      </c>
      <c r="H218" s="50">
        <f t="shared" si="67"/>
        <v>0</v>
      </c>
      <c r="I218" s="50">
        <f t="shared" si="67"/>
        <v>0</v>
      </c>
      <c r="J218" s="50">
        <f>SUM(J210:J217)</f>
        <v>791451</v>
      </c>
      <c r="K218" s="50">
        <f t="shared" ref="K218:L218" si="68">SUM(K210:K217)</f>
        <v>239387</v>
      </c>
      <c r="L218" s="50">
        <f t="shared" si="68"/>
        <v>552064</v>
      </c>
    </row>
    <row r="219" spans="1:12" x14ac:dyDescent="0.25">
      <c r="A219" s="258" t="s">
        <v>68</v>
      </c>
      <c r="B219" s="267" t="s">
        <v>46</v>
      </c>
      <c r="C219" s="16" t="s">
        <v>24</v>
      </c>
      <c r="D219" s="17">
        <v>3505050</v>
      </c>
      <c r="E219" s="17"/>
      <c r="F219" s="17"/>
      <c r="G219" s="17"/>
      <c r="H219" s="17"/>
      <c r="I219" s="208"/>
      <c r="J219" s="20">
        <f>SUM(D219:I219)</f>
        <v>3505050</v>
      </c>
      <c r="K219" s="112">
        <v>2315544</v>
      </c>
      <c r="L219" s="3">
        <f t="shared" ref="L219:L220" si="69">J219-K219</f>
        <v>1189506</v>
      </c>
    </row>
    <row r="220" spans="1:12" x14ac:dyDescent="0.25">
      <c r="A220" s="255"/>
      <c r="B220" s="261"/>
      <c r="C220" s="18" t="s">
        <v>31</v>
      </c>
      <c r="D220" s="19">
        <v>605612</v>
      </c>
      <c r="E220" s="19"/>
      <c r="F220" s="19"/>
      <c r="G220" s="19"/>
      <c r="H220" s="19"/>
      <c r="I220" s="209"/>
      <c r="J220" s="20">
        <f>SUM(D220:I220)</f>
        <v>605612</v>
      </c>
      <c r="K220" s="112">
        <v>399248</v>
      </c>
      <c r="L220" s="3">
        <f t="shared" si="69"/>
        <v>206364</v>
      </c>
    </row>
    <row r="221" spans="1:12" x14ac:dyDescent="0.25">
      <c r="A221" s="430" t="s">
        <v>82</v>
      </c>
      <c r="B221" s="431"/>
      <c r="C221" s="432"/>
      <c r="D221" s="235">
        <f>SUM(D208+D209+D219+D220+D218)</f>
        <v>19160346</v>
      </c>
      <c r="E221" s="235">
        <f t="shared" ref="E221:I221" si="70">SUM(E208+E209+E219+E220+E218)</f>
        <v>65080</v>
      </c>
      <c r="F221" s="235">
        <f t="shared" si="70"/>
        <v>0</v>
      </c>
      <c r="G221" s="235">
        <f t="shared" si="70"/>
        <v>0</v>
      </c>
      <c r="H221" s="235">
        <f t="shared" si="70"/>
        <v>0</v>
      </c>
      <c r="I221" s="235">
        <f t="shared" si="70"/>
        <v>0</v>
      </c>
      <c r="J221" s="235">
        <f>SUM(J208+J209+J219+J220+J218)</f>
        <v>19225426</v>
      </c>
      <c r="K221" s="236">
        <f>SUM(K208+K209+K219+K220+K218)</f>
        <v>11842687</v>
      </c>
      <c r="L221" s="237">
        <f>SUM(L208+L209+L219+L220+L218)</f>
        <v>7382739</v>
      </c>
    </row>
    <row r="222" spans="1:12" ht="30.75" customHeight="1" x14ac:dyDescent="0.25">
      <c r="A222" s="430" t="s">
        <v>74</v>
      </c>
      <c r="B222" s="431"/>
      <c r="C222" s="432"/>
      <c r="D222" s="232">
        <f t="shared" ref="D222:K222" si="71">SUM(D90+D115+D137+D158+D182+D201+D221)</f>
        <v>211302060</v>
      </c>
      <c r="E222" s="232">
        <f t="shared" si="71"/>
        <v>0</v>
      </c>
      <c r="F222" s="232">
        <f t="shared" si="71"/>
        <v>4849000</v>
      </c>
      <c r="G222" s="232">
        <f t="shared" si="71"/>
        <v>-1201434</v>
      </c>
      <c r="H222" s="232">
        <f>SUM(H90+H115+H137+H158+H182+H201+H221)</f>
        <v>0</v>
      </c>
      <c r="I222" s="232">
        <f>SUM(I90+I115+I137+I158+I182+I201+I221)</f>
        <v>0</v>
      </c>
      <c r="J222" s="232">
        <f>SUM(J90+J115+J137+J158+J182+J201+J221)</f>
        <v>214949626</v>
      </c>
      <c r="K222" s="233">
        <f t="shared" si="71"/>
        <v>128383789</v>
      </c>
      <c r="L222" s="232">
        <f>SUM(L90+L115+L137+L158+L182+L201+L221)</f>
        <v>86565837</v>
      </c>
    </row>
    <row r="223" spans="1:12" x14ac:dyDescent="0.25">
      <c r="B223" s="5"/>
      <c r="E223" s="4"/>
      <c r="F223" s="4"/>
      <c r="G223" s="4"/>
      <c r="H223" s="4"/>
      <c r="I223" s="4"/>
      <c r="J223" s="4"/>
      <c r="K223" s="111"/>
    </row>
    <row r="224" spans="1:12" x14ac:dyDescent="0.25">
      <c r="B224" s="5"/>
      <c r="E224" s="4"/>
      <c r="F224" s="4"/>
      <c r="G224" s="4"/>
      <c r="H224" s="4"/>
      <c r="I224" s="4"/>
      <c r="J224" s="4"/>
      <c r="K224" s="111"/>
    </row>
    <row r="225" spans="1:11" x14ac:dyDescent="0.25">
      <c r="B225" s="5"/>
      <c r="E225" s="4"/>
      <c r="F225" s="4"/>
      <c r="G225" s="4"/>
      <c r="H225" s="4"/>
      <c r="I225" s="4"/>
      <c r="J225" s="4"/>
      <c r="K225" s="111"/>
    </row>
    <row r="226" spans="1:11" x14ac:dyDescent="0.25">
      <c r="B226" s="5"/>
      <c r="E226" s="4"/>
      <c r="F226" s="4"/>
      <c r="G226" s="4"/>
      <c r="H226" s="4"/>
      <c r="I226" s="4"/>
      <c r="J226" s="4"/>
      <c r="K226" s="111"/>
    </row>
    <row r="227" spans="1:11" x14ac:dyDescent="0.25">
      <c r="B227" s="5"/>
      <c r="E227" s="4"/>
      <c r="F227" s="4"/>
      <c r="G227" s="4"/>
      <c r="H227" s="4"/>
      <c r="I227" s="4"/>
      <c r="J227" s="4"/>
      <c r="K227" s="111"/>
    </row>
    <row r="228" spans="1:11" ht="15.75" thickBot="1" x14ac:dyDescent="0.3">
      <c r="B228" s="5"/>
      <c r="E228" s="4"/>
      <c r="F228" s="134"/>
      <c r="G228" s="4"/>
      <c r="H228" s="4"/>
      <c r="I228" s="4"/>
      <c r="J228" s="4"/>
      <c r="K228" s="111"/>
    </row>
    <row r="229" spans="1:11" ht="15.75" thickTop="1" x14ac:dyDescent="0.25">
      <c r="A229" s="250" t="s">
        <v>83</v>
      </c>
      <c r="B229" s="250"/>
      <c r="C229" s="250"/>
      <c r="D229" s="250"/>
      <c r="E229" s="250"/>
      <c r="F229" s="250"/>
      <c r="G229" s="250"/>
      <c r="H229" s="250"/>
      <c r="I229" s="250"/>
      <c r="J229" s="250"/>
      <c r="K229" s="250"/>
    </row>
    <row r="230" spans="1:11" s="172" customFormat="1" ht="69.75" customHeight="1" x14ac:dyDescent="0.25">
      <c r="A230" s="298" t="s">
        <v>0</v>
      </c>
      <c r="B230" s="299"/>
      <c r="C230" s="238" t="s">
        <v>3</v>
      </c>
      <c r="D230" s="238" t="s">
        <v>96</v>
      </c>
      <c r="E230" s="239" t="s">
        <v>70</v>
      </c>
      <c r="F230" s="248" t="s">
        <v>192</v>
      </c>
      <c r="G230" s="240" t="s">
        <v>193</v>
      </c>
      <c r="H230" s="240"/>
      <c r="I230" s="240"/>
      <c r="J230" s="241" t="s">
        <v>119</v>
      </c>
      <c r="K230" s="242" t="s">
        <v>116</v>
      </c>
    </row>
    <row r="231" spans="1:11" x14ac:dyDescent="0.25">
      <c r="A231" s="300"/>
      <c r="B231" s="301"/>
      <c r="C231" s="33" t="s">
        <v>16</v>
      </c>
      <c r="D231" s="61">
        <f t="shared" ref="D231:K232" si="72">D6+D16+D18+D20+D22+D24</f>
        <v>92373521</v>
      </c>
      <c r="E231" s="61">
        <f t="shared" si="72"/>
        <v>0</v>
      </c>
      <c r="F231" s="61">
        <f t="shared" si="72"/>
        <v>0</v>
      </c>
      <c r="G231" s="61">
        <f t="shared" si="72"/>
        <v>-1201434</v>
      </c>
      <c r="H231" s="61">
        <f t="shared" si="72"/>
        <v>0</v>
      </c>
      <c r="I231" s="61">
        <f t="shared" si="72"/>
        <v>0</v>
      </c>
      <c r="J231" s="61">
        <f t="shared" si="72"/>
        <v>91172087</v>
      </c>
      <c r="K231" s="61">
        <f t="shared" si="72"/>
        <v>57895316</v>
      </c>
    </row>
    <row r="232" spans="1:11" x14ac:dyDescent="0.25">
      <c r="A232" s="300"/>
      <c r="B232" s="301"/>
      <c r="C232" s="33" t="s">
        <v>17</v>
      </c>
      <c r="D232" s="61">
        <f t="shared" si="72"/>
        <v>12106347</v>
      </c>
      <c r="E232" s="61">
        <f t="shared" si="72"/>
        <v>0</v>
      </c>
      <c r="F232" s="61">
        <f t="shared" si="72"/>
        <v>0</v>
      </c>
      <c r="G232" s="61">
        <f t="shared" si="72"/>
        <v>0</v>
      </c>
      <c r="H232" s="61">
        <f t="shared" si="72"/>
        <v>0</v>
      </c>
      <c r="I232" s="61">
        <f t="shared" si="72"/>
        <v>0</v>
      </c>
      <c r="J232" s="61">
        <f t="shared" si="72"/>
        <v>12106347</v>
      </c>
      <c r="K232" s="61">
        <f t="shared" si="72"/>
        <v>12106347</v>
      </c>
    </row>
    <row r="233" spans="1:11" x14ac:dyDescent="0.25">
      <c r="A233" s="300"/>
      <c r="B233" s="301"/>
      <c r="C233" s="33" t="s">
        <v>18</v>
      </c>
      <c r="D233" s="61">
        <f t="shared" ref="D233:K233" si="73">D9</f>
        <v>106608492</v>
      </c>
      <c r="E233" s="61">
        <f t="shared" si="73"/>
        <v>0</v>
      </c>
      <c r="F233" s="61">
        <f t="shared" si="73"/>
        <v>4849000</v>
      </c>
      <c r="G233" s="61">
        <f t="shared" si="73"/>
        <v>0</v>
      </c>
      <c r="H233" s="61">
        <f t="shared" si="73"/>
        <v>0</v>
      </c>
      <c r="I233" s="61">
        <f t="shared" si="73"/>
        <v>0</v>
      </c>
      <c r="J233" s="61">
        <f t="shared" si="73"/>
        <v>111457492</v>
      </c>
      <c r="K233" s="61">
        <f t="shared" si="73"/>
        <v>62959441</v>
      </c>
    </row>
    <row r="234" spans="1:11" x14ac:dyDescent="0.25">
      <c r="A234" s="300"/>
      <c r="B234" s="301"/>
      <c r="C234" s="35" t="s">
        <v>22</v>
      </c>
      <c r="D234" s="61">
        <f t="shared" ref="D234:K234" si="74">D10+D8</f>
        <v>200000</v>
      </c>
      <c r="E234" s="61">
        <f t="shared" si="74"/>
        <v>0</v>
      </c>
      <c r="F234" s="61">
        <f t="shared" si="74"/>
        <v>0</v>
      </c>
      <c r="G234" s="61">
        <f t="shared" si="74"/>
        <v>0</v>
      </c>
      <c r="H234" s="61">
        <f t="shared" si="74"/>
        <v>0</v>
      </c>
      <c r="I234" s="61">
        <f t="shared" si="74"/>
        <v>0</v>
      </c>
      <c r="J234" s="61">
        <f t="shared" si="74"/>
        <v>200000</v>
      </c>
      <c r="K234" s="61">
        <f t="shared" si="74"/>
        <v>0</v>
      </c>
    </row>
    <row r="235" spans="1:11" x14ac:dyDescent="0.25">
      <c r="A235" s="300"/>
      <c r="B235" s="301"/>
      <c r="C235" s="35" t="s">
        <v>19</v>
      </c>
      <c r="D235" s="61">
        <f t="shared" ref="D235:K235" si="75">D11</f>
        <v>7693</v>
      </c>
      <c r="E235" s="61">
        <f t="shared" si="75"/>
        <v>0</v>
      </c>
      <c r="F235" s="61">
        <f t="shared" si="75"/>
        <v>0</v>
      </c>
      <c r="G235" s="61">
        <f t="shared" si="75"/>
        <v>0</v>
      </c>
      <c r="H235" s="61">
        <f t="shared" si="75"/>
        <v>0</v>
      </c>
      <c r="I235" s="61">
        <f t="shared" si="75"/>
        <v>0</v>
      </c>
      <c r="J235" s="61">
        <f t="shared" si="75"/>
        <v>7693</v>
      </c>
      <c r="K235" s="61">
        <f t="shared" si="75"/>
        <v>3474</v>
      </c>
    </row>
    <row r="236" spans="1:11" x14ac:dyDescent="0.25">
      <c r="A236" s="300"/>
      <c r="B236" s="301"/>
      <c r="C236" s="35" t="s">
        <v>84</v>
      </c>
      <c r="D236" s="61">
        <f t="shared" ref="D236:K236" si="76">D15+D13</f>
        <v>5274</v>
      </c>
      <c r="E236" s="61">
        <f>E15+E13</f>
        <v>0</v>
      </c>
      <c r="F236" s="61">
        <f t="shared" si="76"/>
        <v>0</v>
      </c>
      <c r="G236" s="61">
        <f t="shared" si="76"/>
        <v>0</v>
      </c>
      <c r="H236" s="61">
        <f t="shared" si="76"/>
        <v>0</v>
      </c>
      <c r="I236" s="61">
        <f t="shared" si="76"/>
        <v>0</v>
      </c>
      <c r="J236" s="61">
        <f t="shared" si="76"/>
        <v>5274</v>
      </c>
      <c r="K236" s="61">
        <f t="shared" si="76"/>
        <v>2886</v>
      </c>
    </row>
    <row r="237" spans="1:11" x14ac:dyDescent="0.25">
      <c r="A237" s="300"/>
      <c r="B237" s="301"/>
      <c r="C237" s="33" t="s">
        <v>20</v>
      </c>
      <c r="D237" s="61">
        <f t="shared" ref="D237:K237" si="77">D12+D14</f>
        <v>733</v>
      </c>
      <c r="E237" s="61">
        <f t="shared" si="77"/>
        <v>0</v>
      </c>
      <c r="F237" s="61">
        <f t="shared" si="77"/>
        <v>0</v>
      </c>
      <c r="G237" s="61">
        <f t="shared" si="77"/>
        <v>0</v>
      </c>
      <c r="H237" s="61">
        <f t="shared" si="77"/>
        <v>0</v>
      </c>
      <c r="I237" s="61">
        <f t="shared" si="77"/>
        <v>0</v>
      </c>
      <c r="J237" s="61">
        <f t="shared" si="77"/>
        <v>733</v>
      </c>
      <c r="K237" s="61">
        <f t="shared" si="77"/>
        <v>240</v>
      </c>
    </row>
    <row r="238" spans="1:11" x14ac:dyDescent="0.25">
      <c r="A238" s="300"/>
      <c r="B238" s="301"/>
      <c r="C238" s="243" t="s">
        <v>86</v>
      </c>
      <c r="D238" s="245">
        <f t="shared" ref="D238:K238" si="78">D15+D14+D13+D12+D11</f>
        <v>13700</v>
      </c>
      <c r="E238" s="245">
        <f t="shared" si="78"/>
        <v>0</v>
      </c>
      <c r="F238" s="245">
        <f t="shared" si="78"/>
        <v>0</v>
      </c>
      <c r="G238" s="245">
        <f t="shared" si="78"/>
        <v>0</v>
      </c>
      <c r="H238" s="245">
        <f t="shared" si="78"/>
        <v>0</v>
      </c>
      <c r="I238" s="245">
        <f t="shared" si="78"/>
        <v>0</v>
      </c>
      <c r="J238" s="245">
        <f t="shared" si="78"/>
        <v>13700</v>
      </c>
      <c r="K238" s="245">
        <f t="shared" si="78"/>
        <v>6600</v>
      </c>
    </row>
    <row r="239" spans="1:11" x14ac:dyDescent="0.25">
      <c r="A239" s="300"/>
      <c r="B239" s="301"/>
      <c r="C239" s="243" t="s">
        <v>87</v>
      </c>
      <c r="D239" s="245">
        <f t="shared" ref="D239:K239" si="79">D25+D23+D21+D19+D17+D9+D7</f>
        <v>118714839</v>
      </c>
      <c r="E239" s="245">
        <f t="shared" si="79"/>
        <v>0</v>
      </c>
      <c r="F239" s="245">
        <f t="shared" si="79"/>
        <v>4849000</v>
      </c>
      <c r="G239" s="245">
        <f t="shared" si="79"/>
        <v>0</v>
      </c>
      <c r="H239" s="245">
        <f t="shared" si="79"/>
        <v>0</v>
      </c>
      <c r="I239" s="245">
        <f t="shared" si="79"/>
        <v>0</v>
      </c>
      <c r="J239" s="245">
        <f t="shared" si="79"/>
        <v>123563839</v>
      </c>
      <c r="K239" s="245">
        <f t="shared" si="79"/>
        <v>75065788</v>
      </c>
    </row>
    <row r="240" spans="1:11" x14ac:dyDescent="0.25">
      <c r="A240" s="300"/>
      <c r="B240" s="301"/>
      <c r="C240" s="243" t="s">
        <v>94</v>
      </c>
      <c r="D240" s="245">
        <f t="shared" ref="D240:K240" si="80">D26</f>
        <v>211302060</v>
      </c>
      <c r="E240" s="245">
        <f t="shared" si="80"/>
        <v>0</v>
      </c>
      <c r="F240" s="245">
        <f t="shared" si="80"/>
        <v>4849000</v>
      </c>
      <c r="G240" s="245">
        <f t="shared" si="80"/>
        <v>-1201434</v>
      </c>
      <c r="H240" s="245">
        <f t="shared" si="80"/>
        <v>0</v>
      </c>
      <c r="I240" s="245">
        <f t="shared" si="80"/>
        <v>0</v>
      </c>
      <c r="J240" s="245">
        <f t="shared" si="80"/>
        <v>214949626</v>
      </c>
      <c r="K240" s="245">
        <f t="shared" si="80"/>
        <v>132967704</v>
      </c>
    </row>
    <row r="241" spans="1:11" x14ac:dyDescent="0.25">
      <c r="A241" s="300"/>
      <c r="B241" s="301"/>
      <c r="C241" s="33" t="s">
        <v>24</v>
      </c>
      <c r="D241" s="34">
        <f t="shared" ref="D241:I241" si="81">D91+D113+D116+D135+D138+D156+D159+D180+D202+D219+D183+D88+D86+D54+D27</f>
        <v>139066035</v>
      </c>
      <c r="E241" s="34">
        <f>E91+E113+E116+E135+E138+E156+E159+E180+E202+E219+E183+E88+E86+E54+E27</f>
        <v>-60000</v>
      </c>
      <c r="F241" s="34">
        <f t="shared" si="81"/>
        <v>0</v>
      </c>
      <c r="G241" s="34">
        <f t="shared" si="81"/>
        <v>0</v>
      </c>
      <c r="H241" s="34">
        <f t="shared" si="81"/>
        <v>0</v>
      </c>
      <c r="I241" s="34">
        <f t="shared" si="81"/>
        <v>0</v>
      </c>
      <c r="J241" s="61">
        <f>J219+J202+J183+J180+J159+J156+J138+J135+J116+J113+J91+J88+J86+J54+J27</f>
        <v>139006035</v>
      </c>
      <c r="K241" s="61">
        <f>K219+K202+K183+K180+K159+K156+K138+K135+K116+K113+K91+K88+K86+K54+K27</f>
        <v>87260578</v>
      </c>
    </row>
    <row r="242" spans="1:11" x14ac:dyDescent="0.25">
      <c r="A242" s="300"/>
      <c r="B242" s="301"/>
      <c r="C242" s="33" t="s">
        <v>47</v>
      </c>
      <c r="D242" s="34">
        <f t="shared" ref="D242:K243" si="82">D55</f>
        <v>2250000</v>
      </c>
      <c r="E242" s="34">
        <f t="shared" si="82"/>
        <v>0</v>
      </c>
      <c r="F242" s="34">
        <f t="shared" si="82"/>
        <v>0</v>
      </c>
      <c r="G242" s="34">
        <f t="shared" si="82"/>
        <v>0</v>
      </c>
      <c r="H242" s="34">
        <f t="shared" si="82"/>
        <v>0</v>
      </c>
      <c r="I242" s="34">
        <f t="shared" si="82"/>
        <v>0</v>
      </c>
      <c r="J242" s="34">
        <f t="shared" si="82"/>
        <v>2250000</v>
      </c>
      <c r="K242" s="41">
        <f t="shared" si="82"/>
        <v>1306020</v>
      </c>
    </row>
    <row r="243" spans="1:11" x14ac:dyDescent="0.25">
      <c r="A243" s="300"/>
      <c r="B243" s="301"/>
      <c r="C243" s="33" t="s">
        <v>48</v>
      </c>
      <c r="D243" s="34">
        <f t="shared" si="82"/>
        <v>1084500</v>
      </c>
      <c r="E243" s="34">
        <f t="shared" si="82"/>
        <v>0</v>
      </c>
      <c r="F243" s="34">
        <f t="shared" si="82"/>
        <v>0</v>
      </c>
      <c r="G243" s="34">
        <f t="shared" si="82"/>
        <v>0</v>
      </c>
      <c r="H243" s="34">
        <f t="shared" si="82"/>
        <v>0</v>
      </c>
      <c r="I243" s="34">
        <f t="shared" si="82"/>
        <v>0</v>
      </c>
      <c r="J243" s="34">
        <f t="shared" si="82"/>
        <v>1084500</v>
      </c>
      <c r="K243" s="34">
        <f t="shared" si="82"/>
        <v>1084265</v>
      </c>
    </row>
    <row r="244" spans="1:11" x14ac:dyDescent="0.25">
      <c r="A244" s="300"/>
      <c r="B244" s="301"/>
      <c r="C244" s="35" t="s">
        <v>25</v>
      </c>
      <c r="D244" s="34">
        <f t="shared" ref="D244:K245" si="83">D203+D160+D139+D117+D92+D57+D28</f>
        <v>3558197</v>
      </c>
      <c r="E244" s="34">
        <f t="shared" si="83"/>
        <v>0</v>
      </c>
      <c r="F244" s="34">
        <f t="shared" si="83"/>
        <v>0</v>
      </c>
      <c r="G244" s="34">
        <f t="shared" si="83"/>
        <v>0</v>
      </c>
      <c r="H244" s="34">
        <f t="shared" si="83"/>
        <v>0</v>
      </c>
      <c r="I244" s="34">
        <f t="shared" si="83"/>
        <v>0</v>
      </c>
      <c r="J244" s="34">
        <f t="shared" si="83"/>
        <v>3558197</v>
      </c>
      <c r="K244" s="34">
        <f t="shared" si="83"/>
        <v>3320480</v>
      </c>
    </row>
    <row r="245" spans="1:11" x14ac:dyDescent="0.25">
      <c r="A245" s="300"/>
      <c r="B245" s="301"/>
      <c r="C245" s="35" t="s">
        <v>26</v>
      </c>
      <c r="D245" s="34">
        <f t="shared" si="83"/>
        <v>247531</v>
      </c>
      <c r="E245" s="34">
        <f t="shared" si="83"/>
        <v>0</v>
      </c>
      <c r="F245" s="34">
        <f t="shared" si="83"/>
        <v>0</v>
      </c>
      <c r="G245" s="34">
        <f t="shared" si="83"/>
        <v>0</v>
      </c>
      <c r="H245" s="34">
        <f t="shared" si="83"/>
        <v>0</v>
      </c>
      <c r="I245" s="34">
        <f t="shared" si="83"/>
        <v>0</v>
      </c>
      <c r="J245" s="34">
        <f t="shared" si="83"/>
        <v>247531</v>
      </c>
      <c r="K245" s="34">
        <f t="shared" si="83"/>
        <v>0</v>
      </c>
    </row>
    <row r="246" spans="1:11" x14ac:dyDescent="0.25">
      <c r="A246" s="300"/>
      <c r="B246" s="301"/>
      <c r="C246" s="33" t="s">
        <v>27</v>
      </c>
      <c r="D246" s="34">
        <f t="shared" ref="D246:K246" si="84">D205+D141+D94+D59+D30</f>
        <v>1639000</v>
      </c>
      <c r="E246" s="34">
        <f t="shared" si="84"/>
        <v>0</v>
      </c>
      <c r="F246" s="34">
        <f t="shared" si="84"/>
        <v>0</v>
      </c>
      <c r="G246" s="34">
        <f t="shared" si="84"/>
        <v>0</v>
      </c>
      <c r="H246" s="34">
        <f t="shared" si="84"/>
        <v>0</v>
      </c>
      <c r="I246" s="34">
        <f t="shared" si="84"/>
        <v>0</v>
      </c>
      <c r="J246" s="34">
        <f t="shared" si="84"/>
        <v>1639000</v>
      </c>
      <c r="K246" s="34">
        <f t="shared" si="84"/>
        <v>586060</v>
      </c>
    </row>
    <row r="247" spans="1:11" x14ac:dyDescent="0.25">
      <c r="A247" s="300"/>
      <c r="B247" s="301"/>
      <c r="C247" s="35" t="s">
        <v>28</v>
      </c>
      <c r="D247" s="34">
        <f t="shared" ref="D247:K247" si="85">D206+D162+D142+D119+D60+D31+D95</f>
        <v>445000</v>
      </c>
      <c r="E247" s="34">
        <f t="shared" si="85"/>
        <v>0</v>
      </c>
      <c r="F247" s="34">
        <f t="shared" si="85"/>
        <v>0</v>
      </c>
      <c r="G247" s="34">
        <f t="shared" si="85"/>
        <v>0</v>
      </c>
      <c r="H247" s="34">
        <f t="shared" si="85"/>
        <v>0</v>
      </c>
      <c r="I247" s="34">
        <f t="shared" si="85"/>
        <v>0</v>
      </c>
      <c r="J247" s="34">
        <f t="shared" si="85"/>
        <v>445000</v>
      </c>
      <c r="K247" s="34">
        <f t="shared" si="85"/>
        <v>207560</v>
      </c>
    </row>
    <row r="248" spans="1:11" x14ac:dyDescent="0.25">
      <c r="A248" s="300"/>
      <c r="B248" s="301"/>
      <c r="C248" s="247" t="s">
        <v>29</v>
      </c>
      <c r="D248" s="61">
        <f t="shared" ref="D248:K248" si="86">D207+D178+D163+D143+D120+D111+D96+D84+D82+D61+D32+D133</f>
        <v>3720569</v>
      </c>
      <c r="E248" s="61">
        <f t="shared" si="86"/>
        <v>60000</v>
      </c>
      <c r="F248" s="34">
        <f t="shared" si="86"/>
        <v>0</v>
      </c>
      <c r="G248" s="34">
        <f t="shared" si="86"/>
        <v>0</v>
      </c>
      <c r="H248" s="34">
        <f t="shared" si="86"/>
        <v>0</v>
      </c>
      <c r="I248" s="34">
        <f t="shared" si="86"/>
        <v>0</v>
      </c>
      <c r="J248" s="34">
        <f t="shared" si="86"/>
        <v>3780569</v>
      </c>
      <c r="K248" s="34">
        <f t="shared" si="86"/>
        <v>1380032</v>
      </c>
    </row>
    <row r="249" spans="1:11" x14ac:dyDescent="0.25">
      <c r="A249" s="300"/>
      <c r="B249" s="301"/>
      <c r="C249" s="73" t="s">
        <v>30</v>
      </c>
      <c r="D249" s="61">
        <f t="shared" ref="D249:J249" si="87">D164+D144+D121+D62+D33+D184+D97</f>
        <v>200000</v>
      </c>
      <c r="E249" s="61">
        <f t="shared" si="87"/>
        <v>0</v>
      </c>
      <c r="F249" s="34">
        <f t="shared" si="87"/>
        <v>0</v>
      </c>
      <c r="G249" s="34">
        <f t="shared" si="87"/>
        <v>0</v>
      </c>
      <c r="H249" s="34">
        <f t="shared" si="87"/>
        <v>0</v>
      </c>
      <c r="I249" s="34">
        <f t="shared" si="87"/>
        <v>0</v>
      </c>
      <c r="J249" s="34">
        <f t="shared" si="87"/>
        <v>200000</v>
      </c>
      <c r="K249" s="34">
        <f>K164+K144+K121+K62+K33+K184+K97</f>
        <v>1500</v>
      </c>
    </row>
    <row r="250" spans="1:11" x14ac:dyDescent="0.25">
      <c r="A250" s="300"/>
      <c r="B250" s="301"/>
      <c r="C250" s="243" t="s">
        <v>53</v>
      </c>
      <c r="D250" s="245">
        <f t="shared" ref="D250:K250" si="88">D208+D185+D165+D145+D219+D180+D156+D135+D133+D178+D122+D113+D111+D98+D88+D86+D84+D82+D63+D34</f>
        <v>152210832</v>
      </c>
      <c r="E250" s="245">
        <f t="shared" si="88"/>
        <v>0</v>
      </c>
      <c r="F250" s="245">
        <f t="shared" si="88"/>
        <v>0</v>
      </c>
      <c r="G250" s="245">
        <f t="shared" si="88"/>
        <v>0</v>
      </c>
      <c r="H250" s="245">
        <f t="shared" si="88"/>
        <v>0</v>
      </c>
      <c r="I250" s="245">
        <f t="shared" si="88"/>
        <v>0</v>
      </c>
      <c r="J250" s="245">
        <f t="shared" si="88"/>
        <v>152210832</v>
      </c>
      <c r="K250" s="245">
        <f t="shared" si="88"/>
        <v>95146495</v>
      </c>
    </row>
    <row r="251" spans="1:11" x14ac:dyDescent="0.25">
      <c r="A251" s="300"/>
      <c r="B251" s="301"/>
      <c r="C251" s="246" t="s">
        <v>31</v>
      </c>
      <c r="D251" s="245">
        <f t="shared" ref="D251:K251" si="89">D209+D186+D181+D179+D220+D166+D157+D146+D136+D134+D123+D114+D112+D99+D89+D87+D85+D83+D64+D35</f>
        <v>29541798</v>
      </c>
      <c r="E251" s="245">
        <f t="shared" si="89"/>
        <v>0</v>
      </c>
      <c r="F251" s="245">
        <f t="shared" si="89"/>
        <v>0</v>
      </c>
      <c r="G251" s="245">
        <f t="shared" si="89"/>
        <v>0</v>
      </c>
      <c r="H251" s="245">
        <f t="shared" si="89"/>
        <v>0</v>
      </c>
      <c r="I251" s="245">
        <f t="shared" si="89"/>
        <v>0</v>
      </c>
      <c r="J251" s="245">
        <f t="shared" si="89"/>
        <v>29541798</v>
      </c>
      <c r="K251" s="245">
        <f t="shared" si="89"/>
        <v>18432673</v>
      </c>
    </row>
    <row r="252" spans="1:11" x14ac:dyDescent="0.25">
      <c r="A252" s="300"/>
      <c r="B252" s="301"/>
      <c r="C252" s="33" t="s">
        <v>32</v>
      </c>
      <c r="D252" s="34">
        <f t="shared" ref="D252:K252" si="90">D167+D147+D124+D100+D65+D36+D210</f>
        <v>564000</v>
      </c>
      <c r="E252" s="34">
        <f t="shared" si="90"/>
        <v>0</v>
      </c>
      <c r="F252" s="34">
        <f t="shared" si="90"/>
        <v>0</v>
      </c>
      <c r="G252" s="34">
        <f t="shared" si="90"/>
        <v>0</v>
      </c>
      <c r="H252" s="34">
        <f t="shared" si="90"/>
        <v>0</v>
      </c>
      <c r="I252" s="34">
        <f t="shared" si="90"/>
        <v>0</v>
      </c>
      <c r="J252" s="34">
        <f t="shared" si="90"/>
        <v>564000</v>
      </c>
      <c r="K252" s="34">
        <f t="shared" si="90"/>
        <v>0</v>
      </c>
    </row>
    <row r="253" spans="1:11" x14ac:dyDescent="0.25">
      <c r="A253" s="300"/>
      <c r="B253" s="301"/>
      <c r="C253" s="35" t="s">
        <v>33</v>
      </c>
      <c r="D253" s="34">
        <f t="shared" ref="D253:K253" si="91">D187+D168+D148+D125+D101+D66+D37+D211</f>
        <v>3708763</v>
      </c>
      <c r="E253" s="34">
        <f t="shared" si="91"/>
        <v>-23000</v>
      </c>
      <c r="F253" s="34">
        <f t="shared" si="91"/>
        <v>0</v>
      </c>
      <c r="G253" s="34">
        <f t="shared" si="91"/>
        <v>0</v>
      </c>
      <c r="H253" s="34">
        <f t="shared" si="91"/>
        <v>0</v>
      </c>
      <c r="I253" s="34">
        <f t="shared" si="91"/>
        <v>0</v>
      </c>
      <c r="J253" s="34">
        <f t="shared" si="91"/>
        <v>3685763</v>
      </c>
      <c r="K253" s="34">
        <f t="shared" si="91"/>
        <v>93229</v>
      </c>
    </row>
    <row r="254" spans="1:11" x14ac:dyDescent="0.25">
      <c r="A254" s="300"/>
      <c r="B254" s="301"/>
      <c r="C254" s="33" t="s">
        <v>34</v>
      </c>
      <c r="D254" s="34">
        <f t="shared" ref="D254:K254" si="92">D169+D149+D126+D102+D67+D38</f>
        <v>1013200</v>
      </c>
      <c r="E254" s="34">
        <f t="shared" si="92"/>
        <v>0</v>
      </c>
      <c r="F254" s="34">
        <f t="shared" si="92"/>
        <v>0</v>
      </c>
      <c r="G254" s="34">
        <f t="shared" si="92"/>
        <v>0</v>
      </c>
      <c r="H254" s="34">
        <f t="shared" si="92"/>
        <v>0</v>
      </c>
      <c r="I254" s="34">
        <f t="shared" si="92"/>
        <v>0</v>
      </c>
      <c r="J254" s="34">
        <f t="shared" si="92"/>
        <v>1013200</v>
      </c>
      <c r="K254" s="34">
        <f t="shared" si="92"/>
        <v>122721</v>
      </c>
    </row>
    <row r="255" spans="1:11" x14ac:dyDescent="0.25">
      <c r="A255" s="300"/>
      <c r="B255" s="301"/>
      <c r="C255" s="33" t="s">
        <v>35</v>
      </c>
      <c r="D255" s="34">
        <f t="shared" ref="D255:K255" si="93">D212+D170+D103+D68+D39</f>
        <v>481000</v>
      </c>
      <c r="E255" s="34">
        <f t="shared" si="93"/>
        <v>0</v>
      </c>
      <c r="F255" s="34">
        <f t="shared" si="93"/>
        <v>0</v>
      </c>
      <c r="G255" s="34">
        <f t="shared" si="93"/>
        <v>0</v>
      </c>
      <c r="H255" s="34">
        <f t="shared" si="93"/>
        <v>0</v>
      </c>
      <c r="I255" s="34">
        <f t="shared" si="93"/>
        <v>0</v>
      </c>
      <c r="J255" s="34">
        <f t="shared" si="93"/>
        <v>481000</v>
      </c>
      <c r="K255" s="34">
        <f t="shared" si="93"/>
        <v>147195</v>
      </c>
    </row>
    <row r="256" spans="1:11" x14ac:dyDescent="0.25">
      <c r="A256" s="300"/>
      <c r="B256" s="301"/>
      <c r="C256" s="33" t="s">
        <v>36</v>
      </c>
      <c r="D256" s="34">
        <f t="shared" ref="D256:K256" si="94">D104+D69+D40</f>
        <v>1580000</v>
      </c>
      <c r="E256" s="34">
        <f t="shared" si="94"/>
        <v>0</v>
      </c>
      <c r="F256" s="34">
        <f t="shared" si="94"/>
        <v>0</v>
      </c>
      <c r="G256" s="34">
        <f t="shared" si="94"/>
        <v>0</v>
      </c>
      <c r="H256" s="34">
        <f t="shared" si="94"/>
        <v>0</v>
      </c>
      <c r="I256" s="34">
        <f t="shared" si="94"/>
        <v>0</v>
      </c>
      <c r="J256" s="34">
        <f t="shared" si="94"/>
        <v>1580000</v>
      </c>
      <c r="K256" s="34">
        <f t="shared" si="94"/>
        <v>961163</v>
      </c>
    </row>
    <row r="257" spans="1:12" x14ac:dyDescent="0.25">
      <c r="A257" s="300"/>
      <c r="B257" s="301"/>
      <c r="C257" s="73" t="s">
        <v>37</v>
      </c>
      <c r="D257" s="61">
        <f t="shared" ref="D257:K257" si="95">D188+D70+D41</f>
        <v>306740</v>
      </c>
      <c r="E257" s="61">
        <f t="shared" si="95"/>
        <v>0</v>
      </c>
      <c r="F257" s="61">
        <f t="shared" si="95"/>
        <v>0</v>
      </c>
      <c r="G257" s="61">
        <f t="shared" si="95"/>
        <v>0</v>
      </c>
      <c r="H257" s="61">
        <f t="shared" si="95"/>
        <v>0</v>
      </c>
      <c r="I257" s="61">
        <f t="shared" si="95"/>
        <v>0</v>
      </c>
      <c r="J257" s="61">
        <f t="shared" si="95"/>
        <v>306740</v>
      </c>
      <c r="K257" s="61">
        <f t="shared" si="95"/>
        <v>92000</v>
      </c>
      <c r="L257" s="74"/>
    </row>
    <row r="258" spans="1:12" x14ac:dyDescent="0.25">
      <c r="A258" s="300"/>
      <c r="B258" s="301"/>
      <c r="C258" s="33" t="s">
        <v>38</v>
      </c>
      <c r="D258" s="34">
        <f t="shared" ref="D258:K258" si="96">D171+D150+D127+D105+D71+D42+D213</f>
        <v>1435180</v>
      </c>
      <c r="E258" s="34">
        <f t="shared" si="96"/>
        <v>0</v>
      </c>
      <c r="F258" s="34">
        <f t="shared" si="96"/>
        <v>0</v>
      </c>
      <c r="G258" s="34">
        <f t="shared" si="96"/>
        <v>0</v>
      </c>
      <c r="H258" s="34">
        <f t="shared" si="96"/>
        <v>0</v>
      </c>
      <c r="I258" s="34">
        <f t="shared" si="96"/>
        <v>0</v>
      </c>
      <c r="J258" s="61">
        <f t="shared" si="96"/>
        <v>1435180</v>
      </c>
      <c r="K258" s="34">
        <f t="shared" si="96"/>
        <v>320107</v>
      </c>
    </row>
    <row r="259" spans="1:12" x14ac:dyDescent="0.25">
      <c r="A259" s="300"/>
      <c r="B259" s="301"/>
      <c r="C259" s="33" t="s">
        <v>39</v>
      </c>
      <c r="D259" s="34">
        <f t="shared" ref="D259:K259" si="97">D43</f>
        <v>7693</v>
      </c>
      <c r="E259" s="34">
        <f t="shared" si="97"/>
        <v>0</v>
      </c>
      <c r="F259" s="34">
        <f t="shared" si="97"/>
        <v>0</v>
      </c>
      <c r="G259" s="34">
        <f t="shared" si="97"/>
        <v>0</v>
      </c>
      <c r="H259" s="34">
        <f t="shared" si="97"/>
        <v>0</v>
      </c>
      <c r="I259" s="34">
        <f t="shared" si="97"/>
        <v>0</v>
      </c>
      <c r="J259" s="61">
        <f t="shared" si="97"/>
        <v>7693</v>
      </c>
      <c r="K259" s="34">
        <f t="shared" si="97"/>
        <v>3474</v>
      </c>
    </row>
    <row r="260" spans="1:12" x14ac:dyDescent="0.25">
      <c r="A260" s="300"/>
      <c r="B260" s="301"/>
      <c r="C260" s="36" t="s">
        <v>40</v>
      </c>
      <c r="D260" s="34">
        <f t="shared" ref="D260:K260" si="98">D189+D172+D151+D128+D106+D72+D44</f>
        <v>12236440</v>
      </c>
      <c r="E260" s="34">
        <f t="shared" si="98"/>
        <v>0</v>
      </c>
      <c r="F260" s="34">
        <f t="shared" si="98"/>
        <v>0</v>
      </c>
      <c r="G260" s="34">
        <f t="shared" si="98"/>
        <v>0</v>
      </c>
      <c r="H260" s="34">
        <f t="shared" si="98"/>
        <v>0</v>
      </c>
      <c r="I260" s="34">
        <f t="shared" si="98"/>
        <v>0</v>
      </c>
      <c r="J260" s="61">
        <f t="shared" si="98"/>
        <v>12236440</v>
      </c>
      <c r="K260" s="34">
        <f t="shared" si="98"/>
        <v>10619810</v>
      </c>
    </row>
    <row r="261" spans="1:12" x14ac:dyDescent="0.25">
      <c r="A261" s="300"/>
      <c r="B261" s="301"/>
      <c r="C261" s="33" t="s">
        <v>41</v>
      </c>
      <c r="D261" s="34">
        <f t="shared" ref="D261:K261" si="99">D190+D173+D152+D129+D107+D73+D45+D214</f>
        <v>2524310</v>
      </c>
      <c r="E261" s="34">
        <f t="shared" si="99"/>
        <v>-27000</v>
      </c>
      <c r="F261" s="34">
        <f t="shared" si="99"/>
        <v>3818111</v>
      </c>
      <c r="G261" s="34">
        <f t="shared" si="99"/>
        <v>-946012</v>
      </c>
      <c r="H261" s="34">
        <f t="shared" si="99"/>
        <v>0</v>
      </c>
      <c r="I261" s="34">
        <f t="shared" si="99"/>
        <v>0</v>
      </c>
      <c r="J261" s="61">
        <f t="shared" si="99"/>
        <v>5369409</v>
      </c>
      <c r="K261" s="34">
        <f t="shared" si="99"/>
        <v>1559171</v>
      </c>
    </row>
    <row r="262" spans="1:12" x14ac:dyDescent="0.25">
      <c r="A262" s="300"/>
      <c r="B262" s="301"/>
      <c r="C262" s="35" t="s">
        <v>42</v>
      </c>
      <c r="D262" s="34">
        <f t="shared" ref="D262:K262" si="100">D215+D191+D174+D153+D130+D108+D74+D46</f>
        <v>2392900</v>
      </c>
      <c r="E262" s="34">
        <f t="shared" si="100"/>
        <v>0</v>
      </c>
      <c r="F262" s="34">
        <f t="shared" si="100"/>
        <v>0</v>
      </c>
      <c r="G262" s="34">
        <f t="shared" si="100"/>
        <v>0</v>
      </c>
      <c r="H262" s="34">
        <f t="shared" si="100"/>
        <v>0</v>
      </c>
      <c r="I262" s="34">
        <f t="shared" si="100"/>
        <v>0</v>
      </c>
      <c r="J262" s="34">
        <f t="shared" si="100"/>
        <v>2392900</v>
      </c>
      <c r="K262" s="34">
        <f t="shared" si="100"/>
        <v>439133</v>
      </c>
    </row>
    <row r="263" spans="1:12" x14ac:dyDescent="0.25">
      <c r="A263" s="300"/>
      <c r="B263" s="301"/>
      <c r="C263" s="35" t="s">
        <v>43</v>
      </c>
      <c r="D263" s="34">
        <f t="shared" ref="D263:K263" si="101">D47+D75+D192</f>
        <v>60000</v>
      </c>
      <c r="E263" s="34">
        <f t="shared" si="101"/>
        <v>0</v>
      </c>
      <c r="F263" s="34">
        <f t="shared" si="101"/>
        <v>0</v>
      </c>
      <c r="G263" s="34">
        <f t="shared" si="101"/>
        <v>0</v>
      </c>
      <c r="H263" s="34">
        <f t="shared" si="101"/>
        <v>0</v>
      </c>
      <c r="I263" s="34">
        <f t="shared" si="101"/>
        <v>0</v>
      </c>
      <c r="J263" s="34">
        <f t="shared" si="101"/>
        <v>60000</v>
      </c>
      <c r="K263" s="34">
        <f t="shared" si="101"/>
        <v>0</v>
      </c>
    </row>
    <row r="264" spans="1:12" x14ac:dyDescent="0.25">
      <c r="A264" s="300"/>
      <c r="B264" s="301"/>
      <c r="C264" s="33" t="s">
        <v>44</v>
      </c>
      <c r="D264" s="34">
        <f t="shared" ref="D264:K264" si="102">D216+D193+D175+D154+D131+D109+D76+D48</f>
        <v>2612403</v>
      </c>
      <c r="E264" s="34">
        <f t="shared" si="102"/>
        <v>0</v>
      </c>
      <c r="F264" s="34">
        <f t="shared" si="102"/>
        <v>1030889</v>
      </c>
      <c r="G264" s="34">
        <f t="shared" si="102"/>
        <v>-255422</v>
      </c>
      <c r="H264" s="34">
        <f t="shared" si="102"/>
        <v>0</v>
      </c>
      <c r="I264" s="34">
        <f t="shared" si="102"/>
        <v>0</v>
      </c>
      <c r="J264" s="34">
        <f t="shared" si="102"/>
        <v>3387870</v>
      </c>
      <c r="K264" s="34">
        <f t="shared" si="102"/>
        <v>390781</v>
      </c>
    </row>
    <row r="265" spans="1:12" x14ac:dyDescent="0.25">
      <c r="A265" s="300"/>
      <c r="B265" s="301"/>
      <c r="C265" s="37" t="s">
        <v>45</v>
      </c>
      <c r="D265" s="34">
        <f t="shared" ref="D265:J265" si="103">D217+D194+D77+D49</f>
        <v>422051</v>
      </c>
      <c r="E265" s="34">
        <f t="shared" si="103"/>
        <v>50000</v>
      </c>
      <c r="F265" s="34">
        <f t="shared" si="103"/>
        <v>0</v>
      </c>
      <c r="G265" s="34">
        <f t="shared" si="103"/>
        <v>0</v>
      </c>
      <c r="H265" s="34">
        <f t="shared" si="103"/>
        <v>0</v>
      </c>
      <c r="I265" s="34">
        <f t="shared" si="103"/>
        <v>0</v>
      </c>
      <c r="J265" s="34">
        <f t="shared" si="103"/>
        <v>472051</v>
      </c>
      <c r="K265" s="34">
        <f>K217+K194+K77+K49+K176</f>
        <v>55837</v>
      </c>
    </row>
    <row r="266" spans="1:12" x14ac:dyDescent="0.25">
      <c r="A266" s="300"/>
      <c r="B266" s="301"/>
      <c r="C266" s="243" t="s">
        <v>49</v>
      </c>
      <c r="D266" s="245">
        <f t="shared" ref="D266:K266" si="104">D218+D195+D177+D155+D132+D110+D78+D50</f>
        <v>29344680</v>
      </c>
      <c r="E266" s="245">
        <f t="shared" si="104"/>
        <v>0</v>
      </c>
      <c r="F266" s="245">
        <f t="shared" si="104"/>
        <v>4849000</v>
      </c>
      <c r="G266" s="245">
        <f t="shared" si="104"/>
        <v>-1201434</v>
      </c>
      <c r="H266" s="245">
        <f t="shared" si="104"/>
        <v>0</v>
      </c>
      <c r="I266" s="245">
        <f t="shared" si="104"/>
        <v>0</v>
      </c>
      <c r="J266" s="245">
        <f t="shared" si="104"/>
        <v>32992246</v>
      </c>
      <c r="K266" s="245">
        <f t="shared" si="104"/>
        <v>14804621</v>
      </c>
    </row>
    <row r="267" spans="1:12" x14ac:dyDescent="0.25">
      <c r="A267" s="300"/>
      <c r="B267" s="301"/>
      <c r="C267" s="243" t="s">
        <v>100</v>
      </c>
      <c r="D267" s="245">
        <f>D200</f>
        <v>0</v>
      </c>
      <c r="E267" s="245">
        <f t="shared" ref="E267:K267" si="105">E200</f>
        <v>0</v>
      </c>
      <c r="F267" s="245">
        <f t="shared" si="105"/>
        <v>0</v>
      </c>
      <c r="G267" s="245">
        <f t="shared" si="105"/>
        <v>0</v>
      </c>
      <c r="H267" s="245">
        <f t="shared" si="105"/>
        <v>0</v>
      </c>
      <c r="I267" s="245">
        <f t="shared" si="105"/>
        <v>0</v>
      </c>
      <c r="J267" s="245">
        <f t="shared" si="105"/>
        <v>0</v>
      </c>
      <c r="K267" s="245">
        <f t="shared" si="105"/>
        <v>0</v>
      </c>
    </row>
    <row r="268" spans="1:12" x14ac:dyDescent="0.25">
      <c r="A268" s="300"/>
      <c r="B268" s="301"/>
      <c r="C268" s="38" t="s">
        <v>50</v>
      </c>
      <c r="D268" s="34">
        <f t="shared" ref="D268:K270" si="106">D197+D79+D51</f>
        <v>161220</v>
      </c>
      <c r="E268" s="34">
        <f t="shared" si="106"/>
        <v>0</v>
      </c>
      <c r="F268" s="34">
        <f t="shared" si="106"/>
        <v>0</v>
      </c>
      <c r="G268" s="34">
        <f t="shared" si="106"/>
        <v>0</v>
      </c>
      <c r="H268" s="34">
        <f t="shared" si="106"/>
        <v>0</v>
      </c>
      <c r="I268" s="34">
        <f t="shared" si="106"/>
        <v>0</v>
      </c>
      <c r="J268" s="34">
        <f t="shared" si="106"/>
        <v>161220</v>
      </c>
      <c r="K268" s="34">
        <f t="shared" si="106"/>
        <v>0</v>
      </c>
    </row>
    <row r="269" spans="1:12" x14ac:dyDescent="0.25">
      <c r="A269" s="300"/>
      <c r="B269" s="301"/>
      <c r="C269" s="37" t="s">
        <v>51</v>
      </c>
      <c r="D269" s="34">
        <f t="shared" si="106"/>
        <v>43530</v>
      </c>
      <c r="E269" s="34">
        <f t="shared" si="106"/>
        <v>0</v>
      </c>
      <c r="F269" s="34">
        <f t="shared" si="106"/>
        <v>0</v>
      </c>
      <c r="G269" s="34">
        <f t="shared" si="106"/>
        <v>0</v>
      </c>
      <c r="H269" s="34">
        <f t="shared" si="106"/>
        <v>0</v>
      </c>
      <c r="I269" s="34">
        <f t="shared" si="106"/>
        <v>0</v>
      </c>
      <c r="J269" s="34">
        <f t="shared" si="106"/>
        <v>43530</v>
      </c>
      <c r="K269" s="34">
        <f t="shared" si="106"/>
        <v>0</v>
      </c>
    </row>
    <row r="270" spans="1:12" x14ac:dyDescent="0.25">
      <c r="A270" s="300"/>
      <c r="B270" s="301"/>
      <c r="C270" s="243" t="s">
        <v>52</v>
      </c>
      <c r="D270" s="244">
        <f t="shared" si="106"/>
        <v>204750</v>
      </c>
      <c r="E270" s="244">
        <f t="shared" si="106"/>
        <v>0</v>
      </c>
      <c r="F270" s="244">
        <f t="shared" si="106"/>
        <v>0</v>
      </c>
      <c r="G270" s="244">
        <f t="shared" si="106"/>
        <v>0</v>
      </c>
      <c r="H270" s="244">
        <f t="shared" si="106"/>
        <v>0</v>
      </c>
      <c r="I270" s="244">
        <f t="shared" si="106"/>
        <v>0</v>
      </c>
      <c r="J270" s="244">
        <f t="shared" si="106"/>
        <v>204750</v>
      </c>
      <c r="K270" s="245">
        <f t="shared" si="106"/>
        <v>0</v>
      </c>
    </row>
    <row r="271" spans="1:12" x14ac:dyDescent="0.25">
      <c r="A271" s="302"/>
      <c r="B271" s="303"/>
      <c r="C271" s="65" t="s">
        <v>88</v>
      </c>
      <c r="D271" s="68">
        <f>D222</f>
        <v>211302060</v>
      </c>
      <c r="E271" s="68">
        <f t="shared" ref="E271:K271" si="107">E222</f>
        <v>0</v>
      </c>
      <c r="F271" s="68">
        <f t="shared" si="107"/>
        <v>4849000</v>
      </c>
      <c r="G271" s="68">
        <f t="shared" si="107"/>
        <v>-1201434</v>
      </c>
      <c r="H271" s="68">
        <f t="shared" si="107"/>
        <v>0</v>
      </c>
      <c r="I271" s="68">
        <f t="shared" si="107"/>
        <v>0</v>
      </c>
      <c r="J271" s="68">
        <f t="shared" si="107"/>
        <v>214949626</v>
      </c>
      <c r="K271" s="68">
        <f t="shared" si="107"/>
        <v>128383789</v>
      </c>
    </row>
    <row r="272" spans="1:12" x14ac:dyDescent="0.25">
      <c r="B272" s="5"/>
      <c r="E272" s="4"/>
      <c r="F272" s="4"/>
      <c r="G272" s="4"/>
      <c r="H272" s="4"/>
      <c r="I272" s="4"/>
      <c r="J272" s="4"/>
      <c r="K272" s="111"/>
    </row>
    <row r="273" spans="1:11" x14ac:dyDescent="0.25">
      <c r="B273" s="5"/>
      <c r="E273" s="4"/>
      <c r="F273" s="4"/>
      <c r="G273" s="4"/>
      <c r="H273" s="4"/>
      <c r="I273" s="4"/>
      <c r="J273" s="4"/>
      <c r="K273" s="111"/>
    </row>
    <row r="275" spans="1:11" x14ac:dyDescent="0.25">
      <c r="A275" s="140" t="s">
        <v>125</v>
      </c>
      <c r="B275" s="140"/>
      <c r="C275" s="140"/>
      <c r="D275" s="140"/>
      <c r="E275" s="140"/>
      <c r="F275" s="140"/>
    </row>
    <row r="276" spans="1:11" x14ac:dyDescent="0.25">
      <c r="A276" s="227"/>
      <c r="B276" s="227"/>
      <c r="C276" s="227"/>
      <c r="D276" s="142"/>
      <c r="E276" s="142"/>
      <c r="F276" s="143"/>
    </row>
    <row r="277" spans="1:11" x14ac:dyDescent="0.25">
      <c r="A277" s="140"/>
      <c r="B277" s="140"/>
      <c r="C277" s="140"/>
      <c r="D277" s="140"/>
      <c r="E277" s="226"/>
      <c r="F277" s="143"/>
    </row>
    <row r="278" spans="1:11" x14ac:dyDescent="0.25">
      <c r="A278" s="140" t="s">
        <v>127</v>
      </c>
      <c r="B278" s="140"/>
      <c r="C278" s="140"/>
      <c r="D278" s="140"/>
      <c r="E278" s="226"/>
      <c r="F278" s="143">
        <f>F9</f>
        <v>4849000</v>
      </c>
    </row>
    <row r="279" spans="1:11" x14ac:dyDescent="0.25">
      <c r="A279" s="140" t="s">
        <v>190</v>
      </c>
      <c r="B279" s="140"/>
      <c r="C279" s="140"/>
      <c r="D279" s="140"/>
      <c r="E279" s="226"/>
      <c r="F279" s="143">
        <f>H9</f>
        <v>0</v>
      </c>
    </row>
    <row r="280" spans="1:11" x14ac:dyDescent="0.25">
      <c r="A280" s="140" t="s">
        <v>128</v>
      </c>
      <c r="B280" s="140"/>
      <c r="C280" s="140"/>
      <c r="D280" s="140"/>
      <c r="E280" s="226"/>
      <c r="F280" s="143">
        <f>SUM(G16,G18,G20,G22)</f>
        <v>-1201434</v>
      </c>
    </row>
    <row r="281" spans="1:11" x14ac:dyDescent="0.25">
      <c r="A281" s="361" t="s">
        <v>184</v>
      </c>
      <c r="B281" s="361"/>
      <c r="C281" s="361"/>
      <c r="D281" s="361"/>
      <c r="E281" s="226"/>
      <c r="F281" s="143">
        <v>0</v>
      </c>
    </row>
    <row r="282" spans="1:11" x14ac:dyDescent="0.25">
      <c r="A282" s="361" t="s">
        <v>130</v>
      </c>
      <c r="B282" s="361"/>
      <c r="C282" s="361"/>
      <c r="D282" s="361"/>
      <c r="E282" s="226"/>
      <c r="F282" s="143">
        <v>0</v>
      </c>
    </row>
    <row r="283" spans="1:11" x14ac:dyDescent="0.25">
      <c r="A283" s="140" t="s">
        <v>131</v>
      </c>
      <c r="B283" s="140"/>
      <c r="C283" s="140"/>
      <c r="D283" s="140"/>
      <c r="E283" s="226"/>
      <c r="F283" s="143">
        <v>0</v>
      </c>
    </row>
    <row r="284" spans="1:11" x14ac:dyDescent="0.25">
      <c r="A284" s="226" t="s">
        <v>132</v>
      </c>
      <c r="B284" s="226"/>
      <c r="C284" s="226"/>
      <c r="D284" s="226"/>
      <c r="E284" s="226"/>
      <c r="F284" s="143">
        <v>0</v>
      </c>
    </row>
    <row r="285" spans="1:11" x14ac:dyDescent="0.25">
      <c r="A285" s="361" t="s">
        <v>133</v>
      </c>
      <c r="B285" s="361"/>
      <c r="C285" s="361"/>
      <c r="D285" s="361"/>
      <c r="E285" s="226"/>
      <c r="F285" s="143">
        <v>0</v>
      </c>
    </row>
    <row r="286" spans="1:11" x14ac:dyDescent="0.25">
      <c r="A286" s="228" t="s">
        <v>134</v>
      </c>
      <c r="B286" s="228"/>
      <c r="C286" s="228"/>
      <c r="D286" s="228"/>
      <c r="E286" s="228"/>
      <c r="F286" s="146">
        <v>0</v>
      </c>
    </row>
    <row r="287" spans="1:11" x14ac:dyDescent="0.25">
      <c r="A287" s="361" t="s">
        <v>135</v>
      </c>
      <c r="B287" s="361"/>
      <c r="C287" s="361"/>
      <c r="D287" s="361"/>
      <c r="E287" s="226"/>
      <c r="F287" s="143">
        <f>SUM(F277:F286)</f>
        <v>3647566</v>
      </c>
    </row>
    <row r="288" spans="1:11" x14ac:dyDescent="0.25">
      <c r="A288" s="362"/>
      <c r="B288" s="362"/>
      <c r="C288" s="362"/>
      <c r="D288" s="362"/>
      <c r="E288" s="362"/>
      <c r="F288" s="362"/>
    </row>
    <row r="289" spans="1:6" x14ac:dyDescent="0.25">
      <c r="A289" s="362"/>
      <c r="B289" s="362"/>
      <c r="C289" s="362"/>
      <c r="D289" s="362"/>
      <c r="E289" s="362"/>
      <c r="F289" s="362"/>
    </row>
    <row r="290" spans="1:6" x14ac:dyDescent="0.25">
      <c r="A290" s="362"/>
      <c r="B290" s="362"/>
      <c r="C290" s="362"/>
      <c r="D290" s="362"/>
      <c r="E290" s="362"/>
      <c r="F290" s="362"/>
    </row>
    <row r="291" spans="1:6" x14ac:dyDescent="0.25">
      <c r="A291" s="361" t="s">
        <v>136</v>
      </c>
      <c r="B291" s="361"/>
      <c r="C291" s="361"/>
      <c r="D291" s="361"/>
      <c r="E291" s="361"/>
      <c r="F291" s="361"/>
    </row>
    <row r="292" spans="1:6" x14ac:dyDescent="0.25">
      <c r="A292" s="362"/>
      <c r="B292" s="362"/>
      <c r="C292" s="362"/>
      <c r="D292" s="362"/>
      <c r="E292" s="362"/>
      <c r="F292" s="362"/>
    </row>
    <row r="293" spans="1:6" x14ac:dyDescent="0.25">
      <c r="A293" s="361" t="s">
        <v>137</v>
      </c>
      <c r="B293" s="361"/>
      <c r="C293" s="361"/>
      <c r="D293" s="361"/>
      <c r="E293" s="226"/>
      <c r="F293" s="143">
        <v>0</v>
      </c>
    </row>
    <row r="294" spans="1:6" x14ac:dyDescent="0.25">
      <c r="A294" s="226" t="s">
        <v>138</v>
      </c>
      <c r="B294" s="226"/>
      <c r="C294" s="226"/>
      <c r="D294" s="226"/>
      <c r="E294" s="226"/>
      <c r="F294" s="143">
        <v>0</v>
      </c>
    </row>
    <row r="295" spans="1:6" x14ac:dyDescent="0.25">
      <c r="A295" s="361" t="s">
        <v>139</v>
      </c>
      <c r="B295" s="361"/>
      <c r="C295" s="361"/>
      <c r="D295" s="361"/>
      <c r="E295" s="226"/>
      <c r="F295" s="143">
        <f>F219+F180+F156+F135+H133+F113+F88+F86</f>
        <v>0</v>
      </c>
    </row>
    <row r="296" spans="1:6" x14ac:dyDescent="0.25">
      <c r="A296" s="361" t="s">
        <v>140</v>
      </c>
      <c r="B296" s="361"/>
      <c r="C296" s="361"/>
      <c r="D296" s="361"/>
      <c r="E296" s="226"/>
      <c r="F296" s="143">
        <f>F220+F181+F157+F136+H134+F114+F89+F87</f>
        <v>0</v>
      </c>
    </row>
    <row r="297" spans="1:6" x14ac:dyDescent="0.25">
      <c r="A297" s="361" t="s">
        <v>141</v>
      </c>
      <c r="B297" s="361"/>
      <c r="C297" s="361"/>
      <c r="D297" s="361"/>
      <c r="E297" s="226"/>
      <c r="F297" s="143">
        <f>SUM(F50,F78,F110,G110,F132,G132,F155,G155,F177,G177)</f>
        <v>3647566</v>
      </c>
    </row>
    <row r="298" spans="1:6" x14ac:dyDescent="0.25">
      <c r="A298" s="226" t="s">
        <v>142</v>
      </c>
      <c r="B298" s="226"/>
      <c r="C298" s="226"/>
      <c r="D298" s="226"/>
      <c r="E298" s="226"/>
      <c r="F298" s="143">
        <v>0</v>
      </c>
    </row>
    <row r="299" spans="1:6" x14ac:dyDescent="0.25">
      <c r="A299" s="226" t="s">
        <v>143</v>
      </c>
      <c r="B299" s="226"/>
      <c r="C299" s="226"/>
      <c r="D299" s="226"/>
      <c r="E299" s="226"/>
      <c r="F299" s="143">
        <v>0</v>
      </c>
    </row>
    <row r="300" spans="1:6" x14ac:dyDescent="0.25">
      <c r="A300" s="147" t="s">
        <v>144</v>
      </c>
      <c r="B300" s="147"/>
      <c r="C300" s="147"/>
      <c r="D300" s="148"/>
      <c r="E300" s="148"/>
      <c r="F300" s="149">
        <v>0</v>
      </c>
    </row>
    <row r="301" spans="1:6" x14ac:dyDescent="0.25">
      <c r="A301" s="364" t="s">
        <v>135</v>
      </c>
      <c r="B301" s="364"/>
      <c r="C301" s="364"/>
      <c r="D301" s="364"/>
      <c r="E301" s="226"/>
      <c r="F301" s="143">
        <f>SUM(F293:F300)</f>
        <v>3647566</v>
      </c>
    </row>
    <row r="302" spans="1:6" x14ac:dyDescent="0.25">
      <c r="A302" s="226"/>
      <c r="B302" s="140"/>
      <c r="C302" s="150"/>
      <c r="D302" s="142"/>
      <c r="E302" s="142"/>
      <c r="F302" s="143"/>
    </row>
    <row r="303" spans="1:6" x14ac:dyDescent="0.25">
      <c r="A303" s="361" t="s">
        <v>145</v>
      </c>
      <c r="B303" s="361"/>
      <c r="C303" s="361"/>
      <c r="D303" s="361"/>
      <c r="E303" s="361"/>
      <c r="F303" s="361"/>
    </row>
    <row r="304" spans="1:6" x14ac:dyDescent="0.25">
      <c r="A304" s="227"/>
      <c r="B304" s="227"/>
      <c r="C304" s="227"/>
      <c r="D304" s="142"/>
      <c r="E304" s="142"/>
      <c r="F304" s="143"/>
    </row>
    <row r="305" spans="1:6" x14ac:dyDescent="0.25">
      <c r="A305" s="140" t="s">
        <v>126</v>
      </c>
      <c r="B305" s="140"/>
      <c r="C305" s="140"/>
      <c r="D305" s="140"/>
      <c r="E305" s="226"/>
      <c r="F305" s="143">
        <v>0</v>
      </c>
    </row>
    <row r="306" spans="1:6" x14ac:dyDescent="0.25">
      <c r="A306" s="361" t="s">
        <v>127</v>
      </c>
      <c r="B306" s="361"/>
      <c r="C306" s="361"/>
      <c r="D306" s="361"/>
      <c r="E306" s="226"/>
      <c r="F306" s="143">
        <v>0</v>
      </c>
    </row>
    <row r="307" spans="1:6" x14ac:dyDescent="0.25">
      <c r="A307" s="140" t="s">
        <v>128</v>
      </c>
      <c r="B307" s="226"/>
      <c r="C307" s="226"/>
      <c r="D307" s="226"/>
      <c r="E307" s="226"/>
      <c r="F307" s="143">
        <v>0</v>
      </c>
    </row>
    <row r="308" spans="1:6" x14ac:dyDescent="0.25">
      <c r="A308" s="361" t="s">
        <v>129</v>
      </c>
      <c r="B308" s="361"/>
      <c r="C308" s="361"/>
      <c r="D308" s="361"/>
      <c r="E308" s="226"/>
      <c r="F308" s="143">
        <v>0</v>
      </c>
    </row>
    <row r="309" spans="1:6" x14ac:dyDescent="0.25">
      <c r="A309" s="361" t="s">
        <v>146</v>
      </c>
      <c r="B309" s="361"/>
      <c r="C309" s="361"/>
      <c r="D309" s="361"/>
      <c r="E309" s="226"/>
      <c r="F309" s="143">
        <v>0</v>
      </c>
    </row>
    <row r="310" spans="1:6" x14ac:dyDescent="0.25">
      <c r="A310" s="140" t="s">
        <v>147</v>
      </c>
      <c r="B310" s="140"/>
      <c r="C310" s="140"/>
      <c r="D310" s="140"/>
      <c r="E310" s="226"/>
      <c r="F310" s="143">
        <v>0</v>
      </c>
    </row>
    <row r="311" spans="1:6" x14ac:dyDescent="0.25">
      <c r="A311" s="226" t="s">
        <v>132</v>
      </c>
      <c r="B311" s="226"/>
      <c r="C311" s="226"/>
      <c r="D311" s="226"/>
      <c r="E311" s="226"/>
      <c r="F311" s="143">
        <v>0</v>
      </c>
    </row>
    <row r="312" spans="1:6" x14ac:dyDescent="0.25">
      <c r="A312" s="363" t="s">
        <v>133</v>
      </c>
      <c r="B312" s="363"/>
      <c r="C312" s="363"/>
      <c r="D312" s="363"/>
      <c r="E312" s="228"/>
      <c r="F312" s="146">
        <f>E133+E127</f>
        <v>0</v>
      </c>
    </row>
    <row r="313" spans="1:6" x14ac:dyDescent="0.25">
      <c r="A313" s="364" t="s">
        <v>135</v>
      </c>
      <c r="B313" s="364"/>
      <c r="C313" s="364"/>
      <c r="D313" s="364"/>
      <c r="E313" s="226"/>
      <c r="F313" s="143">
        <f>SUM(F305:F312)</f>
        <v>0</v>
      </c>
    </row>
    <row r="314" spans="1:6" x14ac:dyDescent="0.25">
      <c r="A314" s="362"/>
      <c r="B314" s="362"/>
      <c r="C314" s="362"/>
      <c r="D314" s="362"/>
      <c r="E314" s="362"/>
      <c r="F314" s="362"/>
    </row>
    <row r="315" spans="1:6" x14ac:dyDescent="0.25">
      <c r="A315" s="362"/>
      <c r="B315" s="362"/>
      <c r="C315" s="362"/>
      <c r="D315" s="362"/>
      <c r="E315" s="362"/>
      <c r="F315" s="362"/>
    </row>
    <row r="316" spans="1:6" x14ac:dyDescent="0.25">
      <c r="A316" s="362"/>
      <c r="B316" s="362"/>
      <c r="C316" s="362"/>
      <c r="D316" s="362"/>
      <c r="E316" s="362"/>
      <c r="F316" s="362"/>
    </row>
    <row r="317" spans="1:6" x14ac:dyDescent="0.25">
      <c r="A317" s="361" t="s">
        <v>148</v>
      </c>
      <c r="B317" s="361"/>
      <c r="C317" s="361"/>
      <c r="D317" s="361"/>
      <c r="E317" s="361"/>
      <c r="F317" s="361"/>
    </row>
    <row r="318" spans="1:6" x14ac:dyDescent="0.25">
      <c r="A318" s="362"/>
      <c r="B318" s="362"/>
      <c r="C318" s="362"/>
      <c r="D318" s="362"/>
      <c r="E318" s="362"/>
      <c r="F318" s="362"/>
    </row>
    <row r="319" spans="1:6" x14ac:dyDescent="0.25">
      <c r="A319" s="361" t="s">
        <v>137</v>
      </c>
      <c r="B319" s="361"/>
      <c r="C319" s="361"/>
      <c r="D319" s="361"/>
      <c r="E319" s="226"/>
      <c r="F319" s="143">
        <v>0</v>
      </c>
    </row>
    <row r="320" spans="1:6" x14ac:dyDescent="0.25">
      <c r="A320" s="226" t="s">
        <v>138</v>
      </c>
      <c r="B320" s="226"/>
      <c r="C320" s="226"/>
      <c r="D320" s="226"/>
      <c r="E320" s="226"/>
      <c r="F320" s="143">
        <v>0</v>
      </c>
    </row>
    <row r="321" spans="1:6" x14ac:dyDescent="0.25">
      <c r="A321" s="361" t="s">
        <v>139</v>
      </c>
      <c r="B321" s="361"/>
      <c r="C321" s="361"/>
      <c r="D321" s="361"/>
      <c r="E321" s="226"/>
      <c r="F321" s="143">
        <f>E61+E54+E32+E27+E185</f>
        <v>0</v>
      </c>
    </row>
    <row r="322" spans="1:6" x14ac:dyDescent="0.25">
      <c r="A322" s="361" t="s">
        <v>140</v>
      </c>
      <c r="B322" s="361"/>
      <c r="C322" s="361"/>
      <c r="D322" s="361"/>
      <c r="E322" s="226"/>
      <c r="F322" s="143">
        <v>0</v>
      </c>
    </row>
    <row r="323" spans="1:6" x14ac:dyDescent="0.25">
      <c r="A323" s="361" t="s">
        <v>141</v>
      </c>
      <c r="B323" s="361"/>
      <c r="C323" s="361"/>
      <c r="D323" s="361"/>
      <c r="E323" s="226"/>
      <c r="F323" s="143">
        <f>E216+E213++E76+E71+E217+E152+E148+E129+E125+E45</f>
        <v>0</v>
      </c>
    </row>
    <row r="324" spans="1:6" x14ac:dyDescent="0.25">
      <c r="A324" s="226" t="s">
        <v>149</v>
      </c>
      <c r="B324" s="226"/>
      <c r="C324" s="226"/>
      <c r="D324" s="226"/>
      <c r="E324" s="226"/>
      <c r="F324" s="143">
        <v>0</v>
      </c>
    </row>
    <row r="325" spans="1:6" x14ac:dyDescent="0.25">
      <c r="A325" s="226" t="s">
        <v>150</v>
      </c>
      <c r="B325" s="226"/>
      <c r="C325" s="226"/>
      <c r="D325" s="226"/>
      <c r="E325" s="226"/>
      <c r="F325" s="143">
        <v>0</v>
      </c>
    </row>
    <row r="326" spans="1:6" x14ac:dyDescent="0.25">
      <c r="A326" s="147" t="s">
        <v>144</v>
      </c>
      <c r="B326" s="147"/>
      <c r="C326" s="147"/>
      <c r="D326" s="148"/>
      <c r="E326" s="148"/>
      <c r="F326" s="149">
        <v>0</v>
      </c>
    </row>
    <row r="327" spans="1:6" x14ac:dyDescent="0.25">
      <c r="A327" s="364" t="s">
        <v>135</v>
      </c>
      <c r="B327" s="364"/>
      <c r="C327" s="364"/>
      <c r="D327" s="364"/>
      <c r="E327" s="226"/>
      <c r="F327" s="143">
        <f>SUM(F319:F326)</f>
        <v>0</v>
      </c>
    </row>
    <row r="328" spans="1:6" x14ac:dyDescent="0.25">
      <c r="A328" s="151"/>
      <c r="B328" s="152"/>
      <c r="C328" s="153"/>
      <c r="D328" s="154"/>
      <c r="E328" s="154"/>
      <c r="F328" s="155"/>
    </row>
    <row r="329" spans="1:6" x14ac:dyDescent="0.25">
      <c r="A329" s="151"/>
      <c r="B329" s="152"/>
      <c r="C329" s="153"/>
      <c r="D329" s="154"/>
      <c r="E329" s="154"/>
      <c r="F329" s="155"/>
    </row>
    <row r="330" spans="1:6" x14ac:dyDescent="0.25">
      <c r="A330" s="365" t="s">
        <v>151</v>
      </c>
      <c r="B330" s="365"/>
      <c r="C330" s="365"/>
      <c r="D330" s="365"/>
      <c r="E330" s="365"/>
      <c r="F330" s="365"/>
    </row>
    <row r="331" spans="1:6" x14ac:dyDescent="0.25">
      <c r="A331" s="366"/>
      <c r="B331" s="366"/>
      <c r="C331" s="366"/>
      <c r="D331" s="366"/>
      <c r="E331" s="366"/>
      <c r="F331" s="366"/>
    </row>
    <row r="332" spans="1:6" x14ac:dyDescent="0.25">
      <c r="A332" s="230"/>
      <c r="B332" s="230"/>
      <c r="C332" s="230"/>
      <c r="D332" s="157"/>
      <c r="E332" s="157"/>
      <c r="F332" s="158"/>
    </row>
    <row r="333" spans="1:6" x14ac:dyDescent="0.25">
      <c r="A333" s="229" t="s">
        <v>171</v>
      </c>
      <c r="B333" s="160"/>
      <c r="C333" s="160"/>
      <c r="D333" s="160"/>
      <c r="E333" s="160"/>
      <c r="F333" s="158">
        <f>SUM(F277,F305)</f>
        <v>0</v>
      </c>
    </row>
    <row r="334" spans="1:6" x14ac:dyDescent="0.25">
      <c r="A334" s="229" t="s">
        <v>127</v>
      </c>
      <c r="B334" s="160"/>
      <c r="C334" s="160"/>
      <c r="D334" s="160"/>
      <c r="E334" s="229"/>
      <c r="F334" s="158">
        <f>SUM(F278,F306)</f>
        <v>4849000</v>
      </c>
    </row>
    <row r="335" spans="1:6" x14ac:dyDescent="0.25">
      <c r="A335" s="160" t="s">
        <v>190</v>
      </c>
      <c r="B335" s="160"/>
      <c r="C335" s="160"/>
      <c r="D335" s="160"/>
      <c r="E335" s="229"/>
      <c r="F335" s="158">
        <f>F279</f>
        <v>0</v>
      </c>
    </row>
    <row r="336" spans="1:6" x14ac:dyDescent="0.25">
      <c r="A336" s="365" t="s">
        <v>152</v>
      </c>
      <c r="B336" s="365"/>
      <c r="C336" s="365"/>
      <c r="D336" s="365"/>
      <c r="E336" s="229"/>
      <c r="F336" s="158">
        <f>SUM(F280,F307)</f>
        <v>-1201434</v>
      </c>
    </row>
    <row r="337" spans="1:6" x14ac:dyDescent="0.25">
      <c r="A337" s="365" t="s">
        <v>153</v>
      </c>
      <c r="B337" s="365"/>
      <c r="C337" s="365"/>
      <c r="D337" s="365"/>
      <c r="E337" s="229"/>
      <c r="F337" s="158">
        <f>F281+F308</f>
        <v>0</v>
      </c>
    </row>
    <row r="338" spans="1:6" x14ac:dyDescent="0.25">
      <c r="A338" s="365" t="s">
        <v>154</v>
      </c>
      <c r="B338" s="365"/>
      <c r="C338" s="365"/>
      <c r="D338" s="365"/>
      <c r="E338" s="229"/>
      <c r="F338" s="158">
        <f>F282+F309</f>
        <v>0</v>
      </c>
    </row>
    <row r="339" spans="1:6" x14ac:dyDescent="0.25">
      <c r="A339" s="160" t="s">
        <v>147</v>
      </c>
      <c r="B339" s="160"/>
      <c r="C339" s="160"/>
      <c r="D339" s="160"/>
      <c r="E339" s="229"/>
      <c r="F339" s="158">
        <f>SUM(F310,F283)</f>
        <v>0</v>
      </c>
    </row>
    <row r="340" spans="1:6" x14ac:dyDescent="0.25">
      <c r="A340" s="229" t="s">
        <v>132</v>
      </c>
      <c r="B340" s="229"/>
      <c r="C340" s="229"/>
      <c r="D340" s="229"/>
      <c r="E340" s="229"/>
      <c r="F340" s="158">
        <f>F311+F284</f>
        <v>0</v>
      </c>
    </row>
    <row r="341" spans="1:6" x14ac:dyDescent="0.25">
      <c r="A341" s="365" t="s">
        <v>133</v>
      </c>
      <c r="B341" s="365"/>
      <c r="C341" s="365"/>
      <c r="D341" s="365"/>
      <c r="E341" s="229"/>
      <c r="F341" s="158">
        <f>F312+F285</f>
        <v>0</v>
      </c>
    </row>
    <row r="342" spans="1:6" x14ac:dyDescent="0.25">
      <c r="A342" s="161" t="s">
        <v>134</v>
      </c>
      <c r="B342" s="161"/>
      <c r="C342" s="161"/>
      <c r="D342" s="161"/>
      <c r="E342" s="161"/>
      <c r="F342" s="162">
        <f>F286</f>
        <v>0</v>
      </c>
    </row>
    <row r="343" spans="1:6" x14ac:dyDescent="0.25">
      <c r="A343" s="365" t="s">
        <v>135</v>
      </c>
      <c r="B343" s="365"/>
      <c r="C343" s="365"/>
      <c r="D343" s="365"/>
      <c r="E343" s="229"/>
      <c r="F343" s="158">
        <f>SUM(F333:F342)</f>
        <v>3647566</v>
      </c>
    </row>
    <row r="344" spans="1:6" x14ac:dyDescent="0.25">
      <c r="A344" s="229"/>
      <c r="B344" s="229"/>
      <c r="C344" s="229"/>
      <c r="D344" s="229"/>
      <c r="E344" s="229"/>
      <c r="F344" s="158"/>
    </row>
    <row r="345" spans="1:6" x14ac:dyDescent="0.25">
      <c r="A345" s="229"/>
      <c r="B345" s="229"/>
      <c r="C345" s="229"/>
      <c r="D345" s="229"/>
      <c r="E345" s="229"/>
      <c r="F345" s="158"/>
    </row>
    <row r="346" spans="1:6" x14ac:dyDescent="0.25">
      <c r="A346" s="366"/>
      <c r="B346" s="366"/>
      <c r="C346" s="366"/>
      <c r="D346" s="366"/>
      <c r="E346" s="366"/>
      <c r="F346" s="366"/>
    </row>
    <row r="347" spans="1:6" x14ac:dyDescent="0.25">
      <c r="A347" s="365" t="s">
        <v>155</v>
      </c>
      <c r="B347" s="365"/>
      <c r="C347" s="365"/>
      <c r="D347" s="365"/>
      <c r="E347" s="365"/>
      <c r="F347" s="365"/>
    </row>
    <row r="348" spans="1:6" x14ac:dyDescent="0.25">
      <c r="A348" s="366"/>
      <c r="B348" s="366"/>
      <c r="C348" s="366"/>
      <c r="D348" s="366"/>
      <c r="E348" s="366"/>
      <c r="F348" s="366"/>
    </row>
    <row r="349" spans="1:6" x14ac:dyDescent="0.25">
      <c r="A349" s="365" t="s">
        <v>137</v>
      </c>
      <c r="B349" s="365"/>
      <c r="C349" s="365"/>
      <c r="D349" s="365"/>
      <c r="E349" s="229"/>
      <c r="F349" s="158">
        <v>0</v>
      </c>
    </row>
    <row r="350" spans="1:6" x14ac:dyDescent="0.25">
      <c r="A350" s="229" t="s">
        <v>138</v>
      </c>
      <c r="B350" s="229"/>
      <c r="C350" s="229"/>
      <c r="D350" s="229"/>
      <c r="E350" s="229"/>
      <c r="F350" s="158">
        <f>F320+F294</f>
        <v>0</v>
      </c>
    </row>
    <row r="351" spans="1:6" x14ac:dyDescent="0.25">
      <c r="A351" s="365" t="s">
        <v>139</v>
      </c>
      <c r="B351" s="365"/>
      <c r="C351" s="365"/>
      <c r="D351" s="365"/>
      <c r="E351" s="229"/>
      <c r="F351" s="158">
        <f>F321+F295</f>
        <v>0</v>
      </c>
    </row>
    <row r="352" spans="1:6" x14ac:dyDescent="0.25">
      <c r="A352" s="365" t="s">
        <v>140</v>
      </c>
      <c r="B352" s="365"/>
      <c r="C352" s="365"/>
      <c r="D352" s="365"/>
      <c r="E352" s="229"/>
      <c r="F352" s="158">
        <f>F322+F296</f>
        <v>0</v>
      </c>
    </row>
    <row r="353" spans="1:6" x14ac:dyDescent="0.25">
      <c r="A353" s="365" t="s">
        <v>141</v>
      </c>
      <c r="B353" s="365"/>
      <c r="C353" s="365"/>
      <c r="D353" s="365"/>
      <c r="E353" s="229"/>
      <c r="F353" s="158">
        <f>F323+F297</f>
        <v>3647566</v>
      </c>
    </row>
    <row r="354" spans="1:6" x14ac:dyDescent="0.25">
      <c r="A354" s="229" t="s">
        <v>149</v>
      </c>
      <c r="B354" s="229"/>
      <c r="C354" s="229"/>
      <c r="D354" s="229"/>
      <c r="E354" s="229"/>
      <c r="F354" s="158">
        <f>SUM(F324,F298)</f>
        <v>0</v>
      </c>
    </row>
    <row r="355" spans="1:6" x14ac:dyDescent="0.25">
      <c r="A355" s="229" t="s">
        <v>150</v>
      </c>
      <c r="B355" s="229"/>
      <c r="C355" s="229"/>
      <c r="D355" s="229"/>
      <c r="E355" s="229"/>
      <c r="F355" s="158">
        <f>SUM(F325)</f>
        <v>0</v>
      </c>
    </row>
    <row r="356" spans="1:6" x14ac:dyDescent="0.25">
      <c r="A356" s="163" t="s">
        <v>144</v>
      </c>
      <c r="B356" s="163"/>
      <c r="C356" s="163"/>
      <c r="D356" s="164"/>
      <c r="E356" s="164"/>
      <c r="F356" s="165">
        <f>F326+F300</f>
        <v>0</v>
      </c>
    </row>
    <row r="357" spans="1:6" x14ac:dyDescent="0.25">
      <c r="A357" s="367" t="s">
        <v>135</v>
      </c>
      <c r="B357" s="367"/>
      <c r="C357" s="367"/>
      <c r="D357" s="367"/>
      <c r="E357" s="229"/>
      <c r="F357" s="158">
        <f>SUM(F349:F356)</f>
        <v>3647566</v>
      </c>
    </row>
  </sheetData>
  <mergeCells count="118">
    <mergeCell ref="A230:B271"/>
    <mergeCell ref="A182:C182"/>
    <mergeCell ref="A183:A200"/>
    <mergeCell ref="B183:B200"/>
    <mergeCell ref="A201:C201"/>
    <mergeCell ref="A202:A218"/>
    <mergeCell ref="B202:B218"/>
    <mergeCell ref="A219:A220"/>
    <mergeCell ref="B219:B220"/>
    <mergeCell ref="A221:C221"/>
    <mergeCell ref="A222:C222"/>
    <mergeCell ref="A229:K229"/>
    <mergeCell ref="A180:A181"/>
    <mergeCell ref="B180:B181"/>
    <mergeCell ref="A135:A136"/>
    <mergeCell ref="B135:B136"/>
    <mergeCell ref="A137:C137"/>
    <mergeCell ref="A138:A155"/>
    <mergeCell ref="B138:B155"/>
    <mergeCell ref="A156:A157"/>
    <mergeCell ref="B156:B157"/>
    <mergeCell ref="A158:C158"/>
    <mergeCell ref="A159:A177"/>
    <mergeCell ref="B159:B177"/>
    <mergeCell ref="A178:A179"/>
    <mergeCell ref="B178:B179"/>
    <mergeCell ref="A84:A85"/>
    <mergeCell ref="B84:B85"/>
    <mergeCell ref="A86:A87"/>
    <mergeCell ref="B86:B87"/>
    <mergeCell ref="A133:A134"/>
    <mergeCell ref="B133:B134"/>
    <mergeCell ref="A88:A89"/>
    <mergeCell ref="B88:B89"/>
    <mergeCell ref="A90:C90"/>
    <mergeCell ref="A91:A110"/>
    <mergeCell ref="B91:B110"/>
    <mergeCell ref="A111:A112"/>
    <mergeCell ref="B111:B112"/>
    <mergeCell ref="A113:A114"/>
    <mergeCell ref="B113:B114"/>
    <mergeCell ref="A115:C115"/>
    <mergeCell ref="A116:A132"/>
    <mergeCell ref="B116:B132"/>
    <mergeCell ref="A22:A23"/>
    <mergeCell ref="B22:B23"/>
    <mergeCell ref="A24:A25"/>
    <mergeCell ref="B24:B25"/>
    <mergeCell ref="A26:C26"/>
    <mergeCell ref="A27:A81"/>
    <mergeCell ref="B27:B53"/>
    <mergeCell ref="B54:B81"/>
    <mergeCell ref="A82:A83"/>
    <mergeCell ref="B82:B83"/>
    <mergeCell ref="A6:A15"/>
    <mergeCell ref="B6:B9"/>
    <mergeCell ref="B10:B13"/>
    <mergeCell ref="B14:B15"/>
    <mergeCell ref="A16:A17"/>
    <mergeCell ref="B16:B17"/>
    <mergeCell ref="A18:A19"/>
    <mergeCell ref="B18:B19"/>
    <mergeCell ref="A20:A21"/>
    <mergeCell ref="B20:B21"/>
    <mergeCell ref="A1:L1"/>
    <mergeCell ref="E3:I3"/>
    <mergeCell ref="L3:L5"/>
    <mergeCell ref="K3:K5"/>
    <mergeCell ref="J3:J5"/>
    <mergeCell ref="I4:I5"/>
    <mergeCell ref="H4:H5"/>
    <mergeCell ref="E4:E5"/>
    <mergeCell ref="D3:D5"/>
    <mergeCell ref="C3:C5"/>
    <mergeCell ref="B3:B5"/>
    <mergeCell ref="A3:A5"/>
    <mergeCell ref="F4:G4"/>
    <mergeCell ref="A291:F291"/>
    <mergeCell ref="A292:F292"/>
    <mergeCell ref="A293:D293"/>
    <mergeCell ref="A295:D295"/>
    <mergeCell ref="A296:D296"/>
    <mergeCell ref="A281:D281"/>
    <mergeCell ref="A282:D282"/>
    <mergeCell ref="A285:D285"/>
    <mergeCell ref="A287:D287"/>
    <mergeCell ref="A288:F290"/>
    <mergeCell ref="A309:D309"/>
    <mergeCell ref="A312:D312"/>
    <mergeCell ref="A313:D313"/>
    <mergeCell ref="A314:F316"/>
    <mergeCell ref="A317:F317"/>
    <mergeCell ref="A297:D297"/>
    <mergeCell ref="A301:D301"/>
    <mergeCell ref="A303:F303"/>
    <mergeCell ref="A306:D306"/>
    <mergeCell ref="A308:D308"/>
    <mergeCell ref="A327:D327"/>
    <mergeCell ref="A330:F330"/>
    <mergeCell ref="A331:F331"/>
    <mergeCell ref="A336:D336"/>
    <mergeCell ref="A337:D337"/>
    <mergeCell ref="A318:F318"/>
    <mergeCell ref="A319:D319"/>
    <mergeCell ref="A321:D321"/>
    <mergeCell ref="A322:D322"/>
    <mergeCell ref="A323:D323"/>
    <mergeCell ref="A357:D357"/>
    <mergeCell ref="A348:F348"/>
    <mergeCell ref="A349:D349"/>
    <mergeCell ref="A351:D351"/>
    <mergeCell ref="A352:D352"/>
    <mergeCell ref="A353:D353"/>
    <mergeCell ref="A338:D338"/>
    <mergeCell ref="A341:D341"/>
    <mergeCell ref="A343:D343"/>
    <mergeCell ref="A346:F346"/>
    <mergeCell ref="A347:F347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  <rowBreaks count="3" manualBreakCount="3">
    <brk id="90" max="16383" man="1"/>
    <brk id="182" max="16383" man="1"/>
    <brk id="27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64"/>
  <sheetViews>
    <sheetView workbookViewId="0">
      <pane xSplit="2" ySplit="4" topLeftCell="C191" activePane="bottomRight" state="frozen"/>
      <selection activeCell="D8" sqref="D8"/>
      <selection pane="topRight" activeCell="D8" sqref="D8"/>
      <selection pane="bottomLeft" activeCell="D8" sqref="D8"/>
      <selection pane="bottomRight" activeCell="D8" sqref="D8"/>
    </sheetView>
  </sheetViews>
  <sheetFormatPr defaultRowHeight="15" x14ac:dyDescent="0.25"/>
  <cols>
    <col min="1" max="1" width="46.5703125" bestFit="1" customWidth="1"/>
    <col min="3" max="3" width="7.7109375" customWidth="1"/>
    <col min="4" max="5" width="13.7109375" customWidth="1"/>
    <col min="6" max="6" width="13.42578125" customWidth="1"/>
    <col min="7" max="9" width="10.28515625" bestFit="1" customWidth="1"/>
    <col min="10" max="10" width="13.85546875" bestFit="1" customWidth="1"/>
    <col min="11" max="11" width="16.42578125" customWidth="1"/>
    <col min="12" max="12" width="16.28515625" customWidth="1"/>
  </cols>
  <sheetData>
    <row r="1" spans="1:12" ht="21" x14ac:dyDescent="0.25">
      <c r="A1" s="286" t="s">
        <v>0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</row>
    <row r="2" spans="1:12" x14ac:dyDescent="0.25">
      <c r="B2" s="5"/>
      <c r="E2" s="4"/>
      <c r="F2" s="4"/>
      <c r="G2" s="4"/>
      <c r="H2" s="4"/>
      <c r="I2" s="4"/>
      <c r="J2" s="4"/>
      <c r="K2" s="39"/>
    </row>
    <row r="3" spans="1:12" ht="15" customHeight="1" x14ac:dyDescent="0.25">
      <c r="A3" s="287" t="s">
        <v>1</v>
      </c>
      <c r="B3" s="289" t="s">
        <v>2</v>
      </c>
      <c r="C3" s="287" t="s">
        <v>3</v>
      </c>
      <c r="D3" s="287" t="s">
        <v>4</v>
      </c>
      <c r="E3" s="291" t="s">
        <v>89</v>
      </c>
      <c r="F3" s="293" t="s">
        <v>93</v>
      </c>
      <c r="G3" s="294"/>
      <c r="H3" s="294"/>
      <c r="I3" s="295"/>
      <c r="J3" s="291" t="s">
        <v>90</v>
      </c>
      <c r="K3" s="296" t="s">
        <v>91</v>
      </c>
      <c r="L3" s="297" t="s">
        <v>92</v>
      </c>
    </row>
    <row r="4" spans="1:12" x14ac:dyDescent="0.25">
      <c r="A4" s="288"/>
      <c r="B4" s="290"/>
      <c r="C4" s="288"/>
      <c r="D4" s="288"/>
      <c r="E4" s="292"/>
      <c r="F4" s="72" t="s">
        <v>70</v>
      </c>
      <c r="G4" s="72" t="s">
        <v>71</v>
      </c>
      <c r="H4" s="72" t="s">
        <v>71</v>
      </c>
      <c r="I4" s="72" t="s">
        <v>71</v>
      </c>
      <c r="J4" s="292"/>
      <c r="K4" s="296"/>
      <c r="L4" s="297"/>
    </row>
    <row r="5" spans="1:12" x14ac:dyDescent="0.25">
      <c r="A5" s="255" t="s">
        <v>6</v>
      </c>
      <c r="B5" s="268" t="s">
        <v>21</v>
      </c>
      <c r="C5" s="2" t="s">
        <v>16</v>
      </c>
      <c r="D5" s="3">
        <v>54810810</v>
      </c>
      <c r="E5" s="3">
        <v>54810810</v>
      </c>
      <c r="F5" s="3"/>
      <c r="G5" s="3"/>
      <c r="H5" s="3"/>
      <c r="I5" s="3"/>
      <c r="J5" s="20">
        <f>E5+F5+G5+H5+I5</f>
        <v>54810810</v>
      </c>
      <c r="K5" s="51">
        <v>18270271</v>
      </c>
      <c r="L5" s="3">
        <f>J5-K5</f>
        <v>36540539</v>
      </c>
    </row>
    <row r="6" spans="1:12" x14ac:dyDescent="0.25">
      <c r="A6" s="256"/>
      <c r="B6" s="268"/>
      <c r="C6" s="2" t="s">
        <v>17</v>
      </c>
      <c r="D6" s="3">
        <v>7273070</v>
      </c>
      <c r="E6" s="3">
        <v>7273070</v>
      </c>
      <c r="F6" s="3"/>
      <c r="G6" s="3"/>
      <c r="H6" s="3"/>
      <c r="I6" s="3"/>
      <c r="J6" s="20">
        <f t="shared" ref="J6:J23" si="0">E6+F6+G6+H6+I6</f>
        <v>7273070</v>
      </c>
      <c r="K6" s="51">
        <v>7273070</v>
      </c>
      <c r="L6" s="3">
        <f t="shared" ref="L6:L23" si="1">J6-K6</f>
        <v>0</v>
      </c>
    </row>
    <row r="7" spans="1:12" x14ac:dyDescent="0.25">
      <c r="A7" s="256"/>
      <c r="B7" s="268"/>
      <c r="C7" s="2" t="s">
        <v>18</v>
      </c>
      <c r="D7" s="3">
        <v>96985672</v>
      </c>
      <c r="E7" s="3">
        <v>96985672</v>
      </c>
      <c r="F7" s="3"/>
      <c r="G7" s="3"/>
      <c r="H7" s="3"/>
      <c r="I7" s="3"/>
      <c r="J7" s="20">
        <f t="shared" si="0"/>
        <v>96985672</v>
      </c>
      <c r="K7" s="51">
        <v>32904001</v>
      </c>
      <c r="L7" s="3">
        <f t="shared" si="1"/>
        <v>64081671</v>
      </c>
    </row>
    <row r="8" spans="1:12" x14ac:dyDescent="0.25">
      <c r="A8" s="256"/>
      <c r="B8" s="252">
        <v>104042</v>
      </c>
      <c r="C8" s="2" t="s">
        <v>22</v>
      </c>
      <c r="D8" s="3">
        <v>200000</v>
      </c>
      <c r="E8" s="3">
        <v>200000</v>
      </c>
      <c r="F8" s="3"/>
      <c r="G8" s="3"/>
      <c r="H8" s="3"/>
      <c r="I8" s="3"/>
      <c r="J8" s="20">
        <f t="shared" si="0"/>
        <v>200000</v>
      </c>
      <c r="K8" s="51">
        <v>0</v>
      </c>
      <c r="L8" s="3">
        <f t="shared" si="1"/>
        <v>200000</v>
      </c>
    </row>
    <row r="9" spans="1:12" x14ac:dyDescent="0.25">
      <c r="A9" s="256"/>
      <c r="B9" s="253"/>
      <c r="C9" s="2" t="s">
        <v>19</v>
      </c>
      <c r="D9" s="3">
        <v>13200</v>
      </c>
      <c r="E9" s="3">
        <v>11554</v>
      </c>
      <c r="F9" s="3">
        <v>-14</v>
      </c>
      <c r="G9" s="3"/>
      <c r="H9" s="3"/>
      <c r="I9" s="3"/>
      <c r="J9" s="20">
        <f t="shared" si="0"/>
        <v>11540</v>
      </c>
      <c r="K9" s="51">
        <v>4311</v>
      </c>
      <c r="L9" s="3">
        <f t="shared" si="1"/>
        <v>7229</v>
      </c>
    </row>
    <row r="10" spans="1:12" x14ac:dyDescent="0.25">
      <c r="A10" s="256"/>
      <c r="B10" s="253"/>
      <c r="C10" s="2" t="s">
        <v>20</v>
      </c>
      <c r="D10" s="3">
        <v>500</v>
      </c>
      <c r="E10" s="3">
        <v>64</v>
      </c>
      <c r="F10" s="3">
        <f>14-17</f>
        <v>-3</v>
      </c>
      <c r="G10" s="3"/>
      <c r="H10" s="3"/>
      <c r="I10" s="3"/>
      <c r="J10" s="20">
        <f t="shared" si="0"/>
        <v>61</v>
      </c>
      <c r="K10" s="51">
        <v>61</v>
      </c>
      <c r="L10" s="3">
        <f t="shared" si="1"/>
        <v>0</v>
      </c>
    </row>
    <row r="11" spans="1:12" x14ac:dyDescent="0.25">
      <c r="A11" s="256"/>
      <c r="B11" s="254"/>
      <c r="C11" s="2" t="s">
        <v>84</v>
      </c>
      <c r="D11" s="3">
        <v>0</v>
      </c>
      <c r="E11" s="3">
        <v>2538</v>
      </c>
      <c r="F11" s="3"/>
      <c r="G11" s="3"/>
      <c r="H11" s="3"/>
      <c r="I11" s="3"/>
      <c r="J11" s="20">
        <f t="shared" si="0"/>
        <v>2538</v>
      </c>
      <c r="K11" s="51">
        <v>2538</v>
      </c>
      <c r="L11" s="3">
        <f t="shared" si="1"/>
        <v>0</v>
      </c>
    </row>
    <row r="12" spans="1:12" x14ac:dyDescent="0.25">
      <c r="A12" s="256"/>
      <c r="B12" s="252">
        <v>104043</v>
      </c>
      <c r="C12" s="2" t="s">
        <v>20</v>
      </c>
      <c r="D12" s="3">
        <v>500</v>
      </c>
      <c r="E12" s="3">
        <v>43</v>
      </c>
      <c r="F12" s="3">
        <v>17</v>
      </c>
      <c r="G12" s="3"/>
      <c r="H12" s="3"/>
      <c r="I12" s="3"/>
      <c r="J12" s="20">
        <f t="shared" si="0"/>
        <v>60</v>
      </c>
      <c r="K12" s="51">
        <v>60</v>
      </c>
      <c r="L12" s="3">
        <f t="shared" si="1"/>
        <v>0</v>
      </c>
    </row>
    <row r="13" spans="1:12" x14ac:dyDescent="0.25">
      <c r="A13" s="257"/>
      <c r="B13" s="254"/>
      <c r="C13" s="2" t="s">
        <v>84</v>
      </c>
      <c r="D13" s="3">
        <v>0</v>
      </c>
      <c r="E13" s="3">
        <v>1</v>
      </c>
      <c r="F13" s="3"/>
      <c r="G13" s="3"/>
      <c r="H13" s="3"/>
      <c r="I13" s="3"/>
      <c r="J13" s="20">
        <f t="shared" si="0"/>
        <v>1</v>
      </c>
      <c r="K13" s="51">
        <v>1</v>
      </c>
      <c r="L13" s="3">
        <f t="shared" si="1"/>
        <v>0</v>
      </c>
    </row>
    <row r="14" spans="1:12" x14ac:dyDescent="0.25">
      <c r="A14" s="258" t="s">
        <v>7</v>
      </c>
      <c r="B14" s="268" t="s">
        <v>21</v>
      </c>
      <c r="C14" s="2" t="s">
        <v>16</v>
      </c>
      <c r="D14" s="3">
        <v>245982</v>
      </c>
      <c r="E14" s="3">
        <v>245982</v>
      </c>
      <c r="F14" s="3"/>
      <c r="G14" s="3"/>
      <c r="H14" s="3"/>
      <c r="I14" s="3"/>
      <c r="J14" s="20">
        <f t="shared" si="0"/>
        <v>245982</v>
      </c>
      <c r="K14" s="51">
        <v>74405</v>
      </c>
      <c r="L14" s="3">
        <f t="shared" si="1"/>
        <v>171577</v>
      </c>
    </row>
    <row r="15" spans="1:12" x14ac:dyDescent="0.25">
      <c r="A15" s="258"/>
      <c r="B15" s="268"/>
      <c r="C15" s="2" t="s">
        <v>17</v>
      </c>
      <c r="D15" s="3">
        <v>1005557</v>
      </c>
      <c r="E15" s="3">
        <v>1005557</v>
      </c>
      <c r="F15" s="3"/>
      <c r="G15" s="3"/>
      <c r="H15" s="3"/>
      <c r="I15" s="3"/>
      <c r="J15" s="20">
        <f t="shared" si="0"/>
        <v>1005557</v>
      </c>
      <c r="K15" s="51">
        <v>1005557</v>
      </c>
      <c r="L15" s="3">
        <f t="shared" si="1"/>
        <v>0</v>
      </c>
    </row>
    <row r="16" spans="1:12" x14ac:dyDescent="0.25">
      <c r="A16" s="258" t="s">
        <v>8</v>
      </c>
      <c r="B16" s="268" t="s">
        <v>21</v>
      </c>
      <c r="C16" s="2" t="s">
        <v>16</v>
      </c>
      <c r="D16" s="3">
        <v>3086953</v>
      </c>
      <c r="E16" s="3">
        <v>3086953</v>
      </c>
      <c r="F16" s="3"/>
      <c r="G16" s="3"/>
      <c r="H16" s="3"/>
      <c r="I16" s="3"/>
      <c r="J16" s="20">
        <f t="shared" si="0"/>
        <v>3086953</v>
      </c>
      <c r="K16" s="51">
        <v>771738</v>
      </c>
      <c r="L16" s="3">
        <f t="shared" si="1"/>
        <v>2315215</v>
      </c>
    </row>
    <row r="17" spans="1:12" x14ac:dyDescent="0.25">
      <c r="A17" s="258"/>
      <c r="B17" s="268"/>
      <c r="C17" s="2" t="s">
        <v>17</v>
      </c>
      <c r="D17" s="3">
        <v>440959</v>
      </c>
      <c r="E17" s="3">
        <v>440959</v>
      </c>
      <c r="F17" s="3"/>
      <c r="G17" s="3"/>
      <c r="H17" s="3"/>
      <c r="I17" s="3"/>
      <c r="J17" s="20">
        <f t="shared" si="0"/>
        <v>440959</v>
      </c>
      <c r="K17" s="51">
        <v>440959</v>
      </c>
      <c r="L17" s="3">
        <f t="shared" si="1"/>
        <v>0</v>
      </c>
    </row>
    <row r="18" spans="1:12" x14ac:dyDescent="0.25">
      <c r="A18" s="258" t="s">
        <v>9</v>
      </c>
      <c r="B18" s="268" t="s">
        <v>21</v>
      </c>
      <c r="C18" s="2" t="s">
        <v>16</v>
      </c>
      <c r="D18" s="3">
        <v>1403439</v>
      </c>
      <c r="E18" s="3">
        <v>1403439</v>
      </c>
      <c r="F18" s="3"/>
      <c r="G18" s="3"/>
      <c r="H18" s="3"/>
      <c r="I18" s="3"/>
      <c r="J18" s="20">
        <f t="shared" si="0"/>
        <v>1403439</v>
      </c>
      <c r="K18" s="51">
        <v>350860</v>
      </c>
      <c r="L18" s="3">
        <f t="shared" si="1"/>
        <v>1052579</v>
      </c>
    </row>
    <row r="19" spans="1:12" x14ac:dyDescent="0.25">
      <c r="A19" s="258"/>
      <c r="B19" s="268"/>
      <c r="C19" s="2" t="s">
        <v>17</v>
      </c>
      <c r="D19" s="3">
        <v>599759</v>
      </c>
      <c r="E19" s="3">
        <v>599759</v>
      </c>
      <c r="F19" s="3"/>
      <c r="G19" s="3"/>
      <c r="H19" s="3"/>
      <c r="I19" s="3"/>
      <c r="J19" s="20">
        <f t="shared" si="0"/>
        <v>599759</v>
      </c>
      <c r="K19" s="51">
        <v>599759</v>
      </c>
      <c r="L19" s="3">
        <f t="shared" si="1"/>
        <v>0</v>
      </c>
    </row>
    <row r="20" spans="1:12" x14ac:dyDescent="0.25">
      <c r="A20" s="255" t="s">
        <v>54</v>
      </c>
      <c r="B20" s="252" t="s">
        <v>21</v>
      </c>
      <c r="C20" s="2" t="s">
        <v>16</v>
      </c>
      <c r="D20" s="3">
        <v>4056383</v>
      </c>
      <c r="E20" s="3">
        <v>4056383</v>
      </c>
      <c r="F20" s="3"/>
      <c r="G20" s="3"/>
      <c r="H20" s="3"/>
      <c r="I20" s="3"/>
      <c r="J20" s="20">
        <f t="shared" si="0"/>
        <v>4056383</v>
      </c>
      <c r="K20" s="51">
        <v>992809</v>
      </c>
      <c r="L20" s="3">
        <f t="shared" si="1"/>
        <v>3063574</v>
      </c>
    </row>
    <row r="21" spans="1:12" x14ac:dyDescent="0.25">
      <c r="A21" s="257"/>
      <c r="B21" s="254"/>
      <c r="C21" s="2" t="s">
        <v>17</v>
      </c>
      <c r="D21" s="3">
        <v>226299</v>
      </c>
      <c r="E21" s="3">
        <v>226299</v>
      </c>
      <c r="F21" s="3"/>
      <c r="G21" s="3"/>
      <c r="H21" s="3"/>
      <c r="I21" s="3"/>
      <c r="J21" s="20">
        <f t="shared" si="0"/>
        <v>226299</v>
      </c>
      <c r="K21" s="51">
        <v>226299</v>
      </c>
      <c r="L21" s="3">
        <f t="shared" si="1"/>
        <v>0</v>
      </c>
    </row>
    <row r="22" spans="1:12" x14ac:dyDescent="0.25">
      <c r="A22" s="258" t="s">
        <v>10</v>
      </c>
      <c r="B22" s="268" t="s">
        <v>21</v>
      </c>
      <c r="C22" s="2" t="s">
        <v>16</v>
      </c>
      <c r="D22" s="3">
        <v>53627392</v>
      </c>
      <c r="E22" s="3">
        <v>53627392</v>
      </c>
      <c r="F22" s="3"/>
      <c r="G22" s="3"/>
      <c r="H22" s="3"/>
      <c r="I22" s="3"/>
      <c r="J22" s="20">
        <f t="shared" si="0"/>
        <v>53627392</v>
      </c>
      <c r="K22" s="51">
        <v>16810012</v>
      </c>
      <c r="L22" s="3">
        <f t="shared" si="1"/>
        <v>36817380</v>
      </c>
    </row>
    <row r="23" spans="1:12" x14ac:dyDescent="0.25">
      <c r="A23" s="258"/>
      <c r="B23" s="268"/>
      <c r="C23" s="2" t="s">
        <v>17</v>
      </c>
      <c r="D23" s="3">
        <v>6467166</v>
      </c>
      <c r="E23" s="3">
        <v>6467166</v>
      </c>
      <c r="F23" s="3"/>
      <c r="G23" s="3"/>
      <c r="H23" s="3"/>
      <c r="I23" s="3"/>
      <c r="J23" s="20">
        <f t="shared" si="0"/>
        <v>6467166</v>
      </c>
      <c r="K23" s="51">
        <v>6467166</v>
      </c>
      <c r="L23" s="3">
        <f t="shared" si="1"/>
        <v>0</v>
      </c>
    </row>
    <row r="24" spans="1:12" ht="30" customHeight="1" x14ac:dyDescent="0.25">
      <c r="A24" s="283" t="s">
        <v>73</v>
      </c>
      <c r="B24" s="284"/>
      <c r="C24" s="285"/>
      <c r="D24" s="71">
        <f t="shared" ref="D24:K24" si="2">SUM(D5:D23)</f>
        <v>230443641</v>
      </c>
      <c r="E24" s="71">
        <f t="shared" si="2"/>
        <v>230443641</v>
      </c>
      <c r="F24" s="71">
        <f t="shared" si="2"/>
        <v>0</v>
      </c>
      <c r="G24" s="71">
        <f t="shared" si="2"/>
        <v>0</v>
      </c>
      <c r="H24" s="71">
        <f t="shared" si="2"/>
        <v>0</v>
      </c>
      <c r="I24" s="71">
        <f t="shared" si="2"/>
        <v>0</v>
      </c>
      <c r="J24" s="71">
        <f t="shared" si="2"/>
        <v>230443641</v>
      </c>
      <c r="K24" s="71">
        <f t="shared" si="2"/>
        <v>86193877</v>
      </c>
      <c r="L24" s="71">
        <f t="shared" ref="L24" si="3">SUM(L5:L23)</f>
        <v>144249764</v>
      </c>
    </row>
    <row r="25" spans="1:12" x14ac:dyDescent="0.25">
      <c r="A25" s="258" t="s">
        <v>11</v>
      </c>
      <c r="B25" s="252" t="s">
        <v>23</v>
      </c>
      <c r="C25" s="2" t="s">
        <v>24</v>
      </c>
      <c r="D25" s="3">
        <v>35883092</v>
      </c>
      <c r="E25" s="3">
        <v>35791184</v>
      </c>
      <c r="F25" s="3"/>
      <c r="G25" s="3"/>
      <c r="H25" s="3"/>
      <c r="I25" s="3"/>
      <c r="J25" s="20">
        <f t="shared" ref="J25:J31" si="4">E25+F25+G25+H25+I25</f>
        <v>35791184</v>
      </c>
      <c r="K25" s="51">
        <v>10363635</v>
      </c>
      <c r="L25" s="3">
        <f t="shared" ref="L25:L31" si="5">J25-K25</f>
        <v>25427549</v>
      </c>
    </row>
    <row r="26" spans="1:12" x14ac:dyDescent="0.25">
      <c r="A26" s="258"/>
      <c r="B26" s="253"/>
      <c r="C26" s="2" t="s">
        <v>25</v>
      </c>
      <c r="D26" s="3">
        <v>1542000</v>
      </c>
      <c r="E26" s="3">
        <v>1542000</v>
      </c>
      <c r="F26" s="3"/>
      <c r="G26" s="3"/>
      <c r="H26" s="3"/>
      <c r="I26" s="3"/>
      <c r="J26" s="20">
        <f t="shared" si="4"/>
        <v>1542000</v>
      </c>
      <c r="K26" s="51">
        <v>0</v>
      </c>
      <c r="L26" s="3">
        <f t="shared" si="5"/>
        <v>1542000</v>
      </c>
    </row>
    <row r="27" spans="1:12" x14ac:dyDescent="0.25">
      <c r="A27" s="258"/>
      <c r="B27" s="253"/>
      <c r="C27" s="2" t="s">
        <v>26</v>
      </c>
      <c r="D27" s="3">
        <v>80000</v>
      </c>
      <c r="E27" s="3">
        <v>80000</v>
      </c>
      <c r="F27" s="3"/>
      <c r="G27" s="3"/>
      <c r="H27" s="3"/>
      <c r="I27" s="3"/>
      <c r="J27" s="20">
        <f t="shared" si="4"/>
        <v>80000</v>
      </c>
      <c r="K27" s="51">
        <v>0</v>
      </c>
      <c r="L27" s="3">
        <f t="shared" si="5"/>
        <v>80000</v>
      </c>
    </row>
    <row r="28" spans="1:12" x14ac:dyDescent="0.25">
      <c r="A28" s="258"/>
      <c r="B28" s="253"/>
      <c r="C28" s="2" t="s">
        <v>27</v>
      </c>
      <c r="D28" s="3">
        <v>893400</v>
      </c>
      <c r="E28" s="3">
        <v>893400</v>
      </c>
      <c r="F28" s="3"/>
      <c r="G28" s="3"/>
      <c r="H28" s="3"/>
      <c r="I28" s="3"/>
      <c r="J28" s="20">
        <f t="shared" si="4"/>
        <v>893400</v>
      </c>
      <c r="K28" s="51">
        <v>189930</v>
      </c>
      <c r="L28" s="3">
        <f t="shared" si="5"/>
        <v>703470</v>
      </c>
    </row>
    <row r="29" spans="1:12" x14ac:dyDescent="0.25">
      <c r="A29" s="258"/>
      <c r="B29" s="253"/>
      <c r="C29" s="2" t="s">
        <v>28</v>
      </c>
      <c r="D29" s="3">
        <v>190000</v>
      </c>
      <c r="E29" s="3">
        <v>190000</v>
      </c>
      <c r="F29" s="3"/>
      <c r="G29" s="3"/>
      <c r="H29" s="3"/>
      <c r="I29" s="3"/>
      <c r="J29" s="20">
        <f t="shared" si="4"/>
        <v>190000</v>
      </c>
      <c r="K29" s="51">
        <v>0</v>
      </c>
      <c r="L29" s="3">
        <f t="shared" si="5"/>
        <v>190000</v>
      </c>
    </row>
    <row r="30" spans="1:12" x14ac:dyDescent="0.25">
      <c r="A30" s="258"/>
      <c r="B30" s="253"/>
      <c r="C30" s="2" t="s">
        <v>29</v>
      </c>
      <c r="D30" s="3">
        <v>1086500</v>
      </c>
      <c r="E30" s="3">
        <v>1178408</v>
      </c>
      <c r="F30" s="3"/>
      <c r="G30" s="3"/>
      <c r="H30" s="3"/>
      <c r="I30" s="3"/>
      <c r="J30" s="20">
        <f t="shared" si="4"/>
        <v>1178408</v>
      </c>
      <c r="K30" s="51">
        <v>233821</v>
      </c>
      <c r="L30" s="3">
        <f t="shared" si="5"/>
        <v>944587</v>
      </c>
    </row>
    <row r="31" spans="1:12" x14ac:dyDescent="0.25">
      <c r="A31" s="258"/>
      <c r="B31" s="253"/>
      <c r="C31" s="2" t="s">
        <v>30</v>
      </c>
      <c r="D31" s="3">
        <v>100000</v>
      </c>
      <c r="E31" s="3">
        <v>100000</v>
      </c>
      <c r="F31" s="3"/>
      <c r="G31" s="3"/>
      <c r="H31" s="3"/>
      <c r="I31" s="3"/>
      <c r="J31" s="20">
        <f t="shared" si="4"/>
        <v>100000</v>
      </c>
      <c r="K31" s="51">
        <v>1500</v>
      </c>
      <c r="L31" s="3">
        <f t="shared" si="5"/>
        <v>98500</v>
      </c>
    </row>
    <row r="32" spans="1:12" x14ac:dyDescent="0.25">
      <c r="A32" s="258"/>
      <c r="B32" s="253"/>
      <c r="C32" s="6" t="s">
        <v>53</v>
      </c>
      <c r="D32" s="7">
        <f>SUM(D25:D31)</f>
        <v>39774992</v>
      </c>
      <c r="E32" s="7">
        <v>39774992</v>
      </c>
      <c r="F32" s="7">
        <f t="shared" ref="F32:L32" si="6">SUM(F25:F31)</f>
        <v>0</v>
      </c>
      <c r="G32" s="7">
        <f t="shared" si="6"/>
        <v>0</v>
      </c>
      <c r="H32" s="7">
        <f t="shared" si="6"/>
        <v>0</v>
      </c>
      <c r="I32" s="7">
        <f t="shared" si="6"/>
        <v>0</v>
      </c>
      <c r="J32" s="7">
        <f t="shared" si="6"/>
        <v>39774992</v>
      </c>
      <c r="K32" s="52">
        <f t="shared" si="6"/>
        <v>10788886</v>
      </c>
      <c r="L32" s="7">
        <f t="shared" si="6"/>
        <v>28986106</v>
      </c>
    </row>
    <row r="33" spans="1:12" x14ac:dyDescent="0.25">
      <c r="A33" s="258"/>
      <c r="B33" s="253"/>
      <c r="C33" s="6" t="s">
        <v>31</v>
      </c>
      <c r="D33" s="7">
        <v>7793417</v>
      </c>
      <c r="E33" s="7">
        <v>7793417</v>
      </c>
      <c r="F33" s="7"/>
      <c r="G33" s="7"/>
      <c r="H33" s="7"/>
      <c r="I33" s="7"/>
      <c r="J33" s="21">
        <f t="shared" ref="J33:J47" si="7">E33+F33+G33+H33+I33</f>
        <v>7793417</v>
      </c>
      <c r="K33" s="53">
        <v>2180565</v>
      </c>
      <c r="L33" s="8">
        <f t="shared" ref="L33:L47" si="8">J33-K33</f>
        <v>5612852</v>
      </c>
    </row>
    <row r="34" spans="1:12" x14ac:dyDescent="0.25">
      <c r="A34" s="258"/>
      <c r="B34" s="253"/>
      <c r="C34" s="2" t="s">
        <v>32</v>
      </c>
      <c r="D34" s="3">
        <v>105000</v>
      </c>
      <c r="E34" s="3">
        <v>105000</v>
      </c>
      <c r="F34" s="3"/>
      <c r="G34" s="3"/>
      <c r="H34" s="3"/>
      <c r="I34" s="3"/>
      <c r="J34" s="20">
        <f t="shared" si="7"/>
        <v>105000</v>
      </c>
      <c r="K34" s="51">
        <v>0</v>
      </c>
      <c r="L34" s="3">
        <f t="shared" si="8"/>
        <v>105000</v>
      </c>
    </row>
    <row r="35" spans="1:12" x14ac:dyDescent="0.25">
      <c r="A35" s="258"/>
      <c r="B35" s="253"/>
      <c r="C35" s="2" t="s">
        <v>33</v>
      </c>
      <c r="D35" s="3">
        <v>500000</v>
      </c>
      <c r="E35" s="3">
        <v>500000</v>
      </c>
      <c r="F35" s="3"/>
      <c r="G35" s="3"/>
      <c r="H35" s="3"/>
      <c r="I35" s="3"/>
      <c r="J35" s="20">
        <f t="shared" si="7"/>
        <v>500000</v>
      </c>
      <c r="K35" s="51">
        <v>0</v>
      </c>
      <c r="L35" s="3">
        <f t="shared" si="8"/>
        <v>500000</v>
      </c>
    </row>
    <row r="36" spans="1:12" x14ac:dyDescent="0.25">
      <c r="A36" s="258"/>
      <c r="B36" s="253"/>
      <c r="C36" s="2" t="s">
        <v>34</v>
      </c>
      <c r="D36" s="3">
        <v>213000</v>
      </c>
      <c r="E36" s="3">
        <v>213000</v>
      </c>
      <c r="F36" s="3"/>
      <c r="G36" s="3"/>
      <c r="H36" s="3"/>
      <c r="I36" s="3"/>
      <c r="J36" s="20">
        <f t="shared" si="7"/>
        <v>213000</v>
      </c>
      <c r="K36" s="51">
        <v>26813</v>
      </c>
      <c r="L36" s="3">
        <f t="shared" si="8"/>
        <v>186187</v>
      </c>
    </row>
    <row r="37" spans="1:12" x14ac:dyDescent="0.25">
      <c r="A37" s="258"/>
      <c r="B37" s="253"/>
      <c r="C37" s="2" t="s">
        <v>35</v>
      </c>
      <c r="D37" s="3">
        <v>162000</v>
      </c>
      <c r="E37" s="3">
        <v>162000</v>
      </c>
      <c r="F37" s="3"/>
      <c r="G37" s="3"/>
      <c r="H37" s="3"/>
      <c r="I37" s="3"/>
      <c r="J37" s="20">
        <f t="shared" si="7"/>
        <v>162000</v>
      </c>
      <c r="K37" s="51">
        <v>21830</v>
      </c>
      <c r="L37" s="3">
        <f t="shared" si="8"/>
        <v>140170</v>
      </c>
    </row>
    <row r="38" spans="1:12" x14ac:dyDescent="0.25">
      <c r="A38" s="258"/>
      <c r="B38" s="253"/>
      <c r="C38" s="2" t="s">
        <v>36</v>
      </c>
      <c r="D38" s="3">
        <v>569540</v>
      </c>
      <c r="E38" s="3">
        <v>569540</v>
      </c>
      <c r="F38" s="3"/>
      <c r="G38" s="3"/>
      <c r="H38" s="3"/>
      <c r="I38" s="3"/>
      <c r="J38" s="20">
        <f t="shared" si="7"/>
        <v>569540</v>
      </c>
      <c r="K38" s="51">
        <v>207240</v>
      </c>
      <c r="L38" s="3">
        <f t="shared" si="8"/>
        <v>362300</v>
      </c>
    </row>
    <row r="39" spans="1:12" x14ac:dyDescent="0.25">
      <c r="A39" s="258"/>
      <c r="B39" s="253"/>
      <c r="C39" s="2" t="s">
        <v>37</v>
      </c>
      <c r="D39" s="3">
        <v>3000</v>
      </c>
      <c r="E39" s="3">
        <v>3000</v>
      </c>
      <c r="F39" s="3"/>
      <c r="G39" s="3"/>
      <c r="H39" s="3"/>
      <c r="I39" s="3"/>
      <c r="J39" s="20">
        <f t="shared" si="7"/>
        <v>3000</v>
      </c>
      <c r="K39" s="51">
        <v>0</v>
      </c>
      <c r="L39" s="3">
        <f t="shared" si="8"/>
        <v>3000</v>
      </c>
    </row>
    <row r="40" spans="1:12" x14ac:dyDescent="0.25">
      <c r="A40" s="258"/>
      <c r="B40" s="253"/>
      <c r="C40" s="2" t="s">
        <v>38</v>
      </c>
      <c r="D40" s="3">
        <v>460000</v>
      </c>
      <c r="E40" s="3">
        <v>460000</v>
      </c>
      <c r="F40" s="3"/>
      <c r="G40" s="3"/>
      <c r="H40" s="3"/>
      <c r="I40" s="3"/>
      <c r="J40" s="20">
        <f t="shared" si="7"/>
        <v>460000</v>
      </c>
      <c r="K40" s="51">
        <v>56899</v>
      </c>
      <c r="L40" s="3">
        <f t="shared" si="8"/>
        <v>403101</v>
      </c>
    </row>
    <row r="41" spans="1:12" x14ac:dyDescent="0.25">
      <c r="A41" s="258"/>
      <c r="B41" s="253"/>
      <c r="C41" s="2" t="s">
        <v>39</v>
      </c>
      <c r="D41" s="3">
        <v>13200</v>
      </c>
      <c r="E41" s="3">
        <v>11554</v>
      </c>
      <c r="F41" s="3">
        <v>-14</v>
      </c>
      <c r="G41" s="3"/>
      <c r="H41" s="3"/>
      <c r="I41" s="3"/>
      <c r="J41" s="20">
        <f t="shared" si="7"/>
        <v>11540</v>
      </c>
      <c r="K41" s="51">
        <v>4311</v>
      </c>
      <c r="L41" s="3">
        <f t="shared" si="8"/>
        <v>7229</v>
      </c>
    </row>
    <row r="42" spans="1:12" x14ac:dyDescent="0.25">
      <c r="A42" s="258"/>
      <c r="B42" s="253"/>
      <c r="C42" s="2" t="s">
        <v>40</v>
      </c>
      <c r="D42" s="3">
        <v>137800</v>
      </c>
      <c r="E42" s="3">
        <v>137800</v>
      </c>
      <c r="F42" s="3"/>
      <c r="G42" s="3"/>
      <c r="H42" s="3"/>
      <c r="I42" s="3"/>
      <c r="J42" s="20">
        <f t="shared" si="7"/>
        <v>137800</v>
      </c>
      <c r="K42" s="51">
        <v>0</v>
      </c>
      <c r="L42" s="3">
        <f t="shared" si="8"/>
        <v>137800</v>
      </c>
    </row>
    <row r="43" spans="1:12" x14ac:dyDescent="0.25">
      <c r="A43" s="258"/>
      <c r="B43" s="253"/>
      <c r="C43" s="2" t="s">
        <v>41</v>
      </c>
      <c r="D43" s="3">
        <v>582236</v>
      </c>
      <c r="E43" s="3">
        <v>583882</v>
      </c>
      <c r="F43" s="3">
        <v>14</v>
      </c>
      <c r="G43" s="3"/>
      <c r="H43" s="3"/>
      <c r="I43" s="3"/>
      <c r="J43" s="20">
        <f t="shared" si="7"/>
        <v>583896</v>
      </c>
      <c r="K43" s="51">
        <v>265330</v>
      </c>
      <c r="L43" s="3">
        <f t="shared" si="8"/>
        <v>318566</v>
      </c>
    </row>
    <row r="44" spans="1:12" x14ac:dyDescent="0.25">
      <c r="A44" s="258"/>
      <c r="B44" s="253"/>
      <c r="C44" s="2" t="s">
        <v>42</v>
      </c>
      <c r="D44" s="3">
        <v>552000</v>
      </c>
      <c r="E44" s="3">
        <v>552000</v>
      </c>
      <c r="F44" s="3">
        <v>-12560</v>
      </c>
      <c r="G44" s="3"/>
      <c r="H44" s="3"/>
      <c r="I44" s="3"/>
      <c r="J44" s="20">
        <f t="shared" si="7"/>
        <v>539440</v>
      </c>
      <c r="K44" s="51">
        <v>142540</v>
      </c>
      <c r="L44" s="3">
        <f t="shared" si="8"/>
        <v>396900</v>
      </c>
    </row>
    <row r="45" spans="1:12" x14ac:dyDescent="0.25">
      <c r="A45" s="258"/>
      <c r="B45" s="253"/>
      <c r="C45" s="2" t="s">
        <v>43</v>
      </c>
      <c r="D45" s="3">
        <v>30000</v>
      </c>
      <c r="E45" s="3">
        <v>30000</v>
      </c>
      <c r="F45" s="3"/>
      <c r="G45" s="3"/>
      <c r="H45" s="3"/>
      <c r="I45" s="3"/>
      <c r="J45" s="20">
        <f t="shared" si="7"/>
        <v>30000</v>
      </c>
      <c r="K45" s="51">
        <v>0</v>
      </c>
      <c r="L45" s="3">
        <f t="shared" si="8"/>
        <v>30000</v>
      </c>
    </row>
    <row r="46" spans="1:12" x14ac:dyDescent="0.25">
      <c r="A46" s="258"/>
      <c r="B46" s="253"/>
      <c r="C46" s="2" t="s">
        <v>44</v>
      </c>
      <c r="D46" s="3">
        <v>455834</v>
      </c>
      <c r="E46" s="3">
        <v>455834</v>
      </c>
      <c r="F46" s="3"/>
      <c r="G46" s="3"/>
      <c r="H46" s="3"/>
      <c r="I46" s="3"/>
      <c r="J46" s="20">
        <f t="shared" si="7"/>
        <v>455834</v>
      </c>
      <c r="K46" s="51">
        <v>49033</v>
      </c>
      <c r="L46" s="3">
        <f t="shared" si="8"/>
        <v>406801</v>
      </c>
    </row>
    <row r="47" spans="1:12" x14ac:dyDescent="0.25">
      <c r="A47" s="258"/>
      <c r="B47" s="253"/>
      <c r="C47" s="2" t="s">
        <v>45</v>
      </c>
      <c r="D47" s="3">
        <v>80000</v>
      </c>
      <c r="E47" s="3">
        <v>75764</v>
      </c>
      <c r="F47" s="3"/>
      <c r="G47" s="3"/>
      <c r="H47" s="3"/>
      <c r="I47" s="3"/>
      <c r="J47" s="20">
        <f t="shared" si="7"/>
        <v>75764</v>
      </c>
      <c r="K47" s="51">
        <v>17520</v>
      </c>
      <c r="L47" s="3">
        <f t="shared" si="8"/>
        <v>58244</v>
      </c>
    </row>
    <row r="48" spans="1:12" x14ac:dyDescent="0.25">
      <c r="A48" s="258"/>
      <c r="B48" s="253"/>
      <c r="C48" s="6" t="s">
        <v>49</v>
      </c>
      <c r="D48" s="7">
        <f>SUM(D34:D47)</f>
        <v>3863610</v>
      </c>
      <c r="E48" s="7">
        <v>3859374</v>
      </c>
      <c r="F48" s="7">
        <f t="shared" ref="F48:L48" si="9">SUM(F34:F47)</f>
        <v>-12560</v>
      </c>
      <c r="G48" s="7">
        <f t="shared" si="9"/>
        <v>0</v>
      </c>
      <c r="H48" s="7">
        <f t="shared" si="9"/>
        <v>0</v>
      </c>
      <c r="I48" s="7">
        <f t="shared" si="9"/>
        <v>0</v>
      </c>
      <c r="J48" s="7">
        <f t="shared" si="9"/>
        <v>3846814</v>
      </c>
      <c r="K48" s="52">
        <f t="shared" si="9"/>
        <v>791516</v>
      </c>
      <c r="L48" s="7">
        <f t="shared" si="9"/>
        <v>3055298</v>
      </c>
    </row>
    <row r="49" spans="1:12" x14ac:dyDescent="0.25">
      <c r="A49" s="258"/>
      <c r="B49" s="253"/>
      <c r="C49" s="2" t="s">
        <v>50</v>
      </c>
      <c r="D49" s="3">
        <v>78740</v>
      </c>
      <c r="E49" s="3">
        <v>78740</v>
      </c>
      <c r="F49" s="3"/>
      <c r="G49" s="3"/>
      <c r="H49" s="3"/>
      <c r="I49" s="3"/>
      <c r="J49" s="20">
        <f t="shared" ref="J49:J50" si="10">E49+F49+G49+H49+I49</f>
        <v>78740</v>
      </c>
      <c r="K49" s="51">
        <v>0</v>
      </c>
      <c r="L49" s="3">
        <f t="shared" ref="L49:L50" si="11">J49-K49</f>
        <v>78740</v>
      </c>
    </row>
    <row r="50" spans="1:12" x14ac:dyDescent="0.25">
      <c r="A50" s="258"/>
      <c r="B50" s="253"/>
      <c r="C50" s="2" t="s">
        <v>51</v>
      </c>
      <c r="D50" s="3">
        <v>21260</v>
      </c>
      <c r="E50" s="3">
        <v>21260</v>
      </c>
      <c r="F50" s="3"/>
      <c r="G50" s="3"/>
      <c r="H50" s="3"/>
      <c r="I50" s="3"/>
      <c r="J50" s="20">
        <f t="shared" si="10"/>
        <v>21260</v>
      </c>
      <c r="K50" s="51">
        <v>0</v>
      </c>
      <c r="L50" s="3">
        <f t="shared" si="11"/>
        <v>21260</v>
      </c>
    </row>
    <row r="51" spans="1:12" x14ac:dyDescent="0.25">
      <c r="A51" s="258"/>
      <c r="B51" s="254"/>
      <c r="C51" s="6" t="s">
        <v>52</v>
      </c>
      <c r="D51" s="7">
        <f>SUM(D49:D50)</f>
        <v>100000</v>
      </c>
      <c r="E51" s="7">
        <v>100000</v>
      </c>
      <c r="F51" s="7">
        <f t="shared" ref="F51:L51" si="12">SUM(F49:F50)</f>
        <v>0</v>
      </c>
      <c r="G51" s="7">
        <f t="shared" si="12"/>
        <v>0</v>
      </c>
      <c r="H51" s="7">
        <f t="shared" si="12"/>
        <v>0</v>
      </c>
      <c r="I51" s="7">
        <f t="shared" si="12"/>
        <v>0</v>
      </c>
      <c r="J51" s="7">
        <f t="shared" si="12"/>
        <v>100000</v>
      </c>
      <c r="K51" s="52">
        <f t="shared" si="12"/>
        <v>0</v>
      </c>
      <c r="L51" s="7">
        <f t="shared" si="12"/>
        <v>100000</v>
      </c>
    </row>
    <row r="52" spans="1:12" x14ac:dyDescent="0.25">
      <c r="A52" s="258"/>
      <c r="B52" s="268" t="s">
        <v>46</v>
      </c>
      <c r="C52" s="2" t="s">
        <v>24</v>
      </c>
      <c r="D52" s="3">
        <v>25123345</v>
      </c>
      <c r="E52" s="3">
        <v>25123345</v>
      </c>
      <c r="F52" s="3"/>
      <c r="G52" s="3"/>
      <c r="H52" s="3"/>
      <c r="I52" s="3"/>
      <c r="J52" s="20">
        <f t="shared" ref="J52:J60" si="13">E52+F52+G52+H52+I52</f>
        <v>25123345</v>
      </c>
      <c r="K52" s="51">
        <v>7496190</v>
      </c>
      <c r="L52" s="3">
        <f t="shared" ref="L52:L60" si="14">J52-K52</f>
        <v>17627155</v>
      </c>
    </row>
    <row r="53" spans="1:12" x14ac:dyDescent="0.25">
      <c r="A53" s="258"/>
      <c r="B53" s="268"/>
      <c r="C53" s="2" t="s">
        <v>47</v>
      </c>
      <c r="D53" s="3">
        <v>2040480</v>
      </c>
      <c r="E53" s="3">
        <v>2040480</v>
      </c>
      <c r="F53" s="3"/>
      <c r="G53" s="3"/>
      <c r="H53" s="3"/>
      <c r="I53" s="3"/>
      <c r="J53" s="20">
        <f t="shared" si="13"/>
        <v>2040480</v>
      </c>
      <c r="K53" s="51">
        <v>626691</v>
      </c>
      <c r="L53" s="3">
        <f t="shared" si="14"/>
        <v>1413789</v>
      </c>
    </row>
    <row r="54" spans="1:12" x14ac:dyDescent="0.25">
      <c r="A54" s="258"/>
      <c r="B54" s="268"/>
      <c r="C54" s="2" t="s">
        <v>48</v>
      </c>
      <c r="D54" s="3">
        <v>0</v>
      </c>
      <c r="E54" s="3">
        <v>0</v>
      </c>
      <c r="F54" s="3"/>
      <c r="G54" s="3"/>
      <c r="H54" s="3"/>
      <c r="I54" s="3"/>
      <c r="J54" s="20">
        <f t="shared" si="13"/>
        <v>0</v>
      </c>
      <c r="K54" s="51">
        <v>0</v>
      </c>
      <c r="L54" s="3">
        <f t="shared" si="14"/>
        <v>0</v>
      </c>
    </row>
    <row r="55" spans="1:12" x14ac:dyDescent="0.25">
      <c r="A55" s="258"/>
      <c r="B55" s="268"/>
      <c r="C55" s="2" t="s">
        <v>25</v>
      </c>
      <c r="D55" s="3">
        <v>1025000</v>
      </c>
      <c r="E55" s="3">
        <v>1025000</v>
      </c>
      <c r="F55" s="3"/>
      <c r="G55" s="3"/>
      <c r="H55" s="3"/>
      <c r="I55" s="3"/>
      <c r="J55" s="20">
        <f t="shared" si="13"/>
        <v>1025000</v>
      </c>
      <c r="K55" s="51">
        <v>0</v>
      </c>
      <c r="L55" s="3">
        <f t="shared" si="14"/>
        <v>1025000</v>
      </c>
    </row>
    <row r="56" spans="1:12" x14ac:dyDescent="0.25">
      <c r="A56" s="258"/>
      <c r="B56" s="268"/>
      <c r="C56" s="2" t="s">
        <v>26</v>
      </c>
      <c r="D56" s="3">
        <v>60000</v>
      </c>
      <c r="E56" s="3">
        <v>60000</v>
      </c>
      <c r="F56" s="3"/>
      <c r="G56" s="3"/>
      <c r="H56" s="3"/>
      <c r="I56" s="3"/>
      <c r="J56" s="20">
        <f t="shared" si="13"/>
        <v>60000</v>
      </c>
      <c r="K56" s="51">
        <v>0</v>
      </c>
      <c r="L56" s="3">
        <f t="shared" si="14"/>
        <v>60000</v>
      </c>
    </row>
    <row r="57" spans="1:12" x14ac:dyDescent="0.25">
      <c r="A57" s="258"/>
      <c r="B57" s="268"/>
      <c r="C57" s="2" t="s">
        <v>27</v>
      </c>
      <c r="D57" s="3">
        <v>240000</v>
      </c>
      <c r="E57" s="3">
        <v>240000</v>
      </c>
      <c r="F57" s="3"/>
      <c r="G57" s="3"/>
      <c r="H57" s="3"/>
      <c r="I57" s="3"/>
      <c r="J57" s="20">
        <f t="shared" si="13"/>
        <v>240000</v>
      </c>
      <c r="K57" s="51">
        <v>36774</v>
      </c>
      <c r="L57" s="3">
        <f t="shared" si="14"/>
        <v>203226</v>
      </c>
    </row>
    <row r="58" spans="1:12" x14ac:dyDescent="0.25">
      <c r="A58" s="258"/>
      <c r="B58" s="268"/>
      <c r="C58" s="2" t="s">
        <v>28</v>
      </c>
      <c r="D58" s="3">
        <v>147000</v>
      </c>
      <c r="E58" s="3">
        <v>147000</v>
      </c>
      <c r="F58" s="3"/>
      <c r="G58" s="3"/>
      <c r="H58" s="3"/>
      <c r="I58" s="3"/>
      <c r="J58" s="20">
        <f t="shared" si="13"/>
        <v>147000</v>
      </c>
      <c r="K58" s="51">
        <v>0</v>
      </c>
      <c r="L58" s="3">
        <f t="shared" si="14"/>
        <v>147000</v>
      </c>
    </row>
    <row r="59" spans="1:12" x14ac:dyDescent="0.25">
      <c r="A59" s="258"/>
      <c r="B59" s="268"/>
      <c r="C59" s="2" t="s">
        <v>29</v>
      </c>
      <c r="D59" s="3">
        <v>553500</v>
      </c>
      <c r="E59" s="3">
        <v>553500</v>
      </c>
      <c r="F59" s="3"/>
      <c r="G59" s="3"/>
      <c r="H59" s="3"/>
      <c r="I59" s="3"/>
      <c r="J59" s="20">
        <f t="shared" si="13"/>
        <v>553500</v>
      </c>
      <c r="K59" s="51">
        <v>136087</v>
      </c>
      <c r="L59" s="3">
        <f t="shared" si="14"/>
        <v>417413</v>
      </c>
    </row>
    <row r="60" spans="1:12" x14ac:dyDescent="0.25">
      <c r="A60" s="258"/>
      <c r="B60" s="268"/>
      <c r="C60" s="2" t="s">
        <v>30</v>
      </c>
      <c r="D60" s="3">
        <v>100000</v>
      </c>
      <c r="E60" s="3">
        <v>100000</v>
      </c>
      <c r="F60" s="3"/>
      <c r="G60" s="3"/>
      <c r="H60" s="3"/>
      <c r="I60" s="3"/>
      <c r="J60" s="20">
        <f t="shared" si="13"/>
        <v>100000</v>
      </c>
      <c r="K60" s="51">
        <v>1500</v>
      </c>
      <c r="L60" s="3">
        <f t="shared" si="14"/>
        <v>98500</v>
      </c>
    </row>
    <row r="61" spans="1:12" x14ac:dyDescent="0.25">
      <c r="A61" s="258"/>
      <c r="B61" s="268"/>
      <c r="C61" s="6" t="s">
        <v>53</v>
      </c>
      <c r="D61" s="7">
        <f>SUM(D52:D60)</f>
        <v>29289325</v>
      </c>
      <c r="E61" s="7">
        <v>29289325</v>
      </c>
      <c r="F61" s="7">
        <f t="shared" ref="F61:L61" si="15">SUM(F52:F60)</f>
        <v>0</v>
      </c>
      <c r="G61" s="7">
        <f t="shared" si="15"/>
        <v>0</v>
      </c>
      <c r="H61" s="7">
        <f t="shared" si="15"/>
        <v>0</v>
      </c>
      <c r="I61" s="7">
        <f t="shared" si="15"/>
        <v>0</v>
      </c>
      <c r="J61" s="7">
        <f t="shared" si="15"/>
        <v>29289325</v>
      </c>
      <c r="K61" s="52">
        <f t="shared" si="15"/>
        <v>8297242</v>
      </c>
      <c r="L61" s="7">
        <f t="shared" si="15"/>
        <v>20992083</v>
      </c>
    </row>
    <row r="62" spans="1:12" x14ac:dyDescent="0.25">
      <c r="A62" s="258"/>
      <c r="B62" s="268"/>
      <c r="C62" s="6" t="s">
        <v>31</v>
      </c>
      <c r="D62" s="7">
        <v>5849797</v>
      </c>
      <c r="E62" s="7">
        <v>5849797</v>
      </c>
      <c r="F62" s="7"/>
      <c r="G62" s="7"/>
      <c r="H62" s="7"/>
      <c r="I62" s="7"/>
      <c r="J62" s="21">
        <f t="shared" ref="J62:J75" si="16">E62+F62+G62+H62+I62</f>
        <v>5849797</v>
      </c>
      <c r="K62" s="53">
        <v>1781194</v>
      </c>
      <c r="L62" s="8">
        <f t="shared" ref="L62:L75" si="17">J62-K62</f>
        <v>4068603</v>
      </c>
    </row>
    <row r="63" spans="1:12" x14ac:dyDescent="0.25">
      <c r="A63" s="258"/>
      <c r="B63" s="268"/>
      <c r="C63" s="2" t="s">
        <v>32</v>
      </c>
      <c r="D63" s="3">
        <v>105000</v>
      </c>
      <c r="E63" s="3">
        <v>105000</v>
      </c>
      <c r="F63" s="3"/>
      <c r="G63" s="3"/>
      <c r="H63" s="3"/>
      <c r="I63" s="3"/>
      <c r="J63" s="20">
        <f t="shared" si="16"/>
        <v>105000</v>
      </c>
      <c r="K63" s="51">
        <v>0</v>
      </c>
      <c r="L63" s="3">
        <f t="shared" si="17"/>
        <v>105000</v>
      </c>
    </row>
    <row r="64" spans="1:12" x14ac:dyDescent="0.25">
      <c r="A64" s="258"/>
      <c r="B64" s="268"/>
      <c r="C64" s="2" t="s">
        <v>33</v>
      </c>
      <c r="D64" s="3">
        <v>700000</v>
      </c>
      <c r="E64" s="3">
        <v>700000</v>
      </c>
      <c r="F64" s="3"/>
      <c r="G64" s="3"/>
      <c r="H64" s="3"/>
      <c r="I64" s="3"/>
      <c r="J64" s="20">
        <f t="shared" si="16"/>
        <v>700000</v>
      </c>
      <c r="K64" s="51">
        <v>21184</v>
      </c>
      <c r="L64" s="3">
        <f t="shared" si="17"/>
        <v>678816</v>
      </c>
    </row>
    <row r="65" spans="1:12" x14ac:dyDescent="0.25">
      <c r="A65" s="258"/>
      <c r="B65" s="268"/>
      <c r="C65" s="2" t="s">
        <v>34</v>
      </c>
      <c r="D65" s="3">
        <v>213000</v>
      </c>
      <c r="E65" s="3">
        <v>213000</v>
      </c>
      <c r="F65" s="3"/>
      <c r="G65" s="3"/>
      <c r="H65" s="3"/>
      <c r="I65" s="3"/>
      <c r="J65" s="20">
        <f t="shared" si="16"/>
        <v>213000</v>
      </c>
      <c r="K65" s="51">
        <v>26814</v>
      </c>
      <c r="L65" s="3">
        <f t="shared" si="17"/>
        <v>186186</v>
      </c>
    </row>
    <row r="66" spans="1:12" x14ac:dyDescent="0.25">
      <c r="A66" s="258"/>
      <c r="B66" s="268"/>
      <c r="C66" s="2" t="s">
        <v>35</v>
      </c>
      <c r="D66" s="3">
        <v>288000</v>
      </c>
      <c r="E66" s="3">
        <v>115200</v>
      </c>
      <c r="F66" s="3"/>
      <c r="G66" s="3"/>
      <c r="H66" s="3"/>
      <c r="I66" s="3"/>
      <c r="J66" s="20">
        <f t="shared" si="16"/>
        <v>115200</v>
      </c>
      <c r="K66" s="51">
        <v>36178</v>
      </c>
      <c r="L66" s="3">
        <f t="shared" si="17"/>
        <v>79022</v>
      </c>
    </row>
    <row r="67" spans="1:12" x14ac:dyDescent="0.25">
      <c r="A67" s="258"/>
      <c r="B67" s="268"/>
      <c r="C67" s="2" t="s">
        <v>36</v>
      </c>
      <c r="D67" s="3">
        <v>669540</v>
      </c>
      <c r="E67" s="3">
        <v>669540</v>
      </c>
      <c r="F67" s="3"/>
      <c r="G67" s="3"/>
      <c r="H67" s="3"/>
      <c r="I67" s="3"/>
      <c r="J67" s="20">
        <f t="shared" si="16"/>
        <v>669540</v>
      </c>
      <c r="K67" s="51">
        <v>249832</v>
      </c>
      <c r="L67" s="3">
        <f t="shared" si="17"/>
        <v>419708</v>
      </c>
    </row>
    <row r="68" spans="1:12" x14ac:dyDescent="0.25">
      <c r="A68" s="258"/>
      <c r="B68" s="268"/>
      <c r="C68" s="2" t="s">
        <v>37</v>
      </c>
      <c r="D68" s="3">
        <v>123000</v>
      </c>
      <c r="E68" s="3">
        <v>123000</v>
      </c>
      <c r="F68" s="3"/>
      <c r="G68" s="3"/>
      <c r="H68" s="3"/>
      <c r="I68" s="3"/>
      <c r="J68" s="20">
        <f t="shared" si="16"/>
        <v>123000</v>
      </c>
      <c r="K68" s="51">
        <v>0</v>
      </c>
      <c r="L68" s="3">
        <f t="shared" si="17"/>
        <v>123000</v>
      </c>
    </row>
    <row r="69" spans="1:12" x14ac:dyDescent="0.25">
      <c r="A69" s="258"/>
      <c r="B69" s="268"/>
      <c r="C69" s="2" t="s">
        <v>38</v>
      </c>
      <c r="D69" s="3">
        <v>460000</v>
      </c>
      <c r="E69" s="3">
        <v>460000</v>
      </c>
      <c r="F69" s="3"/>
      <c r="G69" s="3"/>
      <c r="H69" s="3"/>
      <c r="I69" s="3"/>
      <c r="J69" s="20">
        <f t="shared" si="16"/>
        <v>460000</v>
      </c>
      <c r="K69" s="51">
        <v>56899</v>
      </c>
      <c r="L69" s="3">
        <f t="shared" si="17"/>
        <v>403101</v>
      </c>
    </row>
    <row r="70" spans="1:12" x14ac:dyDescent="0.25">
      <c r="A70" s="258"/>
      <c r="B70" s="268"/>
      <c r="C70" s="2" t="s">
        <v>40</v>
      </c>
      <c r="D70" s="3">
        <v>1361904</v>
      </c>
      <c r="E70" s="3">
        <v>1361904</v>
      </c>
      <c r="F70" s="3"/>
      <c r="G70" s="3"/>
      <c r="H70" s="3"/>
      <c r="I70" s="3"/>
      <c r="J70" s="20">
        <f t="shared" si="16"/>
        <v>1361904</v>
      </c>
      <c r="K70" s="51">
        <v>188976</v>
      </c>
      <c r="L70" s="3">
        <f t="shared" si="17"/>
        <v>1172928</v>
      </c>
    </row>
    <row r="71" spans="1:12" x14ac:dyDescent="0.25">
      <c r="A71" s="258"/>
      <c r="B71" s="268"/>
      <c r="C71" s="2" t="s">
        <v>41</v>
      </c>
      <c r="D71" s="3">
        <v>982236</v>
      </c>
      <c r="E71" s="3">
        <v>982236</v>
      </c>
      <c r="F71" s="3"/>
      <c r="G71" s="3"/>
      <c r="H71" s="3"/>
      <c r="I71" s="3"/>
      <c r="J71" s="20">
        <f t="shared" si="16"/>
        <v>982236</v>
      </c>
      <c r="K71" s="51">
        <v>238525</v>
      </c>
      <c r="L71" s="3">
        <f t="shared" si="17"/>
        <v>743711</v>
      </c>
    </row>
    <row r="72" spans="1:12" x14ac:dyDescent="0.25">
      <c r="A72" s="258"/>
      <c r="B72" s="268"/>
      <c r="C72" s="2" t="s">
        <v>42</v>
      </c>
      <c r="D72" s="3">
        <v>1200000</v>
      </c>
      <c r="E72" s="3">
        <v>1155940</v>
      </c>
      <c r="F72" s="3"/>
      <c r="G72" s="3"/>
      <c r="H72" s="3"/>
      <c r="I72" s="3"/>
      <c r="J72" s="20">
        <f t="shared" si="16"/>
        <v>1155940</v>
      </c>
      <c r="K72" s="51">
        <v>123200</v>
      </c>
      <c r="L72" s="3">
        <f t="shared" si="17"/>
        <v>1032740</v>
      </c>
    </row>
    <row r="73" spans="1:12" x14ac:dyDescent="0.25">
      <c r="A73" s="258"/>
      <c r="B73" s="268"/>
      <c r="C73" s="2" t="s">
        <v>43</v>
      </c>
      <c r="D73" s="3">
        <v>30000</v>
      </c>
      <c r="E73" s="3">
        <v>30000</v>
      </c>
      <c r="F73" s="3"/>
      <c r="G73" s="3"/>
      <c r="H73" s="3"/>
      <c r="I73" s="3"/>
      <c r="J73" s="20">
        <f t="shared" si="16"/>
        <v>30000</v>
      </c>
      <c r="K73" s="51">
        <v>0</v>
      </c>
      <c r="L73" s="3">
        <f t="shared" si="17"/>
        <v>30000</v>
      </c>
    </row>
    <row r="74" spans="1:12" x14ac:dyDescent="0.25">
      <c r="A74" s="258"/>
      <c r="B74" s="268"/>
      <c r="C74" s="2" t="s">
        <v>44</v>
      </c>
      <c r="D74" s="3">
        <v>1041508</v>
      </c>
      <c r="E74" s="3">
        <v>981368</v>
      </c>
      <c r="F74" s="3"/>
      <c r="G74" s="3"/>
      <c r="H74" s="3"/>
      <c r="I74" s="3"/>
      <c r="J74" s="20">
        <f t="shared" si="16"/>
        <v>981368</v>
      </c>
      <c r="K74" s="51">
        <v>102883</v>
      </c>
      <c r="L74" s="3">
        <f t="shared" si="17"/>
        <v>878485</v>
      </c>
    </row>
    <row r="75" spans="1:12" x14ac:dyDescent="0.25">
      <c r="A75" s="258"/>
      <c r="B75" s="268"/>
      <c r="C75" s="2" t="s">
        <v>45</v>
      </c>
      <c r="D75" s="3">
        <v>433021</v>
      </c>
      <c r="E75" s="3">
        <v>178003</v>
      </c>
      <c r="F75" s="3">
        <v>-17600</v>
      </c>
      <c r="G75" s="3"/>
      <c r="H75" s="3"/>
      <c r="I75" s="3"/>
      <c r="J75" s="20">
        <f t="shared" si="16"/>
        <v>160403</v>
      </c>
      <c r="K75" s="51">
        <v>0</v>
      </c>
      <c r="L75" s="3">
        <f t="shared" si="17"/>
        <v>160403</v>
      </c>
    </row>
    <row r="76" spans="1:12" x14ac:dyDescent="0.25">
      <c r="A76" s="258"/>
      <c r="B76" s="268"/>
      <c r="C76" s="6" t="s">
        <v>49</v>
      </c>
      <c r="D76" s="7">
        <f>SUM(D63:D75)</f>
        <v>7607209</v>
      </c>
      <c r="E76" s="7">
        <v>7075191</v>
      </c>
      <c r="F76" s="7">
        <f t="shared" ref="F76:L76" si="18">SUM(F63:F75)</f>
        <v>-17600</v>
      </c>
      <c r="G76" s="7">
        <f t="shared" si="18"/>
        <v>0</v>
      </c>
      <c r="H76" s="7">
        <f t="shared" si="18"/>
        <v>0</v>
      </c>
      <c r="I76" s="7">
        <f t="shared" si="18"/>
        <v>0</v>
      </c>
      <c r="J76" s="7">
        <f t="shared" si="18"/>
        <v>7057591</v>
      </c>
      <c r="K76" s="52">
        <f t="shared" si="18"/>
        <v>1044491</v>
      </c>
      <c r="L76" s="7">
        <f t="shared" si="18"/>
        <v>6013100</v>
      </c>
    </row>
    <row r="77" spans="1:12" x14ac:dyDescent="0.25">
      <c r="A77" s="258"/>
      <c r="B77" s="268"/>
      <c r="C77" s="2" t="s">
        <v>50</v>
      </c>
      <c r="D77" s="3">
        <v>78740</v>
      </c>
      <c r="E77" s="3">
        <v>78740</v>
      </c>
      <c r="F77" s="3"/>
      <c r="G77" s="3"/>
      <c r="H77" s="3"/>
      <c r="I77" s="3"/>
      <c r="J77" s="20">
        <f t="shared" ref="J77:J78" si="19">E77+F77+G77+H77+I77</f>
        <v>78740</v>
      </c>
      <c r="K77" s="51">
        <v>0</v>
      </c>
      <c r="L77" s="3">
        <f t="shared" ref="L77:L78" si="20">J77-K77</f>
        <v>78740</v>
      </c>
    </row>
    <row r="78" spans="1:12" x14ac:dyDescent="0.25">
      <c r="A78" s="258"/>
      <c r="B78" s="268"/>
      <c r="C78" s="2" t="s">
        <v>51</v>
      </c>
      <c r="D78" s="3">
        <v>21260</v>
      </c>
      <c r="E78" s="3">
        <v>21260</v>
      </c>
      <c r="F78" s="3"/>
      <c r="G78" s="3"/>
      <c r="H78" s="3"/>
      <c r="I78" s="3"/>
      <c r="J78" s="20">
        <f t="shared" si="19"/>
        <v>21260</v>
      </c>
      <c r="K78" s="51">
        <v>0</v>
      </c>
      <c r="L78" s="3">
        <f t="shared" si="20"/>
        <v>21260</v>
      </c>
    </row>
    <row r="79" spans="1:12" x14ac:dyDescent="0.25">
      <c r="A79" s="258"/>
      <c r="B79" s="268"/>
      <c r="C79" s="6" t="s">
        <v>52</v>
      </c>
      <c r="D79" s="7">
        <f>SUM(D77:D78)</f>
        <v>100000</v>
      </c>
      <c r="E79" s="7">
        <v>100000</v>
      </c>
      <c r="F79" s="7">
        <f t="shared" ref="F79:L79" si="21">SUM(F77:F78)</f>
        <v>0</v>
      </c>
      <c r="G79" s="7">
        <f t="shared" si="21"/>
        <v>0</v>
      </c>
      <c r="H79" s="7">
        <f t="shared" si="21"/>
        <v>0</v>
      </c>
      <c r="I79" s="7">
        <f t="shared" si="21"/>
        <v>0</v>
      </c>
      <c r="J79" s="7">
        <f t="shared" si="21"/>
        <v>100000</v>
      </c>
      <c r="K79" s="52">
        <f t="shared" si="21"/>
        <v>0</v>
      </c>
      <c r="L79" s="7">
        <f t="shared" si="21"/>
        <v>100000</v>
      </c>
    </row>
    <row r="80" spans="1:12" x14ac:dyDescent="0.25">
      <c r="A80" s="259" t="s">
        <v>58</v>
      </c>
      <c r="B80" s="261" t="s">
        <v>46</v>
      </c>
      <c r="C80" s="15" t="s">
        <v>29</v>
      </c>
      <c r="D80" s="24">
        <v>410400</v>
      </c>
      <c r="E80" s="24">
        <v>410400</v>
      </c>
      <c r="F80" s="11"/>
      <c r="G80" s="11"/>
      <c r="H80" s="11"/>
      <c r="I80" s="11"/>
      <c r="J80" s="20">
        <f t="shared" ref="J80:J87" si="22">E80+F80+G80+H80+I80</f>
        <v>410400</v>
      </c>
      <c r="K80" s="51">
        <v>141000</v>
      </c>
      <c r="L80" s="3">
        <f t="shared" ref="L80:L87" si="23">J80-K80</f>
        <v>269400</v>
      </c>
    </row>
    <row r="81" spans="1:12" x14ac:dyDescent="0.25">
      <c r="A81" s="260"/>
      <c r="B81" s="262"/>
      <c r="C81" s="15" t="s">
        <v>31</v>
      </c>
      <c r="D81" s="24">
        <v>76266</v>
      </c>
      <c r="E81" s="24">
        <v>76266</v>
      </c>
      <c r="F81" s="11"/>
      <c r="G81" s="11"/>
      <c r="H81" s="11"/>
      <c r="I81" s="11"/>
      <c r="J81" s="20">
        <f t="shared" si="22"/>
        <v>76266</v>
      </c>
      <c r="K81" s="51">
        <v>27495</v>
      </c>
      <c r="L81" s="3">
        <f t="shared" si="23"/>
        <v>48771</v>
      </c>
    </row>
    <row r="82" spans="1:12" x14ac:dyDescent="0.25">
      <c r="A82" s="259" t="s">
        <v>59</v>
      </c>
      <c r="B82" s="261" t="s">
        <v>23</v>
      </c>
      <c r="C82" s="15" t="s">
        <v>29</v>
      </c>
      <c r="D82" s="24">
        <v>603600</v>
      </c>
      <c r="E82" s="24">
        <v>603600</v>
      </c>
      <c r="F82" s="11"/>
      <c r="G82" s="11"/>
      <c r="H82" s="11"/>
      <c r="I82" s="11"/>
      <c r="J82" s="20">
        <f t="shared" si="22"/>
        <v>603600</v>
      </c>
      <c r="K82" s="51">
        <v>129800</v>
      </c>
      <c r="L82" s="3">
        <f t="shared" si="23"/>
        <v>473800</v>
      </c>
    </row>
    <row r="83" spans="1:12" x14ac:dyDescent="0.25">
      <c r="A83" s="260"/>
      <c r="B83" s="262"/>
      <c r="C83" s="15" t="s">
        <v>31</v>
      </c>
      <c r="D83" s="24">
        <v>112169</v>
      </c>
      <c r="E83" s="24">
        <v>112169</v>
      </c>
      <c r="F83" s="11"/>
      <c r="G83" s="11"/>
      <c r="H83" s="11"/>
      <c r="I83" s="11"/>
      <c r="J83" s="20">
        <f t="shared" si="22"/>
        <v>112169</v>
      </c>
      <c r="K83" s="51">
        <v>25310</v>
      </c>
      <c r="L83" s="3">
        <f t="shared" si="23"/>
        <v>86859</v>
      </c>
    </row>
    <row r="84" spans="1:12" x14ac:dyDescent="0.25">
      <c r="A84" s="259" t="s">
        <v>60</v>
      </c>
      <c r="B84" s="261" t="s">
        <v>23</v>
      </c>
      <c r="C84" s="15" t="s">
        <v>24</v>
      </c>
      <c r="D84" s="24">
        <v>10676226</v>
      </c>
      <c r="E84" s="24">
        <v>10676226</v>
      </c>
      <c r="F84" s="11"/>
      <c r="G84" s="11"/>
      <c r="H84" s="11"/>
      <c r="I84" s="11"/>
      <c r="J84" s="20">
        <f t="shared" si="22"/>
        <v>10676226</v>
      </c>
      <c r="K84" s="51">
        <v>3414236</v>
      </c>
      <c r="L84" s="3">
        <f t="shared" si="23"/>
        <v>7261990</v>
      </c>
    </row>
    <row r="85" spans="1:12" x14ac:dyDescent="0.25">
      <c r="A85" s="260"/>
      <c r="B85" s="262"/>
      <c r="C85" s="15" t="s">
        <v>31</v>
      </c>
      <c r="D85" s="24">
        <v>1989265</v>
      </c>
      <c r="E85" s="24">
        <v>1989265</v>
      </c>
      <c r="F85" s="11"/>
      <c r="G85" s="11"/>
      <c r="H85" s="11"/>
      <c r="I85" s="11"/>
      <c r="J85" s="20">
        <f t="shared" si="22"/>
        <v>1989265</v>
      </c>
      <c r="K85" s="51">
        <v>665777</v>
      </c>
      <c r="L85" s="3">
        <f t="shared" si="23"/>
        <v>1323488</v>
      </c>
    </row>
    <row r="86" spans="1:12" x14ac:dyDescent="0.25">
      <c r="A86" s="259" t="s">
        <v>61</v>
      </c>
      <c r="B86" s="261" t="s">
        <v>46</v>
      </c>
      <c r="C86" s="15" t="s">
        <v>24</v>
      </c>
      <c r="D86" s="24">
        <v>8397674</v>
      </c>
      <c r="E86" s="24">
        <v>8397674</v>
      </c>
      <c r="F86" s="11"/>
      <c r="G86" s="11"/>
      <c r="H86" s="11"/>
      <c r="I86" s="11"/>
      <c r="J86" s="20">
        <f t="shared" si="22"/>
        <v>8397674</v>
      </c>
      <c r="K86" s="51">
        <v>2503664</v>
      </c>
      <c r="L86" s="3">
        <f t="shared" si="23"/>
        <v>5894010</v>
      </c>
    </row>
    <row r="87" spans="1:12" x14ac:dyDescent="0.25">
      <c r="A87" s="260"/>
      <c r="B87" s="262"/>
      <c r="C87" s="15" t="s">
        <v>31</v>
      </c>
      <c r="D87" s="24">
        <v>1563353</v>
      </c>
      <c r="E87" s="24">
        <v>1563353</v>
      </c>
      <c r="F87" s="11"/>
      <c r="G87" s="11"/>
      <c r="H87" s="11"/>
      <c r="I87" s="11"/>
      <c r="J87" s="20">
        <f t="shared" si="22"/>
        <v>1563353</v>
      </c>
      <c r="K87" s="51">
        <v>488213</v>
      </c>
      <c r="L87" s="3">
        <f t="shared" si="23"/>
        <v>1075140</v>
      </c>
    </row>
    <row r="88" spans="1:12" ht="25.5" customHeight="1" x14ac:dyDescent="0.25">
      <c r="A88" s="264" t="s">
        <v>76</v>
      </c>
      <c r="B88" s="265"/>
      <c r="C88" s="266"/>
      <c r="D88" s="22">
        <f t="shared" ref="D88:E88" si="24">SUM(D32+D33+D48+D51+D61+D62+D76+D79+D80+D81+D82+D83+D84+D85+D86+D87)</f>
        <v>118207303</v>
      </c>
      <c r="E88" s="22">
        <f t="shared" si="24"/>
        <v>117671049</v>
      </c>
      <c r="F88" s="22">
        <f t="shared" ref="F88:L88" si="25">SUM(F32+F33+F48+F51+F61+F62+F76+F79+F80+F81+F82+F83+F84+F85+F86+F87)</f>
        <v>-30160</v>
      </c>
      <c r="G88" s="22">
        <f t="shared" si="25"/>
        <v>0</v>
      </c>
      <c r="H88" s="22">
        <f t="shared" si="25"/>
        <v>0</v>
      </c>
      <c r="I88" s="22">
        <f t="shared" si="25"/>
        <v>0</v>
      </c>
      <c r="J88" s="22">
        <f t="shared" si="25"/>
        <v>117640889</v>
      </c>
      <c r="K88" s="54">
        <f t="shared" si="25"/>
        <v>32279389</v>
      </c>
      <c r="L88" s="22">
        <f t="shared" si="25"/>
        <v>85361500</v>
      </c>
    </row>
    <row r="89" spans="1:12" x14ac:dyDescent="0.25">
      <c r="A89" s="258" t="s">
        <v>12</v>
      </c>
      <c r="B89" s="268" t="s">
        <v>23</v>
      </c>
      <c r="C89" s="2" t="s">
        <v>24</v>
      </c>
      <c r="D89" s="3">
        <v>4811583</v>
      </c>
      <c r="E89" s="3">
        <v>4811583</v>
      </c>
      <c r="F89" s="3"/>
      <c r="G89" s="3"/>
      <c r="H89" s="3"/>
      <c r="I89" s="3"/>
      <c r="J89" s="20">
        <f t="shared" ref="J89:J95" si="26">E89+F89+G89+H89+I89</f>
        <v>4811583</v>
      </c>
      <c r="K89" s="51">
        <v>1530999</v>
      </c>
      <c r="L89" s="3">
        <f t="shared" ref="L89:L95" si="27">J89-K89</f>
        <v>3280584</v>
      </c>
    </row>
    <row r="90" spans="1:12" x14ac:dyDescent="0.25">
      <c r="A90" s="258"/>
      <c r="B90" s="268"/>
      <c r="C90" s="2" t="s">
        <v>25</v>
      </c>
      <c r="D90" s="3">
        <v>200000</v>
      </c>
      <c r="E90" s="3">
        <v>200000</v>
      </c>
      <c r="F90" s="3"/>
      <c r="G90" s="3"/>
      <c r="H90" s="3"/>
      <c r="I90" s="3"/>
      <c r="J90" s="20">
        <f t="shared" si="26"/>
        <v>200000</v>
      </c>
      <c r="K90" s="51">
        <v>0</v>
      </c>
      <c r="L90" s="3">
        <f t="shared" si="27"/>
        <v>200000</v>
      </c>
    </row>
    <row r="91" spans="1:12" x14ac:dyDescent="0.25">
      <c r="A91" s="258"/>
      <c r="B91" s="268"/>
      <c r="C91" s="2" t="s">
        <v>26</v>
      </c>
      <c r="D91" s="3">
        <v>10000</v>
      </c>
      <c r="E91" s="3">
        <v>10000</v>
      </c>
      <c r="F91" s="3"/>
      <c r="G91" s="3"/>
      <c r="H91" s="3"/>
      <c r="I91" s="3"/>
      <c r="J91" s="20">
        <f t="shared" si="26"/>
        <v>10000</v>
      </c>
      <c r="K91" s="51">
        <v>0</v>
      </c>
      <c r="L91" s="3">
        <f t="shared" si="27"/>
        <v>10000</v>
      </c>
    </row>
    <row r="92" spans="1:12" x14ac:dyDescent="0.25">
      <c r="A92" s="258"/>
      <c r="B92" s="268"/>
      <c r="C92" s="2" t="s">
        <v>27</v>
      </c>
      <c r="D92" s="3">
        <v>198000</v>
      </c>
      <c r="E92" s="3">
        <v>198000</v>
      </c>
      <c r="F92" s="3"/>
      <c r="G92" s="3"/>
      <c r="H92" s="3"/>
      <c r="I92" s="3"/>
      <c r="J92" s="20">
        <f t="shared" si="26"/>
        <v>198000</v>
      </c>
      <c r="K92" s="51">
        <v>32400</v>
      </c>
      <c r="L92" s="3">
        <f t="shared" si="27"/>
        <v>165600</v>
      </c>
    </row>
    <row r="93" spans="1:12" x14ac:dyDescent="0.25">
      <c r="A93" s="258"/>
      <c r="B93" s="268"/>
      <c r="C93" s="2" t="s">
        <v>28</v>
      </c>
      <c r="D93" s="3">
        <v>24000</v>
      </c>
      <c r="E93" s="3">
        <v>24000</v>
      </c>
      <c r="F93" s="3"/>
      <c r="G93" s="3"/>
      <c r="H93" s="3"/>
      <c r="I93" s="3"/>
      <c r="J93" s="20">
        <f t="shared" si="26"/>
        <v>24000</v>
      </c>
      <c r="K93" s="51">
        <v>0</v>
      </c>
      <c r="L93" s="3">
        <f t="shared" si="27"/>
        <v>24000</v>
      </c>
    </row>
    <row r="94" spans="1:12" x14ac:dyDescent="0.25">
      <c r="A94" s="258"/>
      <c r="B94" s="268"/>
      <c r="C94" s="2" t="s">
        <v>29</v>
      </c>
      <c r="D94" s="3">
        <v>75000</v>
      </c>
      <c r="E94" s="3">
        <v>75000</v>
      </c>
      <c r="F94" s="3"/>
      <c r="G94" s="3"/>
      <c r="H94" s="3"/>
      <c r="I94" s="3"/>
      <c r="J94" s="20">
        <f t="shared" si="26"/>
        <v>75000</v>
      </c>
      <c r="K94" s="51">
        <v>0</v>
      </c>
      <c r="L94" s="3">
        <f t="shared" si="27"/>
        <v>75000</v>
      </c>
    </row>
    <row r="95" spans="1:12" x14ac:dyDescent="0.25">
      <c r="A95" s="258"/>
      <c r="B95" s="268"/>
      <c r="C95" s="2" t="s">
        <v>30</v>
      </c>
      <c r="D95" s="3">
        <v>0</v>
      </c>
      <c r="E95" s="3">
        <v>0</v>
      </c>
      <c r="F95" s="3"/>
      <c r="G95" s="3"/>
      <c r="H95" s="3"/>
      <c r="I95" s="3"/>
      <c r="J95" s="20">
        <f t="shared" si="26"/>
        <v>0</v>
      </c>
      <c r="K95" s="51">
        <v>0</v>
      </c>
      <c r="L95" s="3">
        <f t="shared" si="27"/>
        <v>0</v>
      </c>
    </row>
    <row r="96" spans="1:12" x14ac:dyDescent="0.25">
      <c r="A96" s="258"/>
      <c r="B96" s="268"/>
      <c r="C96" s="6" t="s">
        <v>53</v>
      </c>
      <c r="D96" s="7">
        <f>SUM(D89:D95)</f>
        <v>5318583</v>
      </c>
      <c r="E96" s="7">
        <v>5318583</v>
      </c>
      <c r="F96" s="7">
        <f t="shared" ref="F96:L96" si="28">SUM(F89:F95)</f>
        <v>0</v>
      </c>
      <c r="G96" s="7">
        <f t="shared" si="28"/>
        <v>0</v>
      </c>
      <c r="H96" s="7">
        <f t="shared" si="28"/>
        <v>0</v>
      </c>
      <c r="I96" s="7">
        <f t="shared" si="28"/>
        <v>0</v>
      </c>
      <c r="J96" s="7">
        <f t="shared" si="28"/>
        <v>5318583</v>
      </c>
      <c r="K96" s="52">
        <f t="shared" si="28"/>
        <v>1563399</v>
      </c>
      <c r="L96" s="7">
        <f t="shared" si="28"/>
        <v>3755184</v>
      </c>
    </row>
    <row r="97" spans="1:12" x14ac:dyDescent="0.25">
      <c r="A97" s="258"/>
      <c r="B97" s="268"/>
      <c r="C97" s="6" t="s">
        <v>31</v>
      </c>
      <c r="D97" s="7">
        <v>1035556</v>
      </c>
      <c r="E97" s="7">
        <v>1035556</v>
      </c>
      <c r="F97" s="7"/>
      <c r="G97" s="7"/>
      <c r="H97" s="7"/>
      <c r="I97" s="7"/>
      <c r="J97" s="21">
        <f t="shared" ref="J97:J107" si="29">E97+F97+G97+H97+I97</f>
        <v>1035556</v>
      </c>
      <c r="K97" s="53">
        <v>322089</v>
      </c>
      <c r="L97" s="8">
        <f t="shared" ref="L97:L107" si="30">J97-K97</f>
        <v>713467</v>
      </c>
    </row>
    <row r="98" spans="1:12" x14ac:dyDescent="0.25">
      <c r="A98" s="258"/>
      <c r="B98" s="268"/>
      <c r="C98" s="2" t="s">
        <v>32</v>
      </c>
      <c r="D98" s="3">
        <v>100000</v>
      </c>
      <c r="E98" s="3">
        <v>100000</v>
      </c>
      <c r="F98" s="3"/>
      <c r="G98" s="3"/>
      <c r="H98" s="3"/>
      <c r="I98" s="3"/>
      <c r="J98" s="20">
        <f t="shared" si="29"/>
        <v>100000</v>
      </c>
      <c r="K98" s="51">
        <v>0</v>
      </c>
      <c r="L98" s="3">
        <f t="shared" si="30"/>
        <v>100000</v>
      </c>
    </row>
    <row r="99" spans="1:12" x14ac:dyDescent="0.25">
      <c r="A99" s="258"/>
      <c r="B99" s="268"/>
      <c r="C99" s="2" t="s">
        <v>33</v>
      </c>
      <c r="D99" s="3">
        <v>100000</v>
      </c>
      <c r="E99" s="3">
        <v>100000</v>
      </c>
      <c r="F99" s="3"/>
      <c r="G99" s="3"/>
      <c r="H99" s="3"/>
      <c r="I99" s="3"/>
      <c r="J99" s="20">
        <f t="shared" si="29"/>
        <v>100000</v>
      </c>
      <c r="K99" s="51">
        <v>0</v>
      </c>
      <c r="L99" s="3">
        <f t="shared" si="30"/>
        <v>100000</v>
      </c>
    </row>
    <row r="100" spans="1:12" x14ac:dyDescent="0.25">
      <c r="A100" s="258"/>
      <c r="B100" s="268"/>
      <c r="C100" s="2" t="s">
        <v>34</v>
      </c>
      <c r="D100" s="3">
        <v>210000</v>
      </c>
      <c r="E100" s="3">
        <v>210000</v>
      </c>
      <c r="F100" s="3"/>
      <c r="G100" s="3"/>
      <c r="H100" s="3"/>
      <c r="I100" s="3"/>
      <c r="J100" s="20">
        <f t="shared" si="29"/>
        <v>210000</v>
      </c>
      <c r="K100" s="51">
        <v>0</v>
      </c>
      <c r="L100" s="3">
        <f t="shared" si="30"/>
        <v>210000</v>
      </c>
    </row>
    <row r="101" spans="1:12" x14ac:dyDescent="0.25">
      <c r="A101" s="258"/>
      <c r="B101" s="268"/>
      <c r="C101" s="2" t="s">
        <v>35</v>
      </c>
      <c r="D101" s="3">
        <v>110000</v>
      </c>
      <c r="E101" s="3">
        <v>110000</v>
      </c>
      <c r="F101" s="3"/>
      <c r="G101" s="3"/>
      <c r="H101" s="3"/>
      <c r="I101" s="3"/>
      <c r="J101" s="20">
        <f t="shared" si="29"/>
        <v>110000</v>
      </c>
      <c r="K101" s="51">
        <v>0</v>
      </c>
      <c r="L101" s="3">
        <f t="shared" si="30"/>
        <v>110000</v>
      </c>
    </row>
    <row r="102" spans="1:12" x14ac:dyDescent="0.25">
      <c r="A102" s="258"/>
      <c r="B102" s="268"/>
      <c r="C102" s="2" t="s">
        <v>36</v>
      </c>
      <c r="D102" s="3">
        <v>500000</v>
      </c>
      <c r="E102" s="3">
        <v>500000</v>
      </c>
      <c r="F102" s="3"/>
      <c r="G102" s="3"/>
      <c r="H102" s="3"/>
      <c r="I102" s="3"/>
      <c r="J102" s="20">
        <f t="shared" si="29"/>
        <v>500000</v>
      </c>
      <c r="K102" s="51">
        <v>188625</v>
      </c>
      <c r="L102" s="3">
        <f t="shared" si="30"/>
        <v>311375</v>
      </c>
    </row>
    <row r="103" spans="1:12" x14ac:dyDescent="0.25">
      <c r="A103" s="258"/>
      <c r="B103" s="268"/>
      <c r="C103" s="2" t="s">
        <v>38</v>
      </c>
      <c r="D103" s="3">
        <v>140000</v>
      </c>
      <c r="E103" s="3">
        <v>140000</v>
      </c>
      <c r="F103" s="3"/>
      <c r="G103" s="3"/>
      <c r="H103" s="3"/>
      <c r="I103" s="3"/>
      <c r="J103" s="20">
        <f t="shared" si="29"/>
        <v>140000</v>
      </c>
      <c r="K103" s="51">
        <v>0</v>
      </c>
      <c r="L103" s="3">
        <f t="shared" si="30"/>
        <v>140000</v>
      </c>
    </row>
    <row r="104" spans="1:12" x14ac:dyDescent="0.25">
      <c r="A104" s="258"/>
      <c r="B104" s="268"/>
      <c r="C104" s="2" t="s">
        <v>40</v>
      </c>
      <c r="D104" s="3">
        <v>16800</v>
      </c>
      <c r="E104" s="3">
        <v>16800</v>
      </c>
      <c r="F104" s="3"/>
      <c r="G104" s="3"/>
      <c r="H104" s="3"/>
      <c r="I104" s="3"/>
      <c r="J104" s="20">
        <f t="shared" si="29"/>
        <v>16800</v>
      </c>
      <c r="K104" s="51">
        <v>0</v>
      </c>
      <c r="L104" s="3">
        <f t="shared" si="30"/>
        <v>16800</v>
      </c>
    </row>
    <row r="105" spans="1:12" x14ac:dyDescent="0.25">
      <c r="A105" s="258"/>
      <c r="B105" s="268"/>
      <c r="C105" s="2" t="s">
        <v>41</v>
      </c>
      <c r="D105" s="3">
        <v>80000</v>
      </c>
      <c r="E105" s="3">
        <v>80000</v>
      </c>
      <c r="F105" s="3"/>
      <c r="G105" s="3"/>
      <c r="H105" s="3"/>
      <c r="I105" s="3"/>
      <c r="J105" s="20">
        <f t="shared" si="29"/>
        <v>80000</v>
      </c>
      <c r="K105" s="51">
        <v>26800</v>
      </c>
      <c r="L105" s="3">
        <f t="shared" si="30"/>
        <v>53200</v>
      </c>
    </row>
    <row r="106" spans="1:12" x14ac:dyDescent="0.25">
      <c r="A106" s="258"/>
      <c r="B106" s="268"/>
      <c r="C106" s="2" t="s">
        <v>42</v>
      </c>
      <c r="D106" s="3">
        <v>240000</v>
      </c>
      <c r="E106" s="3">
        <v>240000</v>
      </c>
      <c r="F106" s="3"/>
      <c r="G106" s="3"/>
      <c r="H106" s="3"/>
      <c r="I106" s="3"/>
      <c r="J106" s="20">
        <f t="shared" si="29"/>
        <v>240000</v>
      </c>
      <c r="K106" s="51">
        <v>54250</v>
      </c>
      <c r="L106" s="3">
        <f t="shared" si="30"/>
        <v>185750</v>
      </c>
    </row>
    <row r="107" spans="1:12" x14ac:dyDescent="0.25">
      <c r="A107" s="258"/>
      <c r="B107" s="268"/>
      <c r="C107" s="2" t="s">
        <v>44</v>
      </c>
      <c r="D107" s="3">
        <v>200600</v>
      </c>
      <c r="E107" s="3">
        <v>200600</v>
      </c>
      <c r="F107" s="3"/>
      <c r="G107" s="3"/>
      <c r="H107" s="3"/>
      <c r="I107" s="3"/>
      <c r="J107" s="20">
        <f t="shared" si="29"/>
        <v>200600</v>
      </c>
      <c r="K107" s="51">
        <v>16667</v>
      </c>
      <c r="L107" s="3">
        <f t="shared" si="30"/>
        <v>183933</v>
      </c>
    </row>
    <row r="108" spans="1:12" x14ac:dyDescent="0.25">
      <c r="A108" s="258"/>
      <c r="B108" s="268"/>
      <c r="C108" s="6" t="s">
        <v>49</v>
      </c>
      <c r="D108" s="7">
        <f>SUM(D98:D107)</f>
        <v>1697400</v>
      </c>
      <c r="E108" s="7">
        <v>1697400</v>
      </c>
      <c r="F108" s="7">
        <f t="shared" ref="F108:L108" si="31">SUM(F98:F107)</f>
        <v>0</v>
      </c>
      <c r="G108" s="7">
        <f t="shared" si="31"/>
        <v>0</v>
      </c>
      <c r="H108" s="7">
        <f t="shared" si="31"/>
        <v>0</v>
      </c>
      <c r="I108" s="7">
        <f t="shared" si="31"/>
        <v>0</v>
      </c>
      <c r="J108" s="7">
        <f t="shared" si="31"/>
        <v>1697400</v>
      </c>
      <c r="K108" s="52">
        <f t="shared" si="31"/>
        <v>286342</v>
      </c>
      <c r="L108" s="7">
        <f t="shared" si="31"/>
        <v>1411058</v>
      </c>
    </row>
    <row r="109" spans="1:12" x14ac:dyDescent="0.25">
      <c r="A109" s="255" t="s">
        <v>62</v>
      </c>
      <c r="B109" s="252" t="s">
        <v>23</v>
      </c>
      <c r="C109" s="15" t="s">
        <v>29</v>
      </c>
      <c r="D109" s="24">
        <v>111600</v>
      </c>
      <c r="E109" s="24">
        <v>111600</v>
      </c>
      <c r="F109" s="11"/>
      <c r="G109" s="11"/>
      <c r="H109" s="11"/>
      <c r="I109" s="11"/>
      <c r="J109" s="20">
        <f t="shared" ref="J109:J112" si="32">E109+F109+G109+H109+I109</f>
        <v>111600</v>
      </c>
      <c r="K109" s="51">
        <v>25200</v>
      </c>
      <c r="L109" s="3">
        <f t="shared" ref="L109:L112" si="33">J109-K109</f>
        <v>86400</v>
      </c>
    </row>
    <row r="110" spans="1:12" x14ac:dyDescent="0.25">
      <c r="A110" s="257"/>
      <c r="B110" s="254"/>
      <c r="C110" s="15" t="s">
        <v>31</v>
      </c>
      <c r="D110" s="24">
        <v>20739</v>
      </c>
      <c r="E110" s="24">
        <v>20739</v>
      </c>
      <c r="F110" s="11"/>
      <c r="G110" s="11"/>
      <c r="H110" s="11"/>
      <c r="I110" s="11"/>
      <c r="J110" s="20">
        <f t="shared" si="32"/>
        <v>20739</v>
      </c>
      <c r="K110" s="51">
        <v>4912</v>
      </c>
      <c r="L110" s="3">
        <f t="shared" si="33"/>
        <v>15827</v>
      </c>
    </row>
    <row r="111" spans="1:12" x14ac:dyDescent="0.25">
      <c r="A111" s="255" t="s">
        <v>63</v>
      </c>
      <c r="B111" s="252" t="s">
        <v>23</v>
      </c>
      <c r="C111" s="15" t="s">
        <v>24</v>
      </c>
      <c r="D111" s="24">
        <v>1460272</v>
      </c>
      <c r="E111" s="24">
        <v>1460272</v>
      </c>
      <c r="F111" s="11"/>
      <c r="G111" s="11"/>
      <c r="H111" s="11"/>
      <c r="I111" s="11"/>
      <c r="J111" s="20">
        <f t="shared" si="32"/>
        <v>1460272</v>
      </c>
      <c r="K111" s="51">
        <v>497454</v>
      </c>
      <c r="L111" s="3">
        <f t="shared" si="33"/>
        <v>962818</v>
      </c>
    </row>
    <row r="112" spans="1:12" x14ac:dyDescent="0.25">
      <c r="A112" s="257"/>
      <c r="B112" s="254"/>
      <c r="C112" s="15" t="s">
        <v>31</v>
      </c>
      <c r="D112" s="24">
        <v>272168</v>
      </c>
      <c r="E112" s="24">
        <v>272168</v>
      </c>
      <c r="F112" s="11"/>
      <c r="G112" s="11"/>
      <c r="H112" s="11"/>
      <c r="I112" s="11"/>
      <c r="J112" s="20">
        <f t="shared" si="32"/>
        <v>272168</v>
      </c>
      <c r="K112" s="51">
        <v>97003</v>
      </c>
      <c r="L112" s="3">
        <f t="shared" si="33"/>
        <v>175165</v>
      </c>
    </row>
    <row r="113" spans="1:12" x14ac:dyDescent="0.25">
      <c r="A113" s="264" t="s">
        <v>77</v>
      </c>
      <c r="B113" s="265"/>
      <c r="C113" s="266"/>
      <c r="D113" s="22">
        <f>SUM(D96+D97+D108+D109+D110+D111+D112)</f>
        <v>9916318</v>
      </c>
      <c r="E113" s="22">
        <f>SUM(E96+E97+E108+E109+E110+E111+E112)</f>
        <v>9916318</v>
      </c>
      <c r="F113" s="22">
        <f t="shared" ref="F113:L113" si="34">SUM(F96+F97+F108+F109+F110+F111+F112)</f>
        <v>0</v>
      </c>
      <c r="G113" s="22">
        <f t="shared" si="34"/>
        <v>0</v>
      </c>
      <c r="H113" s="22">
        <f t="shared" si="34"/>
        <v>0</v>
      </c>
      <c r="I113" s="22">
        <f t="shared" si="34"/>
        <v>0</v>
      </c>
      <c r="J113" s="22">
        <f t="shared" si="34"/>
        <v>9916318</v>
      </c>
      <c r="K113" s="54">
        <f t="shared" si="34"/>
        <v>2796399</v>
      </c>
      <c r="L113" s="22">
        <f t="shared" si="34"/>
        <v>7119919</v>
      </c>
    </row>
    <row r="114" spans="1:12" x14ac:dyDescent="0.25">
      <c r="A114" s="258" t="s">
        <v>13</v>
      </c>
      <c r="B114" s="268" t="s">
        <v>23</v>
      </c>
      <c r="C114" s="2" t="s">
        <v>24</v>
      </c>
      <c r="D114" s="3">
        <v>4871210</v>
      </c>
      <c r="E114" s="3">
        <v>4871210</v>
      </c>
      <c r="F114" s="3"/>
      <c r="G114" s="3"/>
      <c r="H114" s="3"/>
      <c r="I114" s="3"/>
      <c r="J114" s="20">
        <f t="shared" ref="J114:J119" si="35">E114+F114+G114+H114+I114</f>
        <v>4871210</v>
      </c>
      <c r="K114" s="51">
        <v>1573501</v>
      </c>
      <c r="L114" s="3">
        <f t="shared" ref="L114:L119" si="36">J114-K114</f>
        <v>3297709</v>
      </c>
    </row>
    <row r="115" spans="1:12" x14ac:dyDescent="0.25">
      <c r="A115" s="258"/>
      <c r="B115" s="268"/>
      <c r="C115" s="2" t="s">
        <v>25</v>
      </c>
      <c r="D115" s="3">
        <v>200000</v>
      </c>
      <c r="E115" s="3">
        <v>200000</v>
      </c>
      <c r="F115" s="3"/>
      <c r="G115" s="3"/>
      <c r="H115" s="3"/>
      <c r="I115" s="3"/>
      <c r="J115" s="20">
        <f t="shared" si="35"/>
        <v>200000</v>
      </c>
      <c r="K115" s="51">
        <v>0</v>
      </c>
      <c r="L115" s="3">
        <f t="shared" si="36"/>
        <v>200000</v>
      </c>
    </row>
    <row r="116" spans="1:12" x14ac:dyDescent="0.25">
      <c r="A116" s="258"/>
      <c r="B116" s="268"/>
      <c r="C116" s="2" t="s">
        <v>26</v>
      </c>
      <c r="D116" s="3">
        <v>10000</v>
      </c>
      <c r="E116" s="3">
        <v>10000</v>
      </c>
      <c r="F116" s="3"/>
      <c r="G116" s="3"/>
      <c r="H116" s="3"/>
      <c r="I116" s="3"/>
      <c r="J116" s="20">
        <f t="shared" si="35"/>
        <v>10000</v>
      </c>
      <c r="K116" s="51">
        <v>0</v>
      </c>
      <c r="L116" s="3">
        <f t="shared" si="36"/>
        <v>10000</v>
      </c>
    </row>
    <row r="117" spans="1:12" x14ac:dyDescent="0.25">
      <c r="A117" s="258"/>
      <c r="B117" s="268"/>
      <c r="C117" s="2" t="s">
        <v>28</v>
      </c>
      <c r="D117" s="3">
        <v>24000</v>
      </c>
      <c r="E117" s="3">
        <v>24000</v>
      </c>
      <c r="F117" s="3"/>
      <c r="G117" s="3"/>
      <c r="H117" s="3"/>
      <c r="I117" s="3"/>
      <c r="J117" s="20">
        <f t="shared" si="35"/>
        <v>24000</v>
      </c>
      <c r="K117" s="51">
        <v>0</v>
      </c>
      <c r="L117" s="3">
        <f t="shared" si="36"/>
        <v>24000</v>
      </c>
    </row>
    <row r="118" spans="1:12" x14ac:dyDescent="0.25">
      <c r="A118" s="258"/>
      <c r="B118" s="268"/>
      <c r="C118" s="2" t="s">
        <v>29</v>
      </c>
      <c r="D118" s="3">
        <v>75000</v>
      </c>
      <c r="E118" s="3">
        <v>75000</v>
      </c>
      <c r="F118" s="3"/>
      <c r="G118" s="3"/>
      <c r="H118" s="3"/>
      <c r="I118" s="3"/>
      <c r="J118" s="20">
        <f t="shared" si="35"/>
        <v>75000</v>
      </c>
      <c r="K118" s="51">
        <v>0</v>
      </c>
      <c r="L118" s="3">
        <f t="shared" si="36"/>
        <v>75000</v>
      </c>
    </row>
    <row r="119" spans="1:12" x14ac:dyDescent="0.25">
      <c r="A119" s="258"/>
      <c r="B119" s="268"/>
      <c r="C119" s="2" t="s">
        <v>30</v>
      </c>
      <c r="D119" s="3">
        <v>0</v>
      </c>
      <c r="E119" s="3">
        <v>0</v>
      </c>
      <c r="F119" s="3"/>
      <c r="G119" s="3"/>
      <c r="H119" s="3"/>
      <c r="I119" s="3"/>
      <c r="J119" s="20">
        <f t="shared" si="35"/>
        <v>0</v>
      </c>
      <c r="K119" s="51">
        <v>0</v>
      </c>
      <c r="L119" s="3">
        <f t="shared" si="36"/>
        <v>0</v>
      </c>
    </row>
    <row r="120" spans="1:12" x14ac:dyDescent="0.25">
      <c r="A120" s="258"/>
      <c r="B120" s="268"/>
      <c r="C120" s="6" t="s">
        <v>53</v>
      </c>
      <c r="D120" s="7">
        <f>SUM(D114:D119)</f>
        <v>5180210</v>
      </c>
      <c r="E120" s="7">
        <f>SUM(E114:E119)</f>
        <v>5180210</v>
      </c>
      <c r="F120" s="7">
        <f t="shared" ref="F120:L120" si="37">SUM(F114:F119)</f>
        <v>0</v>
      </c>
      <c r="G120" s="7">
        <f t="shared" si="37"/>
        <v>0</v>
      </c>
      <c r="H120" s="7">
        <f t="shared" si="37"/>
        <v>0</v>
      </c>
      <c r="I120" s="7">
        <f t="shared" si="37"/>
        <v>0</v>
      </c>
      <c r="J120" s="7">
        <f t="shared" si="37"/>
        <v>5180210</v>
      </c>
      <c r="K120" s="52">
        <f t="shared" si="37"/>
        <v>1573501</v>
      </c>
      <c r="L120" s="7">
        <f t="shared" si="37"/>
        <v>3606709</v>
      </c>
    </row>
    <row r="121" spans="1:12" x14ac:dyDescent="0.25">
      <c r="A121" s="258"/>
      <c r="B121" s="268"/>
      <c r="C121" s="6" t="s">
        <v>31</v>
      </c>
      <c r="D121" s="7">
        <v>1046402</v>
      </c>
      <c r="E121" s="7">
        <v>1046402</v>
      </c>
      <c r="F121" s="7"/>
      <c r="G121" s="7"/>
      <c r="H121" s="7"/>
      <c r="I121" s="7"/>
      <c r="J121" s="21">
        <f t="shared" ref="J121:J129" si="38">E121+F121+G121+H121+I121</f>
        <v>1046402</v>
      </c>
      <c r="K121" s="53">
        <v>330374</v>
      </c>
      <c r="L121" s="8">
        <f t="shared" ref="L121:L129" si="39">J121-K121</f>
        <v>716028</v>
      </c>
    </row>
    <row r="122" spans="1:12" x14ac:dyDescent="0.25">
      <c r="A122" s="258"/>
      <c r="B122" s="268"/>
      <c r="C122" s="2" t="s">
        <v>32</v>
      </c>
      <c r="D122" s="3">
        <v>50000</v>
      </c>
      <c r="E122" s="3">
        <v>50000</v>
      </c>
      <c r="F122" s="3"/>
      <c r="G122" s="3"/>
      <c r="H122" s="3"/>
      <c r="I122" s="3"/>
      <c r="J122" s="20">
        <f t="shared" si="38"/>
        <v>50000</v>
      </c>
      <c r="K122" s="51">
        <v>0</v>
      </c>
      <c r="L122" s="3">
        <f t="shared" si="39"/>
        <v>50000</v>
      </c>
    </row>
    <row r="123" spans="1:12" x14ac:dyDescent="0.25">
      <c r="A123" s="258"/>
      <c r="B123" s="268"/>
      <c r="C123" s="2" t="s">
        <v>33</v>
      </c>
      <c r="D123" s="3">
        <v>100000</v>
      </c>
      <c r="E123" s="3">
        <v>100000</v>
      </c>
      <c r="F123" s="3"/>
      <c r="G123" s="3"/>
      <c r="H123" s="3"/>
      <c r="I123" s="3"/>
      <c r="J123" s="20">
        <f t="shared" si="38"/>
        <v>100000</v>
      </c>
      <c r="K123" s="51">
        <v>0</v>
      </c>
      <c r="L123" s="3">
        <f t="shared" si="39"/>
        <v>100000</v>
      </c>
    </row>
    <row r="124" spans="1:12" x14ac:dyDescent="0.25">
      <c r="A124" s="258"/>
      <c r="B124" s="268"/>
      <c r="C124" s="2" t="s">
        <v>34</v>
      </c>
      <c r="D124" s="3">
        <v>150000</v>
      </c>
      <c r="E124" s="3">
        <v>116000</v>
      </c>
      <c r="F124" s="3"/>
      <c r="G124" s="3"/>
      <c r="H124" s="3"/>
      <c r="I124" s="3"/>
      <c r="J124" s="20">
        <f t="shared" si="38"/>
        <v>116000</v>
      </c>
      <c r="K124" s="51">
        <v>0</v>
      </c>
      <c r="L124" s="3">
        <f t="shared" si="39"/>
        <v>116000</v>
      </c>
    </row>
    <row r="125" spans="1:12" x14ac:dyDescent="0.25">
      <c r="A125" s="258"/>
      <c r="B125" s="268"/>
      <c r="C125" s="2" t="s">
        <v>38</v>
      </c>
      <c r="D125" s="3">
        <v>50000</v>
      </c>
      <c r="E125" s="3">
        <v>50000</v>
      </c>
      <c r="F125" s="3"/>
      <c r="G125" s="3"/>
      <c r="H125" s="3"/>
      <c r="I125" s="3"/>
      <c r="J125" s="20">
        <f t="shared" si="38"/>
        <v>50000</v>
      </c>
      <c r="K125" s="51">
        <v>0</v>
      </c>
      <c r="L125" s="3">
        <f t="shared" si="39"/>
        <v>50000</v>
      </c>
    </row>
    <row r="126" spans="1:12" x14ac:dyDescent="0.25">
      <c r="A126" s="258"/>
      <c r="B126" s="268"/>
      <c r="C126" s="2" t="s">
        <v>40</v>
      </c>
      <c r="D126" s="3">
        <v>16800</v>
      </c>
      <c r="E126" s="3">
        <v>16800</v>
      </c>
      <c r="F126" s="3"/>
      <c r="G126" s="3"/>
      <c r="H126" s="3"/>
      <c r="I126" s="3"/>
      <c r="J126" s="20">
        <f t="shared" si="38"/>
        <v>16800</v>
      </c>
      <c r="K126" s="51">
        <v>0</v>
      </c>
      <c r="L126" s="3">
        <f t="shared" si="39"/>
        <v>16800</v>
      </c>
    </row>
    <row r="127" spans="1:12" x14ac:dyDescent="0.25">
      <c r="A127" s="258"/>
      <c r="B127" s="268"/>
      <c r="C127" s="2" t="s">
        <v>41</v>
      </c>
      <c r="D127" s="3">
        <v>0</v>
      </c>
      <c r="E127" s="3">
        <v>34000</v>
      </c>
      <c r="F127" s="3"/>
      <c r="G127" s="3"/>
      <c r="H127" s="3"/>
      <c r="I127" s="3"/>
      <c r="J127" s="20">
        <f t="shared" si="38"/>
        <v>34000</v>
      </c>
      <c r="K127" s="51">
        <v>26800</v>
      </c>
      <c r="L127" s="3">
        <f t="shared" si="39"/>
        <v>7200</v>
      </c>
    </row>
    <row r="128" spans="1:12" x14ac:dyDescent="0.25">
      <c r="A128" s="258"/>
      <c r="B128" s="268"/>
      <c r="C128" s="2" t="s">
        <v>42</v>
      </c>
      <c r="D128" s="3">
        <v>240000</v>
      </c>
      <c r="E128" s="3">
        <v>240000</v>
      </c>
      <c r="F128" s="3"/>
      <c r="G128" s="3"/>
      <c r="H128" s="3"/>
      <c r="I128" s="3"/>
      <c r="J128" s="20">
        <f t="shared" si="38"/>
        <v>240000</v>
      </c>
      <c r="K128" s="51">
        <v>45195</v>
      </c>
      <c r="L128" s="3">
        <f t="shared" si="39"/>
        <v>194805</v>
      </c>
    </row>
    <row r="129" spans="1:12" x14ac:dyDescent="0.25">
      <c r="A129" s="258"/>
      <c r="B129" s="268"/>
      <c r="C129" s="2" t="s">
        <v>44</v>
      </c>
      <c r="D129" s="3">
        <v>94500</v>
      </c>
      <c r="E129" s="3">
        <v>94500</v>
      </c>
      <c r="F129" s="3"/>
      <c r="G129" s="3"/>
      <c r="H129" s="3"/>
      <c r="I129" s="3"/>
      <c r="J129" s="20">
        <f t="shared" si="38"/>
        <v>94500</v>
      </c>
      <c r="K129" s="51">
        <v>7236</v>
      </c>
      <c r="L129" s="3">
        <f t="shared" si="39"/>
        <v>87264</v>
      </c>
    </row>
    <row r="130" spans="1:12" x14ac:dyDescent="0.25">
      <c r="A130" s="258"/>
      <c r="B130" s="268"/>
      <c r="C130" s="6" t="s">
        <v>49</v>
      </c>
      <c r="D130" s="7">
        <f>SUM(D122:D129)</f>
        <v>701300</v>
      </c>
      <c r="E130" s="7">
        <f t="shared" ref="E130:I130" si="40">SUM(E122:E129)</f>
        <v>701300</v>
      </c>
      <c r="F130" s="7">
        <f t="shared" si="40"/>
        <v>0</v>
      </c>
      <c r="G130" s="7">
        <f t="shared" si="40"/>
        <v>0</v>
      </c>
      <c r="H130" s="7">
        <f t="shared" si="40"/>
        <v>0</v>
      </c>
      <c r="I130" s="7">
        <f t="shared" si="40"/>
        <v>0</v>
      </c>
      <c r="J130" s="7">
        <f t="shared" ref="J130:L130" si="41">SUM(J122:J129)</f>
        <v>701300</v>
      </c>
      <c r="K130" s="52">
        <f t="shared" si="41"/>
        <v>79231</v>
      </c>
      <c r="L130" s="7">
        <f t="shared" si="41"/>
        <v>622069</v>
      </c>
    </row>
    <row r="131" spans="1:12" x14ac:dyDescent="0.25">
      <c r="A131" s="255" t="s">
        <v>64</v>
      </c>
      <c r="B131" s="252" t="s">
        <v>23</v>
      </c>
      <c r="C131" s="15" t="s">
        <v>29</v>
      </c>
      <c r="D131" s="24">
        <v>39600</v>
      </c>
      <c r="E131" s="24">
        <v>39600</v>
      </c>
      <c r="F131" s="11"/>
      <c r="G131" s="11"/>
      <c r="H131" s="11"/>
      <c r="I131" s="11"/>
      <c r="J131" s="20">
        <f t="shared" ref="J131:J134" si="42">E131+F131+G131+H131+I131</f>
        <v>39600</v>
      </c>
      <c r="K131" s="51">
        <v>13200</v>
      </c>
      <c r="L131" s="3">
        <f t="shared" ref="L131:L134" si="43">J131-K131</f>
        <v>26400</v>
      </c>
    </row>
    <row r="132" spans="1:12" x14ac:dyDescent="0.25">
      <c r="A132" s="257"/>
      <c r="B132" s="254"/>
      <c r="C132" s="15" t="s">
        <v>31</v>
      </c>
      <c r="D132" s="24">
        <v>7359</v>
      </c>
      <c r="E132" s="24">
        <v>7359</v>
      </c>
      <c r="F132" s="11"/>
      <c r="G132" s="11"/>
      <c r="H132" s="11"/>
      <c r="I132" s="11"/>
      <c r="J132" s="20">
        <f t="shared" si="42"/>
        <v>7359</v>
      </c>
      <c r="K132" s="51">
        <v>2575</v>
      </c>
      <c r="L132" s="3">
        <f t="shared" si="43"/>
        <v>4784</v>
      </c>
    </row>
    <row r="133" spans="1:12" x14ac:dyDescent="0.25">
      <c r="A133" s="255" t="s">
        <v>65</v>
      </c>
      <c r="B133" s="252" t="s">
        <v>23</v>
      </c>
      <c r="C133" s="15" t="s">
        <v>24</v>
      </c>
      <c r="D133" s="24">
        <v>1357158</v>
      </c>
      <c r="E133" s="24">
        <v>1357158</v>
      </c>
      <c r="F133" s="11"/>
      <c r="G133" s="11"/>
      <c r="H133" s="11"/>
      <c r="I133" s="11"/>
      <c r="J133" s="20">
        <f t="shared" si="42"/>
        <v>1357158</v>
      </c>
      <c r="K133" s="51">
        <v>452744</v>
      </c>
      <c r="L133" s="3">
        <f t="shared" si="43"/>
        <v>904414</v>
      </c>
    </row>
    <row r="134" spans="1:12" x14ac:dyDescent="0.25">
      <c r="A134" s="257"/>
      <c r="B134" s="254"/>
      <c r="C134" s="15" t="s">
        <v>31</v>
      </c>
      <c r="D134" s="24">
        <v>253327</v>
      </c>
      <c r="E134" s="24">
        <v>253327</v>
      </c>
      <c r="F134" s="11"/>
      <c r="G134" s="11"/>
      <c r="H134" s="11"/>
      <c r="I134" s="11"/>
      <c r="J134" s="20">
        <f t="shared" si="42"/>
        <v>253327</v>
      </c>
      <c r="K134" s="51">
        <v>88285</v>
      </c>
      <c r="L134" s="3">
        <f t="shared" si="43"/>
        <v>165042</v>
      </c>
    </row>
    <row r="135" spans="1:12" x14ac:dyDescent="0.25">
      <c r="A135" s="264" t="s">
        <v>78</v>
      </c>
      <c r="B135" s="265"/>
      <c r="C135" s="266"/>
      <c r="D135" s="22">
        <f>SUM(D120+D121+D130+D131+D132+D133+D134)</f>
        <v>8585356</v>
      </c>
      <c r="E135" s="22">
        <f t="shared" ref="E135:I135" si="44">SUM(E120+E121+E130+E131+E132+E133+E134)</f>
        <v>8585356</v>
      </c>
      <c r="F135" s="22">
        <f t="shared" si="44"/>
        <v>0</v>
      </c>
      <c r="G135" s="22">
        <f t="shared" si="44"/>
        <v>0</v>
      </c>
      <c r="H135" s="22">
        <f t="shared" si="44"/>
        <v>0</v>
      </c>
      <c r="I135" s="22">
        <f t="shared" si="44"/>
        <v>0</v>
      </c>
      <c r="J135" s="22">
        <f t="shared" ref="J135:L135" si="45">SUM(J120+J121+J130+J131+J132+J133+J134)</f>
        <v>8585356</v>
      </c>
      <c r="K135" s="54">
        <f t="shared" si="45"/>
        <v>2539910</v>
      </c>
      <c r="L135" s="22">
        <f t="shared" si="45"/>
        <v>6045446</v>
      </c>
    </row>
    <row r="136" spans="1:12" x14ac:dyDescent="0.25">
      <c r="A136" s="258" t="s">
        <v>14</v>
      </c>
      <c r="B136" s="268" t="s">
        <v>23</v>
      </c>
      <c r="C136" s="2" t="s">
        <v>24</v>
      </c>
      <c r="D136" s="3">
        <v>4756797</v>
      </c>
      <c r="E136" s="3">
        <v>4708515</v>
      </c>
      <c r="F136" s="3">
        <v>-29507</v>
      </c>
      <c r="G136" s="3"/>
      <c r="H136" s="3"/>
      <c r="I136" s="3"/>
      <c r="J136" s="20">
        <f t="shared" ref="J136:J142" si="46">E136+F136+G136+H136+I136</f>
        <v>4679008</v>
      </c>
      <c r="K136" s="51">
        <v>1432094</v>
      </c>
      <c r="L136" s="3">
        <f t="shared" ref="L136:L142" si="47">J136-K136</f>
        <v>3246914</v>
      </c>
    </row>
    <row r="137" spans="1:12" x14ac:dyDescent="0.25">
      <c r="A137" s="258"/>
      <c r="B137" s="268"/>
      <c r="C137" s="2" t="s">
        <v>25</v>
      </c>
      <c r="D137" s="3">
        <v>200000</v>
      </c>
      <c r="E137" s="3">
        <v>200000</v>
      </c>
      <c r="F137" s="3"/>
      <c r="G137" s="3"/>
      <c r="H137" s="3"/>
      <c r="I137" s="3"/>
      <c r="J137" s="20">
        <f t="shared" si="46"/>
        <v>200000</v>
      </c>
      <c r="K137" s="51">
        <v>0</v>
      </c>
      <c r="L137" s="3">
        <f t="shared" si="47"/>
        <v>200000</v>
      </c>
    </row>
    <row r="138" spans="1:12" x14ac:dyDescent="0.25">
      <c r="A138" s="258"/>
      <c r="B138" s="268"/>
      <c r="C138" s="2" t="s">
        <v>26</v>
      </c>
      <c r="D138" s="3">
        <v>10000</v>
      </c>
      <c r="E138" s="3">
        <v>10000</v>
      </c>
      <c r="F138" s="3"/>
      <c r="G138" s="3"/>
      <c r="H138" s="3"/>
      <c r="I138" s="3"/>
      <c r="J138" s="20">
        <f t="shared" si="46"/>
        <v>10000</v>
      </c>
      <c r="K138" s="51">
        <v>0</v>
      </c>
      <c r="L138" s="3">
        <f t="shared" si="47"/>
        <v>10000</v>
      </c>
    </row>
    <row r="139" spans="1:12" x14ac:dyDescent="0.25">
      <c r="A139" s="258"/>
      <c r="B139" s="268"/>
      <c r="C139" s="2" t="s">
        <v>27</v>
      </c>
      <c r="D139" s="3">
        <v>255000</v>
      </c>
      <c r="E139" s="3">
        <v>255000</v>
      </c>
      <c r="F139" s="3"/>
      <c r="G139" s="3"/>
      <c r="H139" s="3"/>
      <c r="I139" s="3"/>
      <c r="J139" s="20">
        <f t="shared" si="46"/>
        <v>255000</v>
      </c>
      <c r="K139" s="51">
        <v>50142</v>
      </c>
      <c r="L139" s="3">
        <f t="shared" si="47"/>
        <v>204858</v>
      </c>
    </row>
    <row r="140" spans="1:12" x14ac:dyDescent="0.25">
      <c r="A140" s="258"/>
      <c r="B140" s="268"/>
      <c r="C140" s="2" t="s">
        <v>28</v>
      </c>
      <c r="D140" s="3">
        <v>24000</v>
      </c>
      <c r="E140" s="3">
        <v>24000</v>
      </c>
      <c r="F140" s="3"/>
      <c r="G140" s="3"/>
      <c r="H140" s="3"/>
      <c r="I140" s="3"/>
      <c r="J140" s="20">
        <f t="shared" si="46"/>
        <v>24000</v>
      </c>
      <c r="K140" s="51">
        <v>0</v>
      </c>
      <c r="L140" s="3">
        <f t="shared" si="47"/>
        <v>24000</v>
      </c>
    </row>
    <row r="141" spans="1:12" x14ac:dyDescent="0.25">
      <c r="A141" s="258"/>
      <c r="B141" s="268"/>
      <c r="C141" s="2" t="s">
        <v>29</v>
      </c>
      <c r="D141" s="3">
        <v>0</v>
      </c>
      <c r="E141" s="3">
        <v>48282</v>
      </c>
      <c r="F141" s="3">
        <v>29507</v>
      </c>
      <c r="G141" s="3"/>
      <c r="H141" s="3"/>
      <c r="I141" s="3"/>
      <c r="J141" s="20">
        <f t="shared" si="46"/>
        <v>77789</v>
      </c>
      <c r="K141" s="51">
        <v>77789</v>
      </c>
      <c r="L141" s="3">
        <f t="shared" si="47"/>
        <v>0</v>
      </c>
    </row>
    <row r="142" spans="1:12" x14ac:dyDescent="0.25">
      <c r="A142" s="258"/>
      <c r="B142" s="268"/>
      <c r="C142" s="2" t="s">
        <v>30</v>
      </c>
      <c r="D142" s="3">
        <v>0</v>
      </c>
      <c r="E142" s="3">
        <v>0</v>
      </c>
      <c r="F142" s="3"/>
      <c r="G142" s="3"/>
      <c r="H142" s="3"/>
      <c r="I142" s="3"/>
      <c r="J142" s="20">
        <f t="shared" si="46"/>
        <v>0</v>
      </c>
      <c r="K142" s="51">
        <v>0</v>
      </c>
      <c r="L142" s="3">
        <f t="shared" si="47"/>
        <v>0</v>
      </c>
    </row>
    <row r="143" spans="1:12" x14ac:dyDescent="0.25">
      <c r="A143" s="258"/>
      <c r="B143" s="268"/>
      <c r="C143" s="6" t="s">
        <v>53</v>
      </c>
      <c r="D143" s="7">
        <f>SUM(D136:D142)</f>
        <v>5245797</v>
      </c>
      <c r="E143" s="7">
        <f t="shared" ref="E143:K143" si="48">SUM(E136:E142)</f>
        <v>5245797</v>
      </c>
      <c r="F143" s="7">
        <f t="shared" si="48"/>
        <v>0</v>
      </c>
      <c r="G143" s="7">
        <f t="shared" si="48"/>
        <v>0</v>
      </c>
      <c r="H143" s="7">
        <f t="shared" si="48"/>
        <v>0</v>
      </c>
      <c r="I143" s="7">
        <f t="shared" si="48"/>
        <v>0</v>
      </c>
      <c r="J143" s="7">
        <f t="shared" si="48"/>
        <v>5245797</v>
      </c>
      <c r="K143" s="7">
        <f t="shared" si="48"/>
        <v>1560025</v>
      </c>
      <c r="L143" s="7">
        <f t="shared" ref="L143" si="49">SUM(L136:L142)</f>
        <v>3685772</v>
      </c>
    </row>
    <row r="144" spans="1:12" x14ac:dyDescent="0.25">
      <c r="A144" s="258"/>
      <c r="B144" s="268"/>
      <c r="C144" s="6" t="s">
        <v>31</v>
      </c>
      <c r="D144" s="7">
        <v>1025121</v>
      </c>
      <c r="E144" s="7">
        <v>1025121</v>
      </c>
      <c r="F144" s="7"/>
      <c r="G144" s="7"/>
      <c r="H144" s="7"/>
      <c r="I144" s="7"/>
      <c r="J144" s="21">
        <f t="shared" ref="J144:J152" si="50">E144+F144+G144+H144+I144</f>
        <v>1025121</v>
      </c>
      <c r="K144" s="53">
        <v>317971</v>
      </c>
      <c r="L144" s="8">
        <f t="shared" ref="L144:L152" si="51">J144-K144</f>
        <v>707150</v>
      </c>
    </row>
    <row r="145" spans="1:12" x14ac:dyDescent="0.25">
      <c r="A145" s="258"/>
      <c r="B145" s="268"/>
      <c r="C145" s="2" t="s">
        <v>32</v>
      </c>
      <c r="D145" s="3">
        <v>80000</v>
      </c>
      <c r="E145" s="3">
        <v>80000</v>
      </c>
      <c r="F145" s="3"/>
      <c r="G145" s="3"/>
      <c r="H145" s="3"/>
      <c r="I145" s="3"/>
      <c r="J145" s="20">
        <f t="shared" si="50"/>
        <v>80000</v>
      </c>
      <c r="K145" s="51">
        <v>0</v>
      </c>
      <c r="L145" s="3">
        <f t="shared" si="51"/>
        <v>80000</v>
      </c>
    </row>
    <row r="146" spans="1:12" x14ac:dyDescent="0.25">
      <c r="A146" s="258"/>
      <c r="B146" s="268"/>
      <c r="C146" s="2" t="s">
        <v>33</v>
      </c>
      <c r="D146" s="3">
        <v>110000</v>
      </c>
      <c r="E146" s="3">
        <v>110000</v>
      </c>
      <c r="F146" s="3"/>
      <c r="G146" s="3"/>
      <c r="H146" s="3"/>
      <c r="I146" s="3"/>
      <c r="J146" s="20">
        <f t="shared" si="50"/>
        <v>110000</v>
      </c>
      <c r="K146" s="51">
        <v>0</v>
      </c>
      <c r="L146" s="3">
        <f t="shared" si="51"/>
        <v>110000</v>
      </c>
    </row>
    <row r="147" spans="1:12" x14ac:dyDescent="0.25">
      <c r="A147" s="258"/>
      <c r="B147" s="268"/>
      <c r="C147" s="2" t="s">
        <v>34</v>
      </c>
      <c r="D147" s="3">
        <v>150000</v>
      </c>
      <c r="E147" s="3">
        <v>136000</v>
      </c>
      <c r="F147" s="3"/>
      <c r="G147" s="3"/>
      <c r="H147" s="3"/>
      <c r="I147" s="3"/>
      <c r="J147" s="20">
        <f t="shared" si="50"/>
        <v>136000</v>
      </c>
      <c r="K147" s="51">
        <v>0</v>
      </c>
      <c r="L147" s="3">
        <f t="shared" si="51"/>
        <v>136000</v>
      </c>
    </row>
    <row r="148" spans="1:12" x14ac:dyDescent="0.25">
      <c r="A148" s="258"/>
      <c r="B148" s="268"/>
      <c r="C148" s="2" t="s">
        <v>38</v>
      </c>
      <c r="D148" s="3">
        <v>144000</v>
      </c>
      <c r="E148" s="3">
        <v>144000</v>
      </c>
      <c r="F148" s="3"/>
      <c r="G148" s="3"/>
      <c r="H148" s="3"/>
      <c r="I148" s="3"/>
      <c r="J148" s="20">
        <f t="shared" si="50"/>
        <v>144000</v>
      </c>
      <c r="K148" s="51">
        <v>0</v>
      </c>
      <c r="L148" s="3">
        <f t="shared" si="51"/>
        <v>144000</v>
      </c>
    </row>
    <row r="149" spans="1:12" x14ac:dyDescent="0.25">
      <c r="A149" s="258"/>
      <c r="B149" s="268"/>
      <c r="C149" s="2" t="s">
        <v>40</v>
      </c>
      <c r="D149" s="3">
        <v>16800</v>
      </c>
      <c r="E149" s="3">
        <v>16800</v>
      </c>
      <c r="F149" s="3"/>
      <c r="G149" s="3"/>
      <c r="H149" s="3"/>
      <c r="I149" s="3"/>
      <c r="J149" s="20">
        <f t="shared" si="50"/>
        <v>16800</v>
      </c>
      <c r="K149" s="51">
        <v>0</v>
      </c>
      <c r="L149" s="3">
        <f t="shared" si="51"/>
        <v>16800</v>
      </c>
    </row>
    <row r="150" spans="1:12" x14ac:dyDescent="0.25">
      <c r="A150" s="258"/>
      <c r="B150" s="268"/>
      <c r="C150" s="2" t="s">
        <v>41</v>
      </c>
      <c r="D150" s="3">
        <v>40000</v>
      </c>
      <c r="E150" s="3">
        <v>54000</v>
      </c>
      <c r="F150" s="3"/>
      <c r="G150" s="3"/>
      <c r="H150" s="3"/>
      <c r="I150" s="3"/>
      <c r="J150" s="20">
        <f t="shared" si="50"/>
        <v>54000</v>
      </c>
      <c r="K150" s="51">
        <v>46800</v>
      </c>
      <c r="L150" s="3">
        <f t="shared" si="51"/>
        <v>7200</v>
      </c>
    </row>
    <row r="151" spans="1:12" x14ac:dyDescent="0.25">
      <c r="A151" s="258"/>
      <c r="B151" s="268"/>
      <c r="C151" s="2" t="s">
        <v>42</v>
      </c>
      <c r="D151" s="3">
        <v>150000</v>
      </c>
      <c r="E151" s="3">
        <v>150000</v>
      </c>
      <c r="F151" s="3"/>
      <c r="G151" s="3"/>
      <c r="H151" s="3"/>
      <c r="I151" s="3"/>
      <c r="J151" s="20">
        <f t="shared" si="50"/>
        <v>150000</v>
      </c>
      <c r="K151" s="51">
        <v>42770</v>
      </c>
      <c r="L151" s="3">
        <f t="shared" si="51"/>
        <v>107230</v>
      </c>
    </row>
    <row r="152" spans="1:12" x14ac:dyDescent="0.25">
      <c r="A152" s="258"/>
      <c r="B152" s="268"/>
      <c r="C152" s="2" t="s">
        <v>44</v>
      </c>
      <c r="D152" s="3">
        <v>141480</v>
      </c>
      <c r="E152" s="3">
        <v>141480</v>
      </c>
      <c r="F152" s="3"/>
      <c r="G152" s="3"/>
      <c r="H152" s="3"/>
      <c r="I152" s="3"/>
      <c r="J152" s="20">
        <f t="shared" si="50"/>
        <v>141480</v>
      </c>
      <c r="K152" s="51">
        <v>7236</v>
      </c>
      <c r="L152" s="3">
        <f t="shared" si="51"/>
        <v>134244</v>
      </c>
    </row>
    <row r="153" spans="1:12" x14ac:dyDescent="0.25">
      <c r="A153" s="258"/>
      <c r="B153" s="268"/>
      <c r="C153" s="6" t="s">
        <v>49</v>
      </c>
      <c r="D153" s="7">
        <f>SUM(D145:D152)</f>
        <v>832280</v>
      </c>
      <c r="E153" s="7">
        <f t="shared" ref="E153:K153" si="52">SUM(E145:E152)</f>
        <v>832280</v>
      </c>
      <c r="F153" s="7">
        <f t="shared" si="52"/>
        <v>0</v>
      </c>
      <c r="G153" s="7">
        <f t="shared" si="52"/>
        <v>0</v>
      </c>
      <c r="H153" s="7">
        <f t="shared" si="52"/>
        <v>0</v>
      </c>
      <c r="I153" s="7">
        <f t="shared" si="52"/>
        <v>0</v>
      </c>
      <c r="J153" s="7">
        <f t="shared" si="52"/>
        <v>832280</v>
      </c>
      <c r="K153" s="7">
        <f t="shared" si="52"/>
        <v>96806</v>
      </c>
      <c r="L153" s="7">
        <f t="shared" ref="L153" si="53">SUM(L145:L152)</f>
        <v>735474</v>
      </c>
    </row>
    <row r="154" spans="1:12" x14ac:dyDescent="0.25">
      <c r="A154" s="255" t="s">
        <v>66</v>
      </c>
      <c r="B154" s="252" t="s">
        <v>23</v>
      </c>
      <c r="C154" s="15" t="s">
        <v>24</v>
      </c>
      <c r="D154" s="24">
        <v>832628</v>
      </c>
      <c r="E154" s="24">
        <v>832628</v>
      </c>
      <c r="F154" s="11"/>
      <c r="G154" s="11"/>
      <c r="H154" s="11"/>
      <c r="I154" s="11"/>
      <c r="J154" s="20">
        <f t="shared" ref="J154:J155" si="54">E154+F154+G154+H154+I154</f>
        <v>832628</v>
      </c>
      <c r="K154" s="51">
        <v>265878</v>
      </c>
      <c r="L154" s="3">
        <f t="shared" ref="L154:L155" si="55">J154-K154</f>
        <v>566750</v>
      </c>
    </row>
    <row r="155" spans="1:12" x14ac:dyDescent="0.25">
      <c r="A155" s="257"/>
      <c r="B155" s="254"/>
      <c r="C155" s="15" t="s">
        <v>31</v>
      </c>
      <c r="D155" s="24">
        <v>155410</v>
      </c>
      <c r="E155" s="24">
        <v>155410</v>
      </c>
      <c r="F155" s="11"/>
      <c r="G155" s="11"/>
      <c r="H155" s="11"/>
      <c r="I155" s="11"/>
      <c r="J155" s="20">
        <f t="shared" si="54"/>
        <v>155410</v>
      </c>
      <c r="K155" s="51">
        <v>51845</v>
      </c>
      <c r="L155" s="3">
        <f t="shared" si="55"/>
        <v>103565</v>
      </c>
    </row>
    <row r="156" spans="1:12" x14ac:dyDescent="0.25">
      <c r="A156" s="264" t="s">
        <v>79</v>
      </c>
      <c r="B156" s="265"/>
      <c r="C156" s="266"/>
      <c r="D156" s="22">
        <f>SUM(D143+D144+D153+D154+D155)</f>
        <v>8091236</v>
      </c>
      <c r="E156" s="22">
        <f t="shared" ref="E156:K156" si="56">SUM(E143+E144+E153+E154+E155)</f>
        <v>8091236</v>
      </c>
      <c r="F156" s="22">
        <f t="shared" si="56"/>
        <v>0</v>
      </c>
      <c r="G156" s="22">
        <f t="shared" si="56"/>
        <v>0</v>
      </c>
      <c r="H156" s="22">
        <f t="shared" si="56"/>
        <v>0</v>
      </c>
      <c r="I156" s="22">
        <f t="shared" si="56"/>
        <v>0</v>
      </c>
      <c r="J156" s="22">
        <f t="shared" si="56"/>
        <v>8091236</v>
      </c>
      <c r="K156" s="22">
        <f t="shared" si="56"/>
        <v>2292525</v>
      </c>
      <c r="L156" s="22">
        <f t="shared" ref="L156" si="57">SUM(L143+L144+L153+L154+L155)</f>
        <v>5798711</v>
      </c>
    </row>
    <row r="157" spans="1:12" x14ac:dyDescent="0.25">
      <c r="A157" s="258" t="s">
        <v>55</v>
      </c>
      <c r="B157" s="268" t="s">
        <v>23</v>
      </c>
      <c r="C157" s="10" t="s">
        <v>24</v>
      </c>
      <c r="D157" s="24">
        <v>5055869</v>
      </c>
      <c r="E157" s="24">
        <v>5055869</v>
      </c>
      <c r="F157" s="11"/>
      <c r="G157" s="11"/>
      <c r="H157" s="11"/>
      <c r="I157" s="11"/>
      <c r="J157" s="20">
        <f t="shared" ref="J157:J162" si="58">E157+F157+G157+H157+I157</f>
        <v>5055869</v>
      </c>
      <c r="K157" s="51">
        <v>1610997</v>
      </c>
      <c r="L157" s="3">
        <f t="shared" ref="L157:L162" si="59">J157-K157</f>
        <v>3444872</v>
      </c>
    </row>
    <row r="158" spans="1:12" x14ac:dyDescent="0.25">
      <c r="A158" s="258"/>
      <c r="B158" s="268"/>
      <c r="C158" s="10" t="s">
        <v>25</v>
      </c>
      <c r="D158" s="24">
        <v>425000</v>
      </c>
      <c r="E158" s="24">
        <v>425000</v>
      </c>
      <c r="F158" s="11"/>
      <c r="G158" s="11"/>
      <c r="H158" s="11"/>
      <c r="I158" s="11"/>
      <c r="J158" s="20">
        <f t="shared" si="58"/>
        <v>425000</v>
      </c>
      <c r="K158" s="51">
        <v>112500</v>
      </c>
      <c r="L158" s="3">
        <f t="shared" si="59"/>
        <v>312500</v>
      </c>
    </row>
    <row r="159" spans="1:12" x14ac:dyDescent="0.25">
      <c r="A159" s="258"/>
      <c r="B159" s="268"/>
      <c r="C159" s="10" t="s">
        <v>26</v>
      </c>
      <c r="D159" s="24">
        <v>10000</v>
      </c>
      <c r="E159" s="24">
        <v>10000</v>
      </c>
      <c r="F159" s="11"/>
      <c r="G159" s="11"/>
      <c r="H159" s="11"/>
      <c r="I159" s="11"/>
      <c r="J159" s="20">
        <f t="shared" si="58"/>
        <v>10000</v>
      </c>
      <c r="K159" s="51">
        <v>0</v>
      </c>
      <c r="L159" s="3">
        <f t="shared" si="59"/>
        <v>10000</v>
      </c>
    </row>
    <row r="160" spans="1:12" x14ac:dyDescent="0.25">
      <c r="A160" s="258"/>
      <c r="B160" s="268"/>
      <c r="C160" s="10" t="s">
        <v>28</v>
      </c>
      <c r="D160" s="24">
        <v>24000</v>
      </c>
      <c r="E160" s="24">
        <v>24000</v>
      </c>
      <c r="F160" s="11"/>
      <c r="G160" s="11"/>
      <c r="H160" s="11"/>
      <c r="I160" s="11"/>
      <c r="J160" s="20">
        <f t="shared" si="58"/>
        <v>24000</v>
      </c>
      <c r="K160" s="51">
        <v>0</v>
      </c>
      <c r="L160" s="3">
        <f t="shared" si="59"/>
        <v>24000</v>
      </c>
    </row>
    <row r="161" spans="1:12" x14ac:dyDescent="0.25">
      <c r="A161" s="258"/>
      <c r="B161" s="268"/>
      <c r="C161" s="10" t="s">
        <v>29</v>
      </c>
      <c r="D161" s="24">
        <v>75000</v>
      </c>
      <c r="E161" s="24">
        <v>75000</v>
      </c>
      <c r="F161" s="11"/>
      <c r="G161" s="11"/>
      <c r="H161" s="11"/>
      <c r="I161" s="11"/>
      <c r="J161" s="20">
        <f t="shared" si="58"/>
        <v>75000</v>
      </c>
      <c r="K161" s="51">
        <v>0</v>
      </c>
      <c r="L161" s="3">
        <f t="shared" si="59"/>
        <v>75000</v>
      </c>
    </row>
    <row r="162" spans="1:12" x14ac:dyDescent="0.25">
      <c r="A162" s="258"/>
      <c r="B162" s="268"/>
      <c r="C162" s="10" t="s">
        <v>30</v>
      </c>
      <c r="D162" s="24">
        <v>0</v>
      </c>
      <c r="E162" s="24">
        <v>0</v>
      </c>
      <c r="F162" s="11"/>
      <c r="G162" s="11"/>
      <c r="H162" s="11"/>
      <c r="I162" s="11"/>
      <c r="J162" s="20">
        <f t="shared" si="58"/>
        <v>0</v>
      </c>
      <c r="K162" s="51">
        <v>0</v>
      </c>
      <c r="L162" s="3">
        <f t="shared" si="59"/>
        <v>0</v>
      </c>
    </row>
    <row r="163" spans="1:12" x14ac:dyDescent="0.25">
      <c r="A163" s="258"/>
      <c r="B163" s="268"/>
      <c r="C163" s="6" t="s">
        <v>53</v>
      </c>
      <c r="D163" s="7">
        <f>SUM(D157:D162)</f>
        <v>5589869</v>
      </c>
      <c r="E163" s="7">
        <f t="shared" ref="E163:K163" si="60">SUM(E157:E162)</f>
        <v>5589869</v>
      </c>
      <c r="F163" s="7">
        <f t="shared" si="60"/>
        <v>0</v>
      </c>
      <c r="G163" s="7">
        <f t="shared" si="60"/>
        <v>0</v>
      </c>
      <c r="H163" s="7">
        <f t="shared" si="60"/>
        <v>0</v>
      </c>
      <c r="I163" s="7">
        <f t="shared" si="60"/>
        <v>0</v>
      </c>
      <c r="J163" s="7">
        <f t="shared" si="60"/>
        <v>5589869</v>
      </c>
      <c r="K163" s="7">
        <f t="shared" si="60"/>
        <v>1723497</v>
      </c>
      <c r="L163" s="7">
        <f t="shared" ref="L163" si="61">SUM(L157:L162)</f>
        <v>3866372</v>
      </c>
    </row>
    <row r="164" spans="1:12" x14ac:dyDescent="0.25">
      <c r="A164" s="258"/>
      <c r="B164" s="268"/>
      <c r="C164" s="6" t="s">
        <v>31</v>
      </c>
      <c r="D164" s="7">
        <v>1124913</v>
      </c>
      <c r="E164" s="7">
        <v>1124913</v>
      </c>
      <c r="F164" s="7"/>
      <c r="G164" s="7"/>
      <c r="H164" s="7"/>
      <c r="I164" s="7"/>
      <c r="J164" s="21">
        <f t="shared" ref="J164:J173" si="62">E164+F164+G164+H164+I164</f>
        <v>1124913</v>
      </c>
      <c r="K164" s="53">
        <v>359623</v>
      </c>
      <c r="L164" s="8">
        <f t="shared" ref="L164:L173" si="63">J164-K164</f>
        <v>765290</v>
      </c>
    </row>
    <row r="165" spans="1:12" x14ac:dyDescent="0.25">
      <c r="A165" s="258"/>
      <c r="B165" s="268"/>
      <c r="C165" s="10" t="s">
        <v>32</v>
      </c>
      <c r="D165" s="24">
        <v>100000</v>
      </c>
      <c r="E165" s="24">
        <v>100000</v>
      </c>
      <c r="F165" s="11"/>
      <c r="G165" s="11"/>
      <c r="H165" s="11"/>
      <c r="I165" s="11"/>
      <c r="J165" s="20">
        <f t="shared" si="62"/>
        <v>100000</v>
      </c>
      <c r="K165" s="51">
        <v>0</v>
      </c>
      <c r="L165" s="3">
        <f t="shared" si="63"/>
        <v>100000</v>
      </c>
    </row>
    <row r="166" spans="1:12" x14ac:dyDescent="0.25">
      <c r="A166" s="258"/>
      <c r="B166" s="268"/>
      <c r="C166" s="10" t="s">
        <v>33</v>
      </c>
      <c r="D166" s="24">
        <v>100000</v>
      </c>
      <c r="E166" s="24">
        <v>100000</v>
      </c>
      <c r="F166" s="11"/>
      <c r="G166" s="11"/>
      <c r="H166" s="11"/>
      <c r="I166" s="11"/>
      <c r="J166" s="20">
        <f t="shared" si="62"/>
        <v>100000</v>
      </c>
      <c r="K166" s="51">
        <v>0</v>
      </c>
      <c r="L166" s="3">
        <f t="shared" si="63"/>
        <v>100000</v>
      </c>
    </row>
    <row r="167" spans="1:12" x14ac:dyDescent="0.25">
      <c r="A167" s="258"/>
      <c r="B167" s="268"/>
      <c r="C167" s="10" t="s">
        <v>34</v>
      </c>
      <c r="D167" s="24">
        <v>100000</v>
      </c>
      <c r="E167" s="24">
        <v>100000</v>
      </c>
      <c r="F167" s="11"/>
      <c r="G167" s="11"/>
      <c r="H167" s="11"/>
      <c r="I167" s="11"/>
      <c r="J167" s="20">
        <f t="shared" si="62"/>
        <v>100000</v>
      </c>
      <c r="K167" s="51">
        <v>0</v>
      </c>
      <c r="L167" s="3">
        <f t="shared" si="63"/>
        <v>100000</v>
      </c>
    </row>
    <row r="168" spans="1:12" x14ac:dyDescent="0.25">
      <c r="A168" s="258"/>
      <c r="B168" s="268"/>
      <c r="C168" s="10" t="s">
        <v>35</v>
      </c>
      <c r="D168" s="24">
        <v>50000</v>
      </c>
      <c r="E168" s="24">
        <v>50000</v>
      </c>
      <c r="F168" s="11"/>
      <c r="G168" s="11"/>
      <c r="H168" s="11"/>
      <c r="I168" s="11"/>
      <c r="J168" s="20">
        <f t="shared" si="62"/>
        <v>50000</v>
      </c>
      <c r="K168" s="51">
        <v>0</v>
      </c>
      <c r="L168" s="3">
        <f t="shared" si="63"/>
        <v>50000</v>
      </c>
    </row>
    <row r="169" spans="1:12" x14ac:dyDescent="0.25">
      <c r="A169" s="258"/>
      <c r="B169" s="268"/>
      <c r="C169" s="10" t="s">
        <v>38</v>
      </c>
      <c r="D169" s="24">
        <v>140000</v>
      </c>
      <c r="E169" s="24">
        <v>140000</v>
      </c>
      <c r="F169" s="11"/>
      <c r="G169" s="11"/>
      <c r="H169" s="11"/>
      <c r="I169" s="11"/>
      <c r="J169" s="20">
        <f t="shared" si="62"/>
        <v>140000</v>
      </c>
      <c r="K169" s="51">
        <v>13994</v>
      </c>
      <c r="L169" s="3">
        <f t="shared" si="63"/>
        <v>126006</v>
      </c>
    </row>
    <row r="170" spans="1:12" x14ac:dyDescent="0.25">
      <c r="A170" s="258"/>
      <c r="B170" s="268"/>
      <c r="C170" s="10" t="s">
        <v>40</v>
      </c>
      <c r="D170" s="24">
        <v>15000</v>
      </c>
      <c r="E170" s="24">
        <v>15000</v>
      </c>
      <c r="F170" s="11"/>
      <c r="G170" s="11"/>
      <c r="H170" s="11"/>
      <c r="I170" s="11"/>
      <c r="J170" s="20">
        <f t="shared" si="62"/>
        <v>15000</v>
      </c>
      <c r="K170" s="51">
        <v>0</v>
      </c>
      <c r="L170" s="3">
        <f t="shared" si="63"/>
        <v>15000</v>
      </c>
    </row>
    <row r="171" spans="1:12" x14ac:dyDescent="0.25">
      <c r="A171" s="258"/>
      <c r="B171" s="268"/>
      <c r="C171" s="10" t="s">
        <v>41</v>
      </c>
      <c r="D171" s="24">
        <v>80000</v>
      </c>
      <c r="E171" s="24">
        <v>80000</v>
      </c>
      <c r="F171" s="11"/>
      <c r="G171" s="11"/>
      <c r="H171" s="11"/>
      <c r="I171" s="11"/>
      <c r="J171" s="20">
        <f t="shared" si="62"/>
        <v>80000</v>
      </c>
      <c r="K171" s="51">
        <v>26800</v>
      </c>
      <c r="L171" s="3">
        <f t="shared" si="63"/>
        <v>53200</v>
      </c>
    </row>
    <row r="172" spans="1:12" x14ac:dyDescent="0.25">
      <c r="A172" s="258"/>
      <c r="B172" s="268"/>
      <c r="C172" s="10" t="s">
        <v>42</v>
      </c>
      <c r="D172" s="24">
        <v>240000</v>
      </c>
      <c r="E172" s="24">
        <v>240000</v>
      </c>
      <c r="F172" s="11"/>
      <c r="G172" s="11"/>
      <c r="H172" s="11"/>
      <c r="I172" s="11"/>
      <c r="J172" s="20">
        <f t="shared" si="62"/>
        <v>240000</v>
      </c>
      <c r="K172" s="51">
        <v>88955</v>
      </c>
      <c r="L172" s="3">
        <f t="shared" si="63"/>
        <v>151045</v>
      </c>
    </row>
    <row r="173" spans="1:12" x14ac:dyDescent="0.25">
      <c r="A173" s="258"/>
      <c r="B173" s="268"/>
      <c r="C173" s="10" t="s">
        <v>44</v>
      </c>
      <c r="D173" s="24">
        <v>142900</v>
      </c>
      <c r="E173" s="24">
        <v>142900</v>
      </c>
      <c r="F173" s="11"/>
      <c r="G173" s="11"/>
      <c r="H173" s="11"/>
      <c r="I173" s="11"/>
      <c r="J173" s="20">
        <f t="shared" si="62"/>
        <v>142900</v>
      </c>
      <c r="K173" s="51">
        <v>11014</v>
      </c>
      <c r="L173" s="3">
        <f t="shared" si="63"/>
        <v>131886</v>
      </c>
    </row>
    <row r="174" spans="1:12" x14ac:dyDescent="0.25">
      <c r="A174" s="258"/>
      <c r="B174" s="268"/>
      <c r="C174" s="6" t="s">
        <v>49</v>
      </c>
      <c r="D174" s="7">
        <f>SUM(D165:D173)</f>
        <v>967900</v>
      </c>
      <c r="E174" s="7">
        <f t="shared" ref="E174:K174" si="64">SUM(E165:E173)</f>
        <v>967900</v>
      </c>
      <c r="F174" s="7">
        <f t="shared" si="64"/>
        <v>0</v>
      </c>
      <c r="G174" s="7">
        <f t="shared" si="64"/>
        <v>0</v>
      </c>
      <c r="H174" s="7">
        <f t="shared" si="64"/>
        <v>0</v>
      </c>
      <c r="I174" s="7">
        <f t="shared" si="64"/>
        <v>0</v>
      </c>
      <c r="J174" s="7">
        <f t="shared" si="64"/>
        <v>967900</v>
      </c>
      <c r="K174" s="7">
        <f t="shared" si="64"/>
        <v>140763</v>
      </c>
      <c r="L174" s="7">
        <f t="shared" ref="L174" si="65">SUM(L165:L173)</f>
        <v>827137</v>
      </c>
    </row>
    <row r="175" spans="1:12" x14ac:dyDescent="0.25">
      <c r="A175" s="255" t="s">
        <v>67</v>
      </c>
      <c r="B175" s="252" t="s">
        <v>23</v>
      </c>
      <c r="C175" s="25" t="s">
        <v>29</v>
      </c>
      <c r="D175" s="24">
        <v>157200</v>
      </c>
      <c r="E175" s="24">
        <v>157200</v>
      </c>
      <c r="F175" s="11"/>
      <c r="G175" s="11"/>
      <c r="H175" s="11"/>
      <c r="I175" s="11"/>
      <c r="J175" s="20">
        <f t="shared" ref="J175:J190" si="66">E175+F175+G175+H175+I175</f>
        <v>157200</v>
      </c>
      <c r="K175" s="51">
        <v>29000</v>
      </c>
      <c r="L175" s="3">
        <f t="shared" ref="L175:L190" si="67">J175-K175</f>
        <v>128200</v>
      </c>
    </row>
    <row r="176" spans="1:12" x14ac:dyDescent="0.25">
      <c r="A176" s="257"/>
      <c r="B176" s="254"/>
      <c r="C176" s="25" t="s">
        <v>31</v>
      </c>
      <c r="D176" s="24">
        <v>29213</v>
      </c>
      <c r="E176" s="24">
        <v>29213</v>
      </c>
      <c r="F176" s="11"/>
      <c r="G176" s="11"/>
      <c r="H176" s="11"/>
      <c r="I176" s="11"/>
      <c r="J176" s="20">
        <f t="shared" si="66"/>
        <v>29213</v>
      </c>
      <c r="K176" s="51">
        <v>5655</v>
      </c>
      <c r="L176" s="3">
        <f t="shared" si="67"/>
        <v>23558</v>
      </c>
    </row>
    <row r="177" spans="1:12" x14ac:dyDescent="0.25">
      <c r="A177" s="255" t="s">
        <v>75</v>
      </c>
      <c r="B177" s="252" t="s">
        <v>23</v>
      </c>
      <c r="C177" s="15" t="s">
        <v>24</v>
      </c>
      <c r="D177" s="24">
        <v>1604509</v>
      </c>
      <c r="E177" s="24">
        <v>1604509</v>
      </c>
      <c r="F177" s="11"/>
      <c r="G177" s="11"/>
      <c r="H177" s="11"/>
      <c r="I177" s="11"/>
      <c r="J177" s="20">
        <f t="shared" si="66"/>
        <v>1604509</v>
      </c>
      <c r="K177" s="51">
        <v>544226</v>
      </c>
      <c r="L177" s="3">
        <f t="shared" si="67"/>
        <v>1060283</v>
      </c>
    </row>
    <row r="178" spans="1:12" x14ac:dyDescent="0.25">
      <c r="A178" s="257"/>
      <c r="B178" s="254"/>
      <c r="C178" s="15" t="s">
        <v>31</v>
      </c>
      <c r="D178" s="24">
        <v>299119</v>
      </c>
      <c r="E178" s="24">
        <v>299119</v>
      </c>
      <c r="F178" s="11"/>
      <c r="G178" s="11"/>
      <c r="H178" s="11"/>
      <c r="I178" s="11"/>
      <c r="J178" s="20">
        <f t="shared" si="66"/>
        <v>299119</v>
      </c>
      <c r="K178" s="51">
        <v>106125</v>
      </c>
      <c r="L178" s="3">
        <f t="shared" si="67"/>
        <v>192994</v>
      </c>
    </row>
    <row r="179" spans="1:12" x14ac:dyDescent="0.25">
      <c r="A179" s="282" t="s">
        <v>80</v>
      </c>
      <c r="B179" s="282"/>
      <c r="C179" s="282"/>
      <c r="D179" s="42">
        <f>SUM(D163+D164+D174+D175+D176+D177+D178)</f>
        <v>9772723</v>
      </c>
      <c r="E179" s="42">
        <f t="shared" ref="E179:K179" si="68">SUM(E163+E164+E174+E175+E176+E177+E178)</f>
        <v>9772723</v>
      </c>
      <c r="F179" s="42">
        <f t="shared" si="68"/>
        <v>0</v>
      </c>
      <c r="G179" s="42">
        <f t="shared" si="68"/>
        <v>0</v>
      </c>
      <c r="H179" s="42">
        <f t="shared" si="68"/>
        <v>0</v>
      </c>
      <c r="I179" s="42">
        <f t="shared" si="68"/>
        <v>0</v>
      </c>
      <c r="J179" s="42">
        <f t="shared" si="68"/>
        <v>9772723</v>
      </c>
      <c r="K179" s="42">
        <f t="shared" si="68"/>
        <v>2908889</v>
      </c>
      <c r="L179" s="42">
        <f t="shared" ref="L179" si="69">SUM(L163+L164+L174+L175+L176+L177+L178)</f>
        <v>6863834</v>
      </c>
    </row>
    <row r="180" spans="1:12" x14ac:dyDescent="0.25">
      <c r="A180" s="258" t="s">
        <v>15</v>
      </c>
      <c r="B180" s="252" t="s">
        <v>23</v>
      </c>
      <c r="C180" s="43" t="s">
        <v>24</v>
      </c>
      <c r="D180" s="44">
        <v>11144060</v>
      </c>
      <c r="E180" s="44">
        <v>11144060</v>
      </c>
      <c r="F180" s="44"/>
      <c r="G180" s="44"/>
      <c r="H180" s="44"/>
      <c r="I180" s="44"/>
      <c r="J180" s="20">
        <f t="shared" si="66"/>
        <v>11144060</v>
      </c>
      <c r="K180" s="56">
        <v>765500</v>
      </c>
      <c r="L180" s="3">
        <f t="shared" si="67"/>
        <v>10378560</v>
      </c>
    </row>
    <row r="181" spans="1:12" x14ac:dyDescent="0.25">
      <c r="A181" s="258"/>
      <c r="B181" s="253"/>
      <c r="C181" s="6" t="s">
        <v>53</v>
      </c>
      <c r="D181" s="7">
        <f>D180</f>
        <v>11144060</v>
      </c>
      <c r="E181" s="7">
        <f t="shared" ref="E181:K181" si="70">E180</f>
        <v>11144060</v>
      </c>
      <c r="F181" s="7">
        <f t="shared" si="70"/>
        <v>0</v>
      </c>
      <c r="G181" s="7">
        <f t="shared" si="70"/>
        <v>0</v>
      </c>
      <c r="H181" s="7">
        <f t="shared" si="70"/>
        <v>0</v>
      </c>
      <c r="I181" s="7">
        <f t="shared" si="70"/>
        <v>0</v>
      </c>
      <c r="J181" s="7">
        <f t="shared" si="70"/>
        <v>11144060</v>
      </c>
      <c r="K181" s="7">
        <f t="shared" si="70"/>
        <v>765500</v>
      </c>
      <c r="L181" s="8">
        <f t="shared" si="67"/>
        <v>10378560</v>
      </c>
    </row>
    <row r="182" spans="1:12" x14ac:dyDescent="0.25">
      <c r="A182" s="258"/>
      <c r="B182" s="253"/>
      <c r="C182" s="6" t="s">
        <v>31</v>
      </c>
      <c r="D182" s="7">
        <v>2295657</v>
      </c>
      <c r="E182" s="7">
        <v>2295657</v>
      </c>
      <c r="F182" s="7"/>
      <c r="G182" s="7"/>
      <c r="H182" s="7"/>
      <c r="I182" s="7"/>
      <c r="J182" s="8">
        <f t="shared" si="66"/>
        <v>2295657</v>
      </c>
      <c r="K182" s="53">
        <v>149273</v>
      </c>
      <c r="L182" s="8">
        <f t="shared" si="67"/>
        <v>2146384</v>
      </c>
    </row>
    <row r="183" spans="1:12" x14ac:dyDescent="0.25">
      <c r="A183" s="258"/>
      <c r="B183" s="253"/>
      <c r="C183" s="10" t="s">
        <v>33</v>
      </c>
      <c r="D183" s="3">
        <v>90000</v>
      </c>
      <c r="E183" s="3">
        <v>90000</v>
      </c>
      <c r="F183" s="3"/>
      <c r="G183" s="3"/>
      <c r="H183" s="3"/>
      <c r="I183" s="3"/>
      <c r="J183" s="3">
        <f t="shared" si="66"/>
        <v>90000</v>
      </c>
      <c r="K183" s="51">
        <v>0</v>
      </c>
      <c r="L183" s="3">
        <f t="shared" si="67"/>
        <v>90000</v>
      </c>
    </row>
    <row r="184" spans="1:12" x14ac:dyDescent="0.25">
      <c r="A184" s="258"/>
      <c r="B184" s="253"/>
      <c r="C184" s="10" t="s">
        <v>37</v>
      </c>
      <c r="D184" s="3">
        <v>230000</v>
      </c>
      <c r="E184" s="3">
        <v>230000</v>
      </c>
      <c r="F184" s="3"/>
      <c r="G184" s="3"/>
      <c r="H184" s="3"/>
      <c r="I184" s="3"/>
      <c r="J184" s="3">
        <f t="shared" si="66"/>
        <v>230000</v>
      </c>
      <c r="K184" s="51">
        <v>0</v>
      </c>
      <c r="L184" s="3">
        <f t="shared" si="67"/>
        <v>230000</v>
      </c>
    </row>
    <row r="185" spans="1:12" x14ac:dyDescent="0.25">
      <c r="A185" s="258"/>
      <c r="B185" s="253"/>
      <c r="C185" s="10" t="s">
        <v>40</v>
      </c>
      <c r="D185" s="3">
        <v>14850000</v>
      </c>
      <c r="E185" s="3">
        <v>14850000</v>
      </c>
      <c r="F185" s="3"/>
      <c r="G185" s="3"/>
      <c r="H185" s="3"/>
      <c r="I185" s="3"/>
      <c r="J185" s="3">
        <f t="shared" si="66"/>
        <v>14850000</v>
      </c>
      <c r="K185" s="51">
        <v>5250000</v>
      </c>
      <c r="L185" s="3">
        <f t="shared" si="67"/>
        <v>9600000</v>
      </c>
    </row>
    <row r="186" spans="1:12" x14ac:dyDescent="0.25">
      <c r="A186" s="258"/>
      <c r="B186" s="253"/>
      <c r="C186" s="10" t="s">
        <v>41</v>
      </c>
      <c r="D186" s="3">
        <v>25112271</v>
      </c>
      <c r="E186" s="3">
        <v>25112271</v>
      </c>
      <c r="F186" s="3"/>
      <c r="G186" s="3"/>
      <c r="H186" s="3"/>
      <c r="I186" s="3"/>
      <c r="J186" s="3">
        <f t="shared" si="66"/>
        <v>25112271</v>
      </c>
      <c r="K186" s="51">
        <v>0</v>
      </c>
      <c r="L186" s="3">
        <f t="shared" si="67"/>
        <v>25112271</v>
      </c>
    </row>
    <row r="187" spans="1:12" x14ac:dyDescent="0.25">
      <c r="A187" s="258"/>
      <c r="B187" s="253"/>
      <c r="C187" s="10" t="s">
        <v>42</v>
      </c>
      <c r="D187" s="3">
        <v>230000</v>
      </c>
      <c r="E187" s="3">
        <v>230000</v>
      </c>
      <c r="F187" s="3"/>
      <c r="G187" s="3"/>
      <c r="H187" s="3"/>
      <c r="I187" s="3"/>
      <c r="J187" s="3">
        <f t="shared" si="66"/>
        <v>230000</v>
      </c>
      <c r="K187" s="51">
        <v>0</v>
      </c>
      <c r="L187" s="3">
        <f t="shared" si="67"/>
        <v>230000</v>
      </c>
    </row>
    <row r="188" spans="1:12" x14ac:dyDescent="0.25">
      <c r="A188" s="258"/>
      <c r="B188" s="253"/>
      <c r="C188" s="10" t="s">
        <v>43</v>
      </c>
      <c r="D188" s="3">
        <v>230000</v>
      </c>
      <c r="E188" s="3">
        <v>230000</v>
      </c>
      <c r="F188" s="3"/>
      <c r="G188" s="3"/>
      <c r="H188" s="3"/>
      <c r="I188" s="3"/>
      <c r="J188" s="3">
        <f t="shared" si="66"/>
        <v>230000</v>
      </c>
      <c r="K188" s="51">
        <v>0</v>
      </c>
      <c r="L188" s="3">
        <f t="shared" si="67"/>
        <v>230000</v>
      </c>
    </row>
    <row r="189" spans="1:12" x14ac:dyDescent="0.25">
      <c r="A189" s="258"/>
      <c r="B189" s="253"/>
      <c r="C189" s="10" t="s">
        <v>44</v>
      </c>
      <c r="D189" s="3">
        <v>5677830</v>
      </c>
      <c r="E189" s="3">
        <v>5677830</v>
      </c>
      <c r="F189" s="3"/>
      <c r="G189" s="3"/>
      <c r="H189" s="3"/>
      <c r="I189" s="3"/>
      <c r="J189" s="3">
        <f t="shared" si="66"/>
        <v>5677830</v>
      </c>
      <c r="K189" s="51">
        <v>1417500</v>
      </c>
      <c r="L189" s="3">
        <f t="shared" si="67"/>
        <v>4260330</v>
      </c>
    </row>
    <row r="190" spans="1:12" x14ac:dyDescent="0.25">
      <c r="A190" s="258"/>
      <c r="B190" s="253"/>
      <c r="C190" s="10" t="s">
        <v>45</v>
      </c>
      <c r="D190" s="3">
        <v>229990</v>
      </c>
      <c r="E190" s="3">
        <v>229990</v>
      </c>
      <c r="F190" s="3"/>
      <c r="G190" s="3"/>
      <c r="H190" s="3"/>
      <c r="I190" s="3"/>
      <c r="J190" s="3">
        <f t="shared" si="66"/>
        <v>229990</v>
      </c>
      <c r="K190" s="51">
        <v>0</v>
      </c>
      <c r="L190" s="3">
        <f t="shared" si="67"/>
        <v>229990</v>
      </c>
    </row>
    <row r="191" spans="1:12" x14ac:dyDescent="0.25">
      <c r="A191" s="258"/>
      <c r="B191" s="253"/>
      <c r="C191" s="6" t="s">
        <v>49</v>
      </c>
      <c r="D191" s="7">
        <f>SUM(D183:D190)</f>
        <v>46650091</v>
      </c>
      <c r="E191" s="7">
        <f t="shared" ref="E191:K191" si="71">SUM(E183:E190)</f>
        <v>46650091</v>
      </c>
      <c r="F191" s="7">
        <f t="shared" si="71"/>
        <v>0</v>
      </c>
      <c r="G191" s="7">
        <f t="shared" si="71"/>
        <v>0</v>
      </c>
      <c r="H191" s="7">
        <f t="shared" si="71"/>
        <v>0</v>
      </c>
      <c r="I191" s="7">
        <f t="shared" si="71"/>
        <v>0</v>
      </c>
      <c r="J191" s="7">
        <f t="shared" si="71"/>
        <v>46650091</v>
      </c>
      <c r="K191" s="7">
        <f t="shared" si="71"/>
        <v>6667500</v>
      </c>
      <c r="L191" s="7">
        <f t="shared" ref="L191" si="72">SUM(L183:L190)</f>
        <v>39982591</v>
      </c>
    </row>
    <row r="192" spans="1:12" x14ac:dyDescent="0.25">
      <c r="A192" s="258"/>
      <c r="B192" s="253"/>
      <c r="C192" s="10" t="s">
        <v>56</v>
      </c>
      <c r="D192" s="3">
        <v>0</v>
      </c>
      <c r="E192" s="3">
        <v>0</v>
      </c>
      <c r="F192" s="3"/>
      <c r="G192" s="3"/>
      <c r="H192" s="3"/>
      <c r="I192" s="3"/>
      <c r="J192" s="3">
        <f t="shared" ref="J192:J194" si="73">E192+F192+G192+H192+I192</f>
        <v>0</v>
      </c>
      <c r="K192" s="51">
        <v>0</v>
      </c>
      <c r="L192" s="3">
        <f t="shared" ref="L192:L194" si="74">J192-K192</f>
        <v>0</v>
      </c>
    </row>
    <row r="193" spans="1:12" x14ac:dyDescent="0.25">
      <c r="A193" s="258"/>
      <c r="B193" s="253"/>
      <c r="C193" s="10" t="s">
        <v>50</v>
      </c>
      <c r="D193" s="3">
        <v>3740</v>
      </c>
      <c r="E193" s="3">
        <v>3740</v>
      </c>
      <c r="F193" s="3"/>
      <c r="G193" s="3"/>
      <c r="H193" s="3"/>
      <c r="I193" s="3"/>
      <c r="J193" s="3">
        <f t="shared" si="73"/>
        <v>3740</v>
      </c>
      <c r="K193" s="51">
        <v>0</v>
      </c>
      <c r="L193" s="3">
        <f t="shared" si="74"/>
        <v>3740</v>
      </c>
    </row>
    <row r="194" spans="1:12" x14ac:dyDescent="0.25">
      <c r="A194" s="258"/>
      <c r="B194" s="253"/>
      <c r="C194" s="10" t="s">
        <v>51</v>
      </c>
      <c r="D194" s="3">
        <v>1010</v>
      </c>
      <c r="E194" s="3">
        <v>1010</v>
      </c>
      <c r="F194" s="3"/>
      <c r="G194" s="3"/>
      <c r="H194" s="3"/>
      <c r="I194" s="3"/>
      <c r="J194" s="3">
        <f t="shared" si="73"/>
        <v>1010</v>
      </c>
      <c r="K194" s="51">
        <v>0</v>
      </c>
      <c r="L194" s="3">
        <f t="shared" si="74"/>
        <v>1010</v>
      </c>
    </row>
    <row r="195" spans="1:12" x14ac:dyDescent="0.25">
      <c r="A195" s="258"/>
      <c r="B195" s="253"/>
      <c r="C195" s="6" t="s">
        <v>52</v>
      </c>
      <c r="D195" s="7">
        <f>SUM(D192:D194)</f>
        <v>4750</v>
      </c>
      <c r="E195" s="7">
        <f t="shared" ref="E195:K195" si="75">SUM(E192:E194)</f>
        <v>4750</v>
      </c>
      <c r="F195" s="7">
        <f t="shared" si="75"/>
        <v>0</v>
      </c>
      <c r="G195" s="7">
        <f t="shared" si="75"/>
        <v>0</v>
      </c>
      <c r="H195" s="7">
        <f t="shared" si="75"/>
        <v>0</v>
      </c>
      <c r="I195" s="7">
        <f t="shared" si="75"/>
        <v>0</v>
      </c>
      <c r="J195" s="7">
        <f t="shared" si="75"/>
        <v>4750</v>
      </c>
      <c r="K195" s="7">
        <f t="shared" si="75"/>
        <v>0</v>
      </c>
      <c r="L195" s="7">
        <f t="shared" ref="L195" si="76">SUM(L192:L194)</f>
        <v>4750</v>
      </c>
    </row>
    <row r="196" spans="1:12" x14ac:dyDescent="0.25">
      <c r="A196" s="258"/>
      <c r="B196" s="254"/>
      <c r="C196" s="10" t="s">
        <v>57</v>
      </c>
      <c r="D196" s="3">
        <v>0</v>
      </c>
      <c r="E196" s="3">
        <v>0</v>
      </c>
      <c r="F196" s="3"/>
      <c r="G196" s="3"/>
      <c r="H196" s="3"/>
      <c r="I196" s="3"/>
      <c r="J196" s="3">
        <f t="shared" ref="J196" si="77">E196+F196+G196+H196+I196</f>
        <v>0</v>
      </c>
      <c r="K196" s="51">
        <v>0</v>
      </c>
      <c r="L196" s="3">
        <f t="shared" ref="L196" si="78">J196-K196</f>
        <v>0</v>
      </c>
    </row>
    <row r="197" spans="1:12" x14ac:dyDescent="0.25">
      <c r="A197" s="264" t="s">
        <v>81</v>
      </c>
      <c r="B197" s="265"/>
      <c r="C197" s="266"/>
      <c r="D197" s="22">
        <f>SUM(D181+D182+D191+D195+D196)</f>
        <v>60094558</v>
      </c>
      <c r="E197" s="22">
        <f t="shared" ref="E197:L197" si="79">SUM(E181+E182+E191+E195+E196)</f>
        <v>60094558</v>
      </c>
      <c r="F197" s="22">
        <f t="shared" si="79"/>
        <v>0</v>
      </c>
      <c r="G197" s="22">
        <f t="shared" si="79"/>
        <v>0</v>
      </c>
      <c r="H197" s="22">
        <f t="shared" si="79"/>
        <v>0</v>
      </c>
      <c r="I197" s="22">
        <f t="shared" si="79"/>
        <v>0</v>
      </c>
      <c r="J197" s="22">
        <f t="shared" si="79"/>
        <v>60094558</v>
      </c>
      <c r="K197" s="22">
        <f t="shared" si="79"/>
        <v>7582273</v>
      </c>
      <c r="L197" s="22">
        <f t="shared" si="79"/>
        <v>52512285</v>
      </c>
    </row>
    <row r="198" spans="1:12" x14ac:dyDescent="0.25">
      <c r="A198" s="256" t="s">
        <v>85</v>
      </c>
      <c r="B198" s="252" t="s">
        <v>46</v>
      </c>
      <c r="C198" s="12" t="s">
        <v>24</v>
      </c>
      <c r="D198" s="3">
        <v>9880165</v>
      </c>
      <c r="E198" s="3">
        <v>9696432</v>
      </c>
      <c r="F198" s="3">
        <v>-33670</v>
      </c>
      <c r="G198" s="3"/>
      <c r="H198" s="3"/>
      <c r="I198" s="3"/>
      <c r="J198" s="20">
        <f t="shared" ref="J198:J203" si="80">E198+F198+G198+H198+I198</f>
        <v>9662762</v>
      </c>
      <c r="K198" s="51">
        <v>2863838</v>
      </c>
      <c r="L198" s="3">
        <f t="shared" ref="L198:L203" si="81">J198-K198</f>
        <v>6798924</v>
      </c>
    </row>
    <row r="199" spans="1:12" x14ac:dyDescent="0.25">
      <c r="A199" s="256"/>
      <c r="B199" s="253"/>
      <c r="C199" s="12" t="s">
        <v>25</v>
      </c>
      <c r="D199" s="3">
        <v>400000</v>
      </c>
      <c r="E199" s="3">
        <v>400000</v>
      </c>
      <c r="F199" s="3"/>
      <c r="G199" s="3"/>
      <c r="H199" s="3"/>
      <c r="I199" s="3"/>
      <c r="J199" s="20">
        <f t="shared" si="80"/>
        <v>400000</v>
      </c>
      <c r="K199" s="51">
        <v>0</v>
      </c>
      <c r="L199" s="3">
        <f t="shared" si="81"/>
        <v>400000</v>
      </c>
    </row>
    <row r="200" spans="1:12" x14ac:dyDescent="0.25">
      <c r="A200" s="256"/>
      <c r="B200" s="253"/>
      <c r="C200" s="12" t="s">
        <v>26</v>
      </c>
      <c r="D200" s="3">
        <v>20000</v>
      </c>
      <c r="E200" s="3">
        <v>20000</v>
      </c>
      <c r="F200" s="3"/>
      <c r="G200" s="3"/>
      <c r="H200" s="3"/>
      <c r="I200" s="3"/>
      <c r="J200" s="20">
        <f t="shared" si="80"/>
        <v>20000</v>
      </c>
      <c r="K200" s="51">
        <v>0</v>
      </c>
      <c r="L200" s="3">
        <f t="shared" si="81"/>
        <v>20000</v>
      </c>
    </row>
    <row r="201" spans="1:12" x14ac:dyDescent="0.25">
      <c r="A201" s="256"/>
      <c r="B201" s="253"/>
      <c r="C201" s="2" t="s">
        <v>27</v>
      </c>
      <c r="D201" s="3">
        <v>75000</v>
      </c>
      <c r="E201" s="3">
        <v>75000</v>
      </c>
      <c r="F201" s="3"/>
      <c r="G201" s="3"/>
      <c r="H201" s="3"/>
      <c r="I201" s="3"/>
      <c r="J201" s="20">
        <f t="shared" si="80"/>
        <v>75000</v>
      </c>
      <c r="K201" s="51">
        <v>0</v>
      </c>
      <c r="L201" s="3">
        <f t="shared" si="81"/>
        <v>75000</v>
      </c>
    </row>
    <row r="202" spans="1:12" x14ac:dyDescent="0.25">
      <c r="A202" s="256"/>
      <c r="B202" s="253"/>
      <c r="C202" s="2" t="s">
        <v>28</v>
      </c>
      <c r="D202" s="3">
        <v>48000</v>
      </c>
      <c r="E202" s="3">
        <v>48000</v>
      </c>
      <c r="F202" s="3"/>
      <c r="G202" s="3"/>
      <c r="H202" s="3"/>
      <c r="I202" s="3"/>
      <c r="J202" s="20">
        <f t="shared" si="80"/>
        <v>48000</v>
      </c>
      <c r="K202" s="51">
        <v>0</v>
      </c>
      <c r="L202" s="3">
        <f t="shared" si="81"/>
        <v>48000</v>
      </c>
    </row>
    <row r="203" spans="1:12" x14ac:dyDescent="0.25">
      <c r="A203" s="256"/>
      <c r="B203" s="253"/>
      <c r="C203" s="2" t="s">
        <v>29</v>
      </c>
      <c r="D203" s="3">
        <v>264000</v>
      </c>
      <c r="E203" s="3">
        <v>447733</v>
      </c>
      <c r="F203" s="3">
        <v>33670</v>
      </c>
      <c r="G203" s="3"/>
      <c r="H203" s="3"/>
      <c r="I203" s="3"/>
      <c r="J203" s="20">
        <f t="shared" si="80"/>
        <v>481403</v>
      </c>
      <c r="K203" s="51">
        <v>282083</v>
      </c>
      <c r="L203" s="3">
        <f t="shared" si="81"/>
        <v>199320</v>
      </c>
    </row>
    <row r="204" spans="1:12" x14ac:dyDescent="0.25">
      <c r="A204" s="256"/>
      <c r="B204" s="253"/>
      <c r="C204" s="26" t="s">
        <v>53</v>
      </c>
      <c r="D204" s="7">
        <f>SUM(D198:D203)</f>
        <v>10687165</v>
      </c>
      <c r="E204" s="7">
        <f t="shared" ref="E204:K204" si="82">SUM(E198:E203)</f>
        <v>10687165</v>
      </c>
      <c r="F204" s="7">
        <f t="shared" si="82"/>
        <v>0</v>
      </c>
      <c r="G204" s="7">
        <f t="shared" si="82"/>
        <v>0</v>
      </c>
      <c r="H204" s="7">
        <f t="shared" si="82"/>
        <v>0</v>
      </c>
      <c r="I204" s="7">
        <f t="shared" si="82"/>
        <v>0</v>
      </c>
      <c r="J204" s="7">
        <f t="shared" si="82"/>
        <v>10687165</v>
      </c>
      <c r="K204" s="7">
        <f t="shared" si="82"/>
        <v>3145921</v>
      </c>
      <c r="L204" s="7">
        <f t="shared" ref="L204" si="83">SUM(L198:L203)</f>
        <v>7541244</v>
      </c>
    </row>
    <row r="205" spans="1:12" x14ac:dyDescent="0.25">
      <c r="A205" s="256"/>
      <c r="B205" s="253"/>
      <c r="C205" s="27" t="s">
        <v>31</v>
      </c>
      <c r="D205" s="28">
        <v>2120857</v>
      </c>
      <c r="E205" s="28">
        <v>2120857</v>
      </c>
      <c r="F205" s="13"/>
      <c r="G205" s="13"/>
      <c r="H205" s="13"/>
      <c r="I205" s="13"/>
      <c r="J205" s="21">
        <f t="shared" ref="J205:J209" si="84">E205+F205+G205+H205+I205</f>
        <v>2120857</v>
      </c>
      <c r="K205" s="53">
        <v>639310</v>
      </c>
      <c r="L205" s="8">
        <f t="shared" ref="L205:L209" si="85">J205-K205</f>
        <v>1481547</v>
      </c>
    </row>
    <row r="206" spans="1:12" x14ac:dyDescent="0.25">
      <c r="A206" s="256"/>
      <c r="B206" s="253"/>
      <c r="C206" s="46" t="s">
        <v>35</v>
      </c>
      <c r="D206" s="47">
        <v>0</v>
      </c>
      <c r="E206" s="47">
        <v>172800</v>
      </c>
      <c r="F206" s="47"/>
      <c r="G206" s="47"/>
      <c r="H206" s="47"/>
      <c r="I206" s="47"/>
      <c r="J206" s="20">
        <f t="shared" si="84"/>
        <v>172800</v>
      </c>
      <c r="K206" s="57">
        <v>16055</v>
      </c>
      <c r="L206" s="3">
        <f t="shared" si="85"/>
        <v>156745</v>
      </c>
    </row>
    <row r="207" spans="1:12" x14ac:dyDescent="0.25">
      <c r="A207" s="256"/>
      <c r="B207" s="253"/>
      <c r="C207" s="46" t="s">
        <v>42</v>
      </c>
      <c r="D207" s="47">
        <v>0</v>
      </c>
      <c r="E207" s="47">
        <v>44060</v>
      </c>
      <c r="F207" s="47">
        <v>12560</v>
      </c>
      <c r="G207" s="47"/>
      <c r="H207" s="47"/>
      <c r="I207" s="47"/>
      <c r="J207" s="20">
        <f t="shared" si="84"/>
        <v>56620</v>
      </c>
      <c r="K207" s="57">
        <v>56620</v>
      </c>
      <c r="L207" s="3">
        <f t="shared" si="85"/>
        <v>0</v>
      </c>
    </row>
    <row r="208" spans="1:12" x14ac:dyDescent="0.25">
      <c r="A208" s="256"/>
      <c r="B208" s="253"/>
      <c r="C208" s="46" t="s">
        <v>44</v>
      </c>
      <c r="D208" s="47">
        <v>0</v>
      </c>
      <c r="E208" s="47">
        <v>60140</v>
      </c>
      <c r="F208" s="47"/>
      <c r="G208" s="47"/>
      <c r="H208" s="47"/>
      <c r="I208" s="47"/>
      <c r="J208" s="20">
        <f t="shared" si="84"/>
        <v>60140</v>
      </c>
      <c r="K208" s="57">
        <v>24550</v>
      </c>
      <c r="L208" s="3">
        <f t="shared" si="85"/>
        <v>35590</v>
      </c>
    </row>
    <row r="209" spans="1:12" x14ac:dyDescent="0.25">
      <c r="A209" s="256"/>
      <c r="B209" s="253"/>
      <c r="C209" s="46" t="s">
        <v>45</v>
      </c>
      <c r="D209" s="47">
        <v>0</v>
      </c>
      <c r="E209" s="47">
        <v>259254</v>
      </c>
      <c r="F209" s="47">
        <v>17600</v>
      </c>
      <c r="G209" s="47"/>
      <c r="H209" s="47"/>
      <c r="I209" s="47"/>
      <c r="J209" s="20">
        <f t="shared" si="84"/>
        <v>276854</v>
      </c>
      <c r="K209" s="57">
        <v>184479</v>
      </c>
      <c r="L209" s="60">
        <f t="shared" si="85"/>
        <v>92375</v>
      </c>
    </row>
    <row r="210" spans="1:12" x14ac:dyDescent="0.25">
      <c r="A210" s="257"/>
      <c r="B210" s="254"/>
      <c r="C210" s="49" t="s">
        <v>49</v>
      </c>
      <c r="D210" s="50">
        <f>SUM(D206:D209)</f>
        <v>0</v>
      </c>
      <c r="E210" s="50">
        <f t="shared" ref="E210:L210" si="86">SUM(E206:E209)</f>
        <v>536254</v>
      </c>
      <c r="F210" s="50">
        <f t="shared" si="86"/>
        <v>30160</v>
      </c>
      <c r="G210" s="50">
        <f t="shared" si="86"/>
        <v>0</v>
      </c>
      <c r="H210" s="50">
        <f t="shared" si="86"/>
        <v>0</v>
      </c>
      <c r="I210" s="50">
        <f t="shared" si="86"/>
        <v>0</v>
      </c>
      <c r="J210" s="50">
        <f t="shared" si="86"/>
        <v>566414</v>
      </c>
      <c r="K210" s="50">
        <f t="shared" si="86"/>
        <v>281704</v>
      </c>
      <c r="L210" s="50">
        <f t="shared" si="86"/>
        <v>284710</v>
      </c>
    </row>
    <row r="211" spans="1:12" x14ac:dyDescent="0.25">
      <c r="A211" s="258" t="s">
        <v>68</v>
      </c>
      <c r="B211" s="267" t="s">
        <v>46</v>
      </c>
      <c r="C211" s="16" t="s">
        <v>24</v>
      </c>
      <c r="D211" s="17">
        <v>2501556</v>
      </c>
      <c r="E211" s="17">
        <v>2501556</v>
      </c>
      <c r="F211" s="17"/>
      <c r="G211" s="17"/>
      <c r="H211" s="17"/>
      <c r="I211" s="17"/>
      <c r="J211" s="20">
        <f>E211+F211+G211+H211+I211</f>
        <v>2501556</v>
      </c>
      <c r="K211" s="51">
        <v>809968</v>
      </c>
      <c r="L211" s="3">
        <f t="shared" ref="L211:L212" si="87">J211-K211</f>
        <v>1691588</v>
      </c>
    </row>
    <row r="212" spans="1:12" x14ac:dyDescent="0.25">
      <c r="A212" s="255"/>
      <c r="B212" s="261"/>
      <c r="C212" s="18" t="s">
        <v>31</v>
      </c>
      <c r="D212" s="19">
        <v>466569</v>
      </c>
      <c r="E212" s="19">
        <v>466569</v>
      </c>
      <c r="F212" s="19"/>
      <c r="G212" s="19"/>
      <c r="H212" s="19"/>
      <c r="I212" s="19"/>
      <c r="J212" s="20">
        <f t="shared" ref="J212" si="88">E212+F212+G212+H212+I212</f>
        <v>466569</v>
      </c>
      <c r="K212" s="51">
        <v>157940</v>
      </c>
      <c r="L212" s="3">
        <f t="shared" si="87"/>
        <v>308629</v>
      </c>
    </row>
    <row r="213" spans="1:12" x14ac:dyDescent="0.25">
      <c r="A213" s="264" t="s">
        <v>82</v>
      </c>
      <c r="B213" s="265"/>
      <c r="C213" s="266"/>
      <c r="D213" s="32">
        <f>SUM(D204+D205+D211+D212+D210)</f>
        <v>15776147</v>
      </c>
      <c r="E213" s="32">
        <f t="shared" ref="E213:L213" si="89">SUM(E204+E205+E211+E212+E210)</f>
        <v>16312401</v>
      </c>
      <c r="F213" s="32">
        <f t="shared" si="89"/>
        <v>30160</v>
      </c>
      <c r="G213" s="32">
        <f t="shared" si="89"/>
        <v>0</v>
      </c>
      <c r="H213" s="32">
        <f t="shared" si="89"/>
        <v>0</v>
      </c>
      <c r="I213" s="32">
        <f t="shared" si="89"/>
        <v>0</v>
      </c>
      <c r="J213" s="32">
        <f t="shared" si="89"/>
        <v>16342561</v>
      </c>
      <c r="K213" s="32">
        <f t="shared" si="89"/>
        <v>5034843</v>
      </c>
      <c r="L213" s="32">
        <f t="shared" si="89"/>
        <v>11307718</v>
      </c>
    </row>
    <row r="214" spans="1:12" x14ac:dyDescent="0.25">
      <c r="A214" s="264" t="s">
        <v>74</v>
      </c>
      <c r="B214" s="265"/>
      <c r="C214" s="266"/>
      <c r="D214" s="22">
        <f t="shared" ref="D214:L214" si="90">SUM(D88+D113+D135+D156+D179+D197+D213)</f>
        <v>230443641</v>
      </c>
      <c r="E214" s="22">
        <f t="shared" si="90"/>
        <v>230443641</v>
      </c>
      <c r="F214" s="22">
        <f t="shared" si="90"/>
        <v>0</v>
      </c>
      <c r="G214" s="22">
        <f t="shared" si="90"/>
        <v>0</v>
      </c>
      <c r="H214" s="22">
        <f t="shared" si="90"/>
        <v>0</v>
      </c>
      <c r="I214" s="22">
        <f t="shared" si="90"/>
        <v>0</v>
      </c>
      <c r="J214" s="22">
        <f t="shared" si="90"/>
        <v>230443641</v>
      </c>
      <c r="K214" s="22">
        <f t="shared" si="90"/>
        <v>55434228</v>
      </c>
      <c r="L214" s="22">
        <f t="shared" si="90"/>
        <v>175009413</v>
      </c>
    </row>
    <row r="215" spans="1:12" x14ac:dyDescent="0.25">
      <c r="B215" s="5"/>
      <c r="E215" s="4"/>
      <c r="F215" s="4"/>
      <c r="G215" s="4"/>
      <c r="H215" s="4"/>
      <c r="I215" s="4"/>
      <c r="J215" s="4"/>
      <c r="K215" s="39"/>
    </row>
    <row r="216" spans="1:12" x14ac:dyDescent="0.25">
      <c r="B216" s="5"/>
      <c r="E216" s="4"/>
      <c r="F216" s="4"/>
      <c r="G216" s="4"/>
      <c r="H216" s="4"/>
      <c r="I216" s="4"/>
      <c r="J216" s="4"/>
      <c r="K216" s="39"/>
    </row>
    <row r="217" spans="1:12" x14ac:dyDescent="0.25">
      <c r="B217" s="5"/>
      <c r="E217" s="4"/>
      <c r="F217" s="4"/>
      <c r="G217" s="4"/>
      <c r="H217" s="4"/>
      <c r="I217" s="4"/>
      <c r="J217" s="4"/>
      <c r="K217" s="39"/>
    </row>
    <row r="218" spans="1:12" x14ac:dyDescent="0.25">
      <c r="B218" s="5"/>
      <c r="E218" s="4"/>
      <c r="F218" s="4"/>
      <c r="G218" s="4"/>
      <c r="H218" s="4"/>
      <c r="I218" s="4"/>
      <c r="J218" s="4"/>
      <c r="K218" s="39"/>
    </row>
    <row r="219" spans="1:12" x14ac:dyDescent="0.25">
      <c r="B219" s="5"/>
      <c r="E219" s="4"/>
      <c r="F219" s="4"/>
      <c r="G219" s="4"/>
      <c r="H219" s="4"/>
      <c r="I219" s="4"/>
      <c r="J219" s="4"/>
      <c r="K219" s="39"/>
    </row>
    <row r="220" spans="1:12" ht="15.75" thickBot="1" x14ac:dyDescent="0.3">
      <c r="B220" s="5"/>
      <c r="E220" s="4"/>
      <c r="F220" s="4"/>
      <c r="G220" s="4"/>
      <c r="H220" s="4"/>
      <c r="I220" s="4"/>
      <c r="J220" s="4"/>
      <c r="K220" s="39"/>
    </row>
    <row r="221" spans="1:12" ht="15.75" thickTop="1" x14ac:dyDescent="0.25">
      <c r="A221" s="250" t="s">
        <v>83</v>
      </c>
      <c r="B221" s="250"/>
      <c r="C221" s="250"/>
      <c r="D221" s="250"/>
      <c r="E221" s="250"/>
      <c r="F221" s="250"/>
      <c r="G221" s="250"/>
      <c r="H221" s="250"/>
      <c r="I221" s="250"/>
      <c r="J221" s="250"/>
      <c r="K221" s="250"/>
    </row>
    <row r="222" spans="1:12" s="79" customFormat="1" ht="30" x14ac:dyDescent="0.25">
      <c r="A222" s="251" t="s">
        <v>0</v>
      </c>
      <c r="B222" s="251"/>
      <c r="C222" s="75" t="s">
        <v>3</v>
      </c>
      <c r="D222" s="75" t="s">
        <v>4</v>
      </c>
      <c r="E222" s="77" t="s">
        <v>89</v>
      </c>
      <c r="F222" s="76" t="s">
        <v>70</v>
      </c>
      <c r="G222" s="77"/>
      <c r="H222" s="77"/>
      <c r="I222" s="77"/>
      <c r="J222" s="77" t="s">
        <v>90</v>
      </c>
      <c r="K222" s="78" t="s">
        <v>91</v>
      </c>
    </row>
    <row r="223" spans="1:12" x14ac:dyDescent="0.25">
      <c r="A223" s="251"/>
      <c r="B223" s="251"/>
      <c r="C223" s="33" t="s">
        <v>16</v>
      </c>
      <c r="D223" s="61">
        <f>D5+D14+D16+D18+D20+D22</f>
        <v>117230959</v>
      </c>
      <c r="E223" s="61">
        <f>E5+E14+E16+E18+E20+E22</f>
        <v>117230959</v>
      </c>
      <c r="F223" s="61">
        <f t="shared" ref="F223:K224" si="91">F5+F14+F16+F18+F20+F22</f>
        <v>0</v>
      </c>
      <c r="G223" s="61">
        <f t="shared" si="91"/>
        <v>0</v>
      </c>
      <c r="H223" s="61">
        <f t="shared" si="91"/>
        <v>0</v>
      </c>
      <c r="I223" s="61">
        <f t="shared" si="91"/>
        <v>0</v>
      </c>
      <c r="J223" s="61">
        <f t="shared" si="91"/>
        <v>117230959</v>
      </c>
      <c r="K223" s="61">
        <f t="shared" si="91"/>
        <v>37270095</v>
      </c>
    </row>
    <row r="224" spans="1:12" x14ac:dyDescent="0.25">
      <c r="A224" s="251"/>
      <c r="B224" s="251"/>
      <c r="C224" s="33" t="s">
        <v>17</v>
      </c>
      <c r="D224" s="61">
        <f>D6+D15+D17+D19+D21+D23</f>
        <v>16012810</v>
      </c>
      <c r="E224" s="61">
        <f>E6+E15+E17+E19+E21+E23</f>
        <v>16012810</v>
      </c>
      <c r="F224" s="61">
        <f t="shared" si="91"/>
        <v>0</v>
      </c>
      <c r="G224" s="61">
        <f t="shared" si="91"/>
        <v>0</v>
      </c>
      <c r="H224" s="61">
        <f t="shared" si="91"/>
        <v>0</v>
      </c>
      <c r="I224" s="61">
        <f t="shared" si="91"/>
        <v>0</v>
      </c>
      <c r="J224" s="61">
        <f t="shared" si="91"/>
        <v>16012810</v>
      </c>
      <c r="K224" s="61">
        <f t="shared" si="91"/>
        <v>16012810</v>
      </c>
    </row>
    <row r="225" spans="1:11" x14ac:dyDescent="0.25">
      <c r="A225" s="251"/>
      <c r="B225" s="251"/>
      <c r="C225" s="33" t="s">
        <v>18</v>
      </c>
      <c r="D225" s="61">
        <f t="shared" ref="D225:E227" si="92">D7</f>
        <v>96985672</v>
      </c>
      <c r="E225" s="61">
        <f t="shared" si="92"/>
        <v>96985672</v>
      </c>
      <c r="F225" s="61">
        <f t="shared" ref="F225:K227" si="93">F7</f>
        <v>0</v>
      </c>
      <c r="G225" s="61">
        <f t="shared" si="93"/>
        <v>0</v>
      </c>
      <c r="H225" s="61">
        <f t="shared" si="93"/>
        <v>0</v>
      </c>
      <c r="I225" s="61">
        <f t="shared" si="93"/>
        <v>0</v>
      </c>
      <c r="J225" s="61">
        <f t="shared" si="93"/>
        <v>96985672</v>
      </c>
      <c r="K225" s="61">
        <f t="shared" si="93"/>
        <v>32904001</v>
      </c>
    </row>
    <row r="226" spans="1:11" x14ac:dyDescent="0.25">
      <c r="A226" s="251"/>
      <c r="B226" s="251"/>
      <c r="C226" s="35" t="s">
        <v>22</v>
      </c>
      <c r="D226" s="61">
        <f t="shared" si="92"/>
        <v>200000</v>
      </c>
      <c r="E226" s="61">
        <f t="shared" si="92"/>
        <v>200000</v>
      </c>
      <c r="F226" s="61">
        <f t="shared" si="93"/>
        <v>0</v>
      </c>
      <c r="G226" s="61">
        <f t="shared" si="93"/>
        <v>0</v>
      </c>
      <c r="H226" s="61">
        <f t="shared" si="93"/>
        <v>0</v>
      </c>
      <c r="I226" s="61">
        <f t="shared" si="93"/>
        <v>0</v>
      </c>
      <c r="J226" s="61">
        <f t="shared" si="93"/>
        <v>200000</v>
      </c>
      <c r="K226" s="61">
        <f t="shared" si="93"/>
        <v>0</v>
      </c>
    </row>
    <row r="227" spans="1:11" x14ac:dyDescent="0.25">
      <c r="A227" s="251"/>
      <c r="B227" s="251"/>
      <c r="C227" s="35" t="s">
        <v>19</v>
      </c>
      <c r="D227" s="61">
        <f t="shared" si="92"/>
        <v>13200</v>
      </c>
      <c r="E227" s="61">
        <f t="shared" si="92"/>
        <v>11554</v>
      </c>
      <c r="F227" s="61">
        <f t="shared" si="93"/>
        <v>-14</v>
      </c>
      <c r="G227" s="61">
        <f t="shared" si="93"/>
        <v>0</v>
      </c>
      <c r="H227" s="61">
        <f t="shared" si="93"/>
        <v>0</v>
      </c>
      <c r="I227" s="61">
        <f t="shared" si="93"/>
        <v>0</v>
      </c>
      <c r="J227" s="61">
        <f t="shared" si="93"/>
        <v>11540</v>
      </c>
      <c r="K227" s="61">
        <f t="shared" si="93"/>
        <v>4311</v>
      </c>
    </row>
    <row r="228" spans="1:11" x14ac:dyDescent="0.25">
      <c r="A228" s="251"/>
      <c r="B228" s="251"/>
      <c r="C228" s="35" t="s">
        <v>84</v>
      </c>
      <c r="D228" s="61">
        <f>D13+D11</f>
        <v>0</v>
      </c>
      <c r="E228" s="61">
        <f>E13+E11</f>
        <v>2539</v>
      </c>
      <c r="F228" s="61">
        <f t="shared" ref="F228:K228" si="94">F13+F11</f>
        <v>0</v>
      </c>
      <c r="G228" s="61">
        <f t="shared" si="94"/>
        <v>0</v>
      </c>
      <c r="H228" s="61">
        <f t="shared" si="94"/>
        <v>0</v>
      </c>
      <c r="I228" s="61">
        <f t="shared" si="94"/>
        <v>0</v>
      </c>
      <c r="J228" s="61">
        <f>J13+J11</f>
        <v>2539</v>
      </c>
      <c r="K228" s="61">
        <f t="shared" si="94"/>
        <v>2539</v>
      </c>
    </row>
    <row r="229" spans="1:11" x14ac:dyDescent="0.25">
      <c r="A229" s="251"/>
      <c r="B229" s="251"/>
      <c r="C229" s="33" t="s">
        <v>20</v>
      </c>
      <c r="D229" s="61">
        <f>D10+D12</f>
        <v>1000</v>
      </c>
      <c r="E229" s="61">
        <f>E10+E12</f>
        <v>107</v>
      </c>
      <c r="F229" s="61">
        <f t="shared" ref="F229:K229" si="95">F10+F12</f>
        <v>14</v>
      </c>
      <c r="G229" s="61">
        <f t="shared" si="95"/>
        <v>0</v>
      </c>
      <c r="H229" s="61">
        <f t="shared" si="95"/>
        <v>0</v>
      </c>
      <c r="I229" s="61">
        <f t="shared" si="95"/>
        <v>0</v>
      </c>
      <c r="J229" s="61">
        <f t="shared" si="95"/>
        <v>121</v>
      </c>
      <c r="K229" s="61">
        <f t="shared" si="95"/>
        <v>121</v>
      </c>
    </row>
    <row r="230" spans="1:11" x14ac:dyDescent="0.25">
      <c r="A230" s="251"/>
      <c r="B230" s="251"/>
      <c r="C230" s="65" t="s">
        <v>86</v>
      </c>
      <c r="D230" s="66">
        <f>D13+D12+D11+D10+D9</f>
        <v>14200</v>
      </c>
      <c r="E230" s="66">
        <f>E13+E12+E11+E10+E9</f>
        <v>14200</v>
      </c>
      <c r="F230" s="66">
        <f t="shared" ref="F230:K230" si="96">F13+F12+F11+F10+F9</f>
        <v>0</v>
      </c>
      <c r="G230" s="66">
        <f t="shared" si="96"/>
        <v>0</v>
      </c>
      <c r="H230" s="66">
        <f t="shared" si="96"/>
        <v>0</v>
      </c>
      <c r="I230" s="66">
        <f t="shared" si="96"/>
        <v>0</v>
      </c>
      <c r="J230" s="66">
        <f t="shared" si="96"/>
        <v>14200</v>
      </c>
      <c r="K230" s="66">
        <f t="shared" si="96"/>
        <v>6971</v>
      </c>
    </row>
    <row r="231" spans="1:11" x14ac:dyDescent="0.25">
      <c r="A231" s="251"/>
      <c r="B231" s="251"/>
      <c r="C231" s="65" t="s">
        <v>87</v>
      </c>
      <c r="D231" s="66">
        <f>D23+D21+D19+D17+D15+D7+D6</f>
        <v>112998482</v>
      </c>
      <c r="E231" s="66">
        <f>E23+E21+E19+E17+E15+E7+E6</f>
        <v>112998482</v>
      </c>
      <c r="F231" s="66">
        <f t="shared" ref="F231:K231" si="97">F23+F21+F19+F17+F15+F7+F6</f>
        <v>0</v>
      </c>
      <c r="G231" s="66">
        <f t="shared" si="97"/>
        <v>0</v>
      </c>
      <c r="H231" s="66">
        <f t="shared" si="97"/>
        <v>0</v>
      </c>
      <c r="I231" s="66">
        <f t="shared" si="97"/>
        <v>0</v>
      </c>
      <c r="J231" s="66">
        <f t="shared" si="97"/>
        <v>112998482</v>
      </c>
      <c r="K231" s="66">
        <f t="shared" si="97"/>
        <v>48916811</v>
      </c>
    </row>
    <row r="232" spans="1:11" x14ac:dyDescent="0.25">
      <c r="A232" s="251"/>
      <c r="B232" s="251"/>
      <c r="C232" s="65" t="s">
        <v>94</v>
      </c>
      <c r="D232" s="66">
        <f>D5+D6+D7+D8+D9+D10+D11+D12+D13+D14+D15+D16+D17+D18+D19+D20+D21+D22+D23</f>
        <v>230443641</v>
      </c>
      <c r="E232" s="66">
        <f t="shared" ref="E232:K232" si="98">E5+E6+E7+E8+E9+E10+E11+E12+E13+E14+E15+E16+E17+E18+E19+E20+E21+E22+E23</f>
        <v>230443641</v>
      </c>
      <c r="F232" s="66">
        <f t="shared" si="98"/>
        <v>0</v>
      </c>
      <c r="G232" s="66">
        <f t="shared" si="98"/>
        <v>0</v>
      </c>
      <c r="H232" s="66">
        <f t="shared" si="98"/>
        <v>0</v>
      </c>
      <c r="I232" s="66">
        <f t="shared" si="98"/>
        <v>0</v>
      </c>
      <c r="J232" s="66">
        <f t="shared" si="98"/>
        <v>230443641</v>
      </c>
      <c r="K232" s="66">
        <f t="shared" si="98"/>
        <v>86193877</v>
      </c>
    </row>
    <row r="233" spans="1:11" x14ac:dyDescent="0.25">
      <c r="A233" s="251"/>
      <c r="B233" s="251"/>
      <c r="C233" s="33" t="s">
        <v>24</v>
      </c>
      <c r="D233" s="34">
        <f>D89+D111+D114+D133+D136+D154+D157+D177+D198+D211+D180+D86+D84+D52+D25</f>
        <v>128356144</v>
      </c>
      <c r="E233" s="34">
        <f>E89+E111+E114+E133+E136+E154+E157+E177+E198+E211+E180+E86+E84+E52+E25</f>
        <v>128032221</v>
      </c>
      <c r="F233" s="34">
        <f t="shared" ref="F233:J233" si="99">F89+F111+F114+F133+F136+F154+F157+F177+F198+F211+F180+F86+F84+F52+F25</f>
        <v>-63177</v>
      </c>
      <c r="G233" s="34">
        <f t="shared" si="99"/>
        <v>0</v>
      </c>
      <c r="H233" s="34">
        <f t="shared" si="99"/>
        <v>0</v>
      </c>
      <c r="I233" s="34">
        <f t="shared" si="99"/>
        <v>0</v>
      </c>
      <c r="J233" s="34">
        <f t="shared" si="99"/>
        <v>127969044</v>
      </c>
      <c r="K233" s="61">
        <f>K211+K198+K180+K177+K157+K154+K136+K133+K114+K111+K89+K86+K84+K52+K25</f>
        <v>36124924</v>
      </c>
    </row>
    <row r="234" spans="1:11" x14ac:dyDescent="0.25">
      <c r="A234" s="251"/>
      <c r="B234" s="251"/>
      <c r="C234" s="33" t="s">
        <v>47</v>
      </c>
      <c r="D234" s="34">
        <f t="shared" ref="D234:K235" si="100">D53</f>
        <v>2040480</v>
      </c>
      <c r="E234" s="34">
        <f t="shared" si="100"/>
        <v>2040480</v>
      </c>
      <c r="F234" s="34">
        <f t="shared" si="100"/>
        <v>0</v>
      </c>
      <c r="G234" s="34">
        <f t="shared" si="100"/>
        <v>0</v>
      </c>
      <c r="H234" s="34">
        <f t="shared" si="100"/>
        <v>0</v>
      </c>
      <c r="I234" s="34">
        <f t="shared" si="100"/>
        <v>0</v>
      </c>
      <c r="J234" s="34">
        <f t="shared" si="100"/>
        <v>2040480</v>
      </c>
      <c r="K234" s="41">
        <f t="shared" si="100"/>
        <v>626691</v>
      </c>
    </row>
    <row r="235" spans="1:11" x14ac:dyDescent="0.25">
      <c r="A235" s="251"/>
      <c r="B235" s="251"/>
      <c r="C235" s="33" t="s">
        <v>48</v>
      </c>
      <c r="D235" s="34">
        <f t="shared" si="100"/>
        <v>0</v>
      </c>
      <c r="E235" s="34">
        <f t="shared" si="100"/>
        <v>0</v>
      </c>
      <c r="F235" s="34">
        <f t="shared" si="100"/>
        <v>0</v>
      </c>
      <c r="G235" s="34">
        <f t="shared" si="100"/>
        <v>0</v>
      </c>
      <c r="H235" s="34">
        <f t="shared" si="100"/>
        <v>0</v>
      </c>
      <c r="I235" s="34">
        <f t="shared" si="100"/>
        <v>0</v>
      </c>
      <c r="J235" s="34">
        <f t="shared" si="100"/>
        <v>0</v>
      </c>
      <c r="K235" s="34">
        <f t="shared" si="100"/>
        <v>0</v>
      </c>
    </row>
    <row r="236" spans="1:11" x14ac:dyDescent="0.25">
      <c r="A236" s="251"/>
      <c r="B236" s="251"/>
      <c r="C236" s="35" t="s">
        <v>25</v>
      </c>
      <c r="D236" s="34">
        <f t="shared" ref="D236:K237" si="101">D199+D158+D137+D115+D90+D55+D26</f>
        <v>3992000</v>
      </c>
      <c r="E236" s="34">
        <f t="shared" si="101"/>
        <v>3992000</v>
      </c>
      <c r="F236" s="34">
        <f t="shared" si="101"/>
        <v>0</v>
      </c>
      <c r="G236" s="34">
        <f t="shared" si="101"/>
        <v>0</v>
      </c>
      <c r="H236" s="34">
        <f t="shared" si="101"/>
        <v>0</v>
      </c>
      <c r="I236" s="34">
        <f t="shared" si="101"/>
        <v>0</v>
      </c>
      <c r="J236" s="34">
        <f t="shared" si="101"/>
        <v>3992000</v>
      </c>
      <c r="K236" s="34">
        <f t="shared" si="101"/>
        <v>112500</v>
      </c>
    </row>
    <row r="237" spans="1:11" x14ac:dyDescent="0.25">
      <c r="A237" s="251"/>
      <c r="B237" s="251"/>
      <c r="C237" s="35" t="s">
        <v>26</v>
      </c>
      <c r="D237" s="34">
        <f t="shared" si="101"/>
        <v>200000</v>
      </c>
      <c r="E237" s="34">
        <f t="shared" si="101"/>
        <v>200000</v>
      </c>
      <c r="F237" s="34">
        <f t="shared" si="101"/>
        <v>0</v>
      </c>
      <c r="G237" s="34">
        <f t="shared" si="101"/>
        <v>0</v>
      </c>
      <c r="H237" s="34">
        <f t="shared" si="101"/>
        <v>0</v>
      </c>
      <c r="I237" s="34">
        <f t="shared" si="101"/>
        <v>0</v>
      </c>
      <c r="J237" s="34">
        <f t="shared" si="101"/>
        <v>200000</v>
      </c>
      <c r="K237" s="34">
        <f t="shared" si="101"/>
        <v>0</v>
      </c>
    </row>
    <row r="238" spans="1:11" x14ac:dyDescent="0.25">
      <c r="A238" s="251"/>
      <c r="B238" s="251"/>
      <c r="C238" s="33" t="s">
        <v>27</v>
      </c>
      <c r="D238" s="34">
        <f>D201+D139+D92+D57+D28</f>
        <v>1661400</v>
      </c>
      <c r="E238" s="34">
        <f>E201+E139+E92+E57+E28</f>
        <v>1661400</v>
      </c>
      <c r="F238" s="34">
        <f t="shared" ref="F238:J238" si="102">F201+F139+F92+F57+F28</f>
        <v>0</v>
      </c>
      <c r="G238" s="34">
        <f t="shared" si="102"/>
        <v>0</v>
      </c>
      <c r="H238" s="34">
        <f t="shared" si="102"/>
        <v>0</v>
      </c>
      <c r="I238" s="34">
        <f t="shared" si="102"/>
        <v>0</v>
      </c>
      <c r="J238" s="34">
        <f t="shared" si="102"/>
        <v>1661400</v>
      </c>
      <c r="K238" s="34">
        <f>K201+K139+K92+K57+K28</f>
        <v>309246</v>
      </c>
    </row>
    <row r="239" spans="1:11" x14ac:dyDescent="0.25">
      <c r="A239" s="251"/>
      <c r="B239" s="251"/>
      <c r="C239" s="35" t="s">
        <v>28</v>
      </c>
      <c r="D239" s="34">
        <f>D202+D160+D140+D117+D58+D29+D93</f>
        <v>481000</v>
      </c>
      <c r="E239" s="34">
        <f>E202+E160+E140+E117+E58+E29+E93</f>
        <v>481000</v>
      </c>
      <c r="F239" s="34">
        <f t="shared" ref="F239:J239" si="103">F202+F160+F140+F117+F58+F29+F93</f>
        <v>0</v>
      </c>
      <c r="G239" s="34">
        <f t="shared" si="103"/>
        <v>0</v>
      </c>
      <c r="H239" s="34">
        <f t="shared" si="103"/>
        <v>0</v>
      </c>
      <c r="I239" s="34">
        <f t="shared" si="103"/>
        <v>0</v>
      </c>
      <c r="J239" s="34">
        <f t="shared" si="103"/>
        <v>481000</v>
      </c>
      <c r="K239" s="34">
        <f>K202+K160+K140+K117+K58+K29+K93</f>
        <v>0</v>
      </c>
    </row>
    <row r="240" spans="1:11" x14ac:dyDescent="0.25">
      <c r="A240" s="251"/>
      <c r="B240" s="251"/>
      <c r="C240" s="33" t="s">
        <v>29</v>
      </c>
      <c r="D240" s="34">
        <f>D203+D175+D161+D141+D118+D109+D94+D82+D80+D59+D30+D131</f>
        <v>3451400</v>
      </c>
      <c r="E240" s="34">
        <f>E203+E175+E161+E141+E118+E109+E94+E82+E80+E59+E30+E131</f>
        <v>3775323</v>
      </c>
      <c r="F240" s="34">
        <f t="shared" ref="F240:J240" si="104">F203+F175+F161+F141+F118+F109+F94+F82+F80+F59+F30+F131</f>
        <v>63177</v>
      </c>
      <c r="G240" s="34">
        <f t="shared" si="104"/>
        <v>0</v>
      </c>
      <c r="H240" s="34">
        <f t="shared" si="104"/>
        <v>0</v>
      </c>
      <c r="I240" s="34">
        <f t="shared" si="104"/>
        <v>0</v>
      </c>
      <c r="J240" s="34">
        <f t="shared" si="104"/>
        <v>3838500</v>
      </c>
      <c r="K240" s="34">
        <f>K203+K175+K161+K141+K118+K109+K94+K82+K80+K59+K30+K131</f>
        <v>1067980</v>
      </c>
    </row>
    <row r="241" spans="1:12" x14ac:dyDescent="0.25">
      <c r="A241" s="251"/>
      <c r="B241" s="251"/>
      <c r="C241" s="35" t="s">
        <v>30</v>
      </c>
      <c r="D241" s="34">
        <f>D162+D142+D119+D60+D31</f>
        <v>200000</v>
      </c>
      <c r="E241" s="34">
        <f>E162+E142+E119+E60+E31</f>
        <v>200000</v>
      </c>
      <c r="F241" s="34">
        <f t="shared" ref="F241:K241" si="105">F162+F142+F119+F60+F31</f>
        <v>0</v>
      </c>
      <c r="G241" s="34">
        <f t="shared" si="105"/>
        <v>0</v>
      </c>
      <c r="H241" s="34">
        <f t="shared" si="105"/>
        <v>0</v>
      </c>
      <c r="I241" s="34">
        <f t="shared" si="105"/>
        <v>0</v>
      </c>
      <c r="J241" s="34">
        <f t="shared" si="105"/>
        <v>200000</v>
      </c>
      <c r="K241" s="34">
        <f t="shared" si="105"/>
        <v>3000</v>
      </c>
    </row>
    <row r="242" spans="1:12" x14ac:dyDescent="0.25">
      <c r="A242" s="251"/>
      <c r="B242" s="251"/>
      <c r="C242" s="65" t="s">
        <v>53</v>
      </c>
      <c r="D242" s="66">
        <f>D204+D181+D163+D143+D211+D177+D154+D133+D131+D175+D120+D111+D109+D96+D86+D84+D82+D80+D61+D32</f>
        <v>140382424</v>
      </c>
      <c r="E242" s="66">
        <f>E204+E181+E163+E143+E211+E177+E154+E133+E131+E175+E120+E111+E109+E96+E86+E84+E82+E80+E61+E32</f>
        <v>140382424</v>
      </c>
      <c r="F242" s="66">
        <f t="shared" ref="F242:K242" si="106">F204+F181+F163+F143+F211+F177+F154+F133+F131+F175+F120+F111+F109+F96+F86+F84+F82+F80+F61+F32</f>
        <v>0</v>
      </c>
      <c r="G242" s="66">
        <f t="shared" si="106"/>
        <v>0</v>
      </c>
      <c r="H242" s="66">
        <f t="shared" si="106"/>
        <v>0</v>
      </c>
      <c r="I242" s="66">
        <f t="shared" si="106"/>
        <v>0</v>
      </c>
      <c r="J242" s="66">
        <f t="shared" si="106"/>
        <v>140382424</v>
      </c>
      <c r="K242" s="66">
        <f t="shared" si="106"/>
        <v>38244341</v>
      </c>
    </row>
    <row r="243" spans="1:12" x14ac:dyDescent="0.25">
      <c r="A243" s="251"/>
      <c r="B243" s="251"/>
      <c r="C243" s="67" t="s">
        <v>31</v>
      </c>
      <c r="D243" s="66">
        <f>D205+D182+D178+D176+D212+D164+D155+D144+D134+D132+D121+D112+D110+D97+D87+D85+D83+D81+D62+D33</f>
        <v>27536677</v>
      </c>
      <c r="E243" s="66">
        <f>E205+E182+E178+E176+E212+E164+E155+E144+E134+E132+E121+E112+E110+E97+E87+E85+E83+E81+E62+E33</f>
        <v>27536677</v>
      </c>
      <c r="F243" s="66">
        <f t="shared" ref="F243:K243" si="107">F205+F182+F178+F176+F212+F164+F155+F144+F134+F132+F121+F112+F110+F97+F87+F85+F83+F81+F62+F33</f>
        <v>0</v>
      </c>
      <c r="G243" s="66">
        <f t="shared" si="107"/>
        <v>0</v>
      </c>
      <c r="H243" s="66">
        <f t="shared" si="107"/>
        <v>0</v>
      </c>
      <c r="I243" s="66">
        <f t="shared" si="107"/>
        <v>0</v>
      </c>
      <c r="J243" s="66">
        <f t="shared" si="107"/>
        <v>27536677</v>
      </c>
      <c r="K243" s="66">
        <f t="shared" si="107"/>
        <v>7801534</v>
      </c>
    </row>
    <row r="244" spans="1:12" x14ac:dyDescent="0.25">
      <c r="A244" s="251"/>
      <c r="B244" s="251"/>
      <c r="C244" s="33" t="s">
        <v>32</v>
      </c>
      <c r="D244" s="34">
        <f>D165+D145+D122+D98+D63+D34</f>
        <v>540000</v>
      </c>
      <c r="E244" s="34">
        <f>E165+E145+E122+E98+E63+E34</f>
        <v>540000</v>
      </c>
      <c r="F244" s="34">
        <f t="shared" ref="F244:K244" si="108">F165+F145+F122+F98+F63+F34</f>
        <v>0</v>
      </c>
      <c r="G244" s="34">
        <f t="shared" si="108"/>
        <v>0</v>
      </c>
      <c r="H244" s="34">
        <f t="shared" si="108"/>
        <v>0</v>
      </c>
      <c r="I244" s="34">
        <f t="shared" si="108"/>
        <v>0</v>
      </c>
      <c r="J244" s="34">
        <f t="shared" si="108"/>
        <v>540000</v>
      </c>
      <c r="K244" s="34">
        <f t="shared" si="108"/>
        <v>0</v>
      </c>
    </row>
    <row r="245" spans="1:12" x14ac:dyDescent="0.25">
      <c r="A245" s="251"/>
      <c r="B245" s="251"/>
      <c r="C245" s="35" t="s">
        <v>33</v>
      </c>
      <c r="D245" s="34">
        <f>D183+D166+D146+D123+D99+D64+D35</f>
        <v>1700000</v>
      </c>
      <c r="E245" s="34">
        <f>E183+E166+E146+E123+E99+E64+E35</f>
        <v>1700000</v>
      </c>
      <c r="F245" s="34">
        <f t="shared" ref="F245:K245" si="109">F183+F166+F146+F123+F99+F64+F35</f>
        <v>0</v>
      </c>
      <c r="G245" s="34">
        <f t="shared" si="109"/>
        <v>0</v>
      </c>
      <c r="H245" s="34">
        <f t="shared" si="109"/>
        <v>0</v>
      </c>
      <c r="I245" s="34">
        <f t="shared" si="109"/>
        <v>0</v>
      </c>
      <c r="J245" s="34">
        <f t="shared" si="109"/>
        <v>1700000</v>
      </c>
      <c r="K245" s="34">
        <f t="shared" si="109"/>
        <v>21184</v>
      </c>
    </row>
    <row r="246" spans="1:12" x14ac:dyDescent="0.25">
      <c r="A246" s="251"/>
      <c r="B246" s="251"/>
      <c r="C246" s="33" t="s">
        <v>34</v>
      </c>
      <c r="D246" s="34">
        <f>D167+D147+D124+D100+D65+D36</f>
        <v>1036000</v>
      </c>
      <c r="E246" s="34">
        <f>E167+E147+E124+E100+E65+E36</f>
        <v>988000</v>
      </c>
      <c r="F246" s="34">
        <f t="shared" ref="F246:K246" si="110">F167+F147+F124+F100+F65+F36</f>
        <v>0</v>
      </c>
      <c r="G246" s="34">
        <f t="shared" si="110"/>
        <v>0</v>
      </c>
      <c r="H246" s="34">
        <f t="shared" si="110"/>
        <v>0</v>
      </c>
      <c r="I246" s="34">
        <f t="shared" si="110"/>
        <v>0</v>
      </c>
      <c r="J246" s="34">
        <f t="shared" si="110"/>
        <v>988000</v>
      </c>
      <c r="K246" s="34">
        <f t="shared" si="110"/>
        <v>53627</v>
      </c>
    </row>
    <row r="247" spans="1:12" x14ac:dyDescent="0.25">
      <c r="A247" s="251"/>
      <c r="B247" s="251"/>
      <c r="C247" s="33" t="s">
        <v>35</v>
      </c>
      <c r="D247" s="34">
        <f>D206+D168+D101+D66+D37</f>
        <v>610000</v>
      </c>
      <c r="E247" s="34">
        <f>E206+E168+E101+E66+E37</f>
        <v>610000</v>
      </c>
      <c r="F247" s="34">
        <f t="shared" ref="F247:K247" si="111">F206+F168+F101+F66+F37</f>
        <v>0</v>
      </c>
      <c r="G247" s="34">
        <f t="shared" si="111"/>
        <v>0</v>
      </c>
      <c r="H247" s="34">
        <f t="shared" si="111"/>
        <v>0</v>
      </c>
      <c r="I247" s="34">
        <f t="shared" si="111"/>
        <v>0</v>
      </c>
      <c r="J247" s="34">
        <f t="shared" si="111"/>
        <v>610000</v>
      </c>
      <c r="K247" s="34">
        <f t="shared" si="111"/>
        <v>74063</v>
      </c>
    </row>
    <row r="248" spans="1:12" x14ac:dyDescent="0.25">
      <c r="A248" s="251"/>
      <c r="B248" s="251"/>
      <c r="C248" s="33" t="s">
        <v>36</v>
      </c>
      <c r="D248" s="34">
        <f>D102+D67+D38</f>
        <v>1739080</v>
      </c>
      <c r="E248" s="34">
        <f>E102+E67+E38</f>
        <v>1739080</v>
      </c>
      <c r="F248" s="34">
        <f t="shared" ref="F248:K248" si="112">F102+F67+F38</f>
        <v>0</v>
      </c>
      <c r="G248" s="34">
        <f t="shared" si="112"/>
        <v>0</v>
      </c>
      <c r="H248" s="34">
        <f t="shared" si="112"/>
        <v>0</v>
      </c>
      <c r="I248" s="34">
        <f t="shared" si="112"/>
        <v>0</v>
      </c>
      <c r="J248" s="34">
        <f t="shared" si="112"/>
        <v>1739080</v>
      </c>
      <c r="K248" s="34">
        <f t="shared" si="112"/>
        <v>645697</v>
      </c>
    </row>
    <row r="249" spans="1:12" x14ac:dyDescent="0.25">
      <c r="A249" s="251"/>
      <c r="B249" s="251"/>
      <c r="C249" s="73" t="s">
        <v>37</v>
      </c>
      <c r="D249" s="61">
        <f>D184+D68+D39</f>
        <v>356000</v>
      </c>
      <c r="E249" s="61">
        <f>E184+E68+E39</f>
        <v>356000</v>
      </c>
      <c r="F249" s="61">
        <f t="shared" ref="F249:J249" si="113">F184+F68+F39</f>
        <v>0</v>
      </c>
      <c r="G249" s="61">
        <f t="shared" si="113"/>
        <v>0</v>
      </c>
      <c r="H249" s="61">
        <f t="shared" si="113"/>
        <v>0</v>
      </c>
      <c r="I249" s="61">
        <f t="shared" si="113"/>
        <v>0</v>
      </c>
      <c r="J249" s="61">
        <f t="shared" si="113"/>
        <v>356000</v>
      </c>
      <c r="K249" s="61">
        <f>K184+K68+K39</f>
        <v>0</v>
      </c>
      <c r="L249" s="74"/>
    </row>
    <row r="250" spans="1:12" x14ac:dyDescent="0.25">
      <c r="A250" s="251"/>
      <c r="B250" s="251"/>
      <c r="C250" s="33" t="s">
        <v>38</v>
      </c>
      <c r="D250" s="34">
        <f>D169+D148+D125+D103+D69+D40</f>
        <v>1394000</v>
      </c>
      <c r="E250" s="34">
        <f>E169+E148+E125+E103+E69+E40</f>
        <v>1394000</v>
      </c>
      <c r="F250" s="34">
        <f t="shared" ref="F250:K250" si="114">F169+F148+F125+F103+F69+F40</f>
        <v>0</v>
      </c>
      <c r="G250" s="34">
        <f t="shared" si="114"/>
        <v>0</v>
      </c>
      <c r="H250" s="34">
        <f t="shared" si="114"/>
        <v>0</v>
      </c>
      <c r="I250" s="34">
        <f t="shared" si="114"/>
        <v>0</v>
      </c>
      <c r="J250" s="34">
        <f t="shared" si="114"/>
        <v>1394000</v>
      </c>
      <c r="K250" s="61">
        <f t="shared" si="114"/>
        <v>127792</v>
      </c>
    </row>
    <row r="251" spans="1:12" x14ac:dyDescent="0.25">
      <c r="A251" s="251"/>
      <c r="B251" s="251"/>
      <c r="C251" s="33" t="s">
        <v>39</v>
      </c>
      <c r="D251" s="34">
        <f>D41</f>
        <v>13200</v>
      </c>
      <c r="E251" s="34">
        <f>E41</f>
        <v>11554</v>
      </c>
      <c r="F251" s="34">
        <f t="shared" ref="F251:K251" si="115">F41</f>
        <v>-14</v>
      </c>
      <c r="G251" s="34">
        <f t="shared" si="115"/>
        <v>0</v>
      </c>
      <c r="H251" s="34">
        <f t="shared" si="115"/>
        <v>0</v>
      </c>
      <c r="I251" s="34">
        <f t="shared" si="115"/>
        <v>0</v>
      </c>
      <c r="J251" s="34">
        <f t="shared" si="115"/>
        <v>11540</v>
      </c>
      <c r="K251" s="34">
        <f t="shared" si="115"/>
        <v>4311</v>
      </c>
    </row>
    <row r="252" spans="1:12" x14ac:dyDescent="0.25">
      <c r="A252" s="251"/>
      <c r="B252" s="251"/>
      <c r="C252" s="36" t="s">
        <v>40</v>
      </c>
      <c r="D252" s="34">
        <f t="shared" ref="D252:K253" si="116">D185+D170+D149+D126+D104+D70+D42</f>
        <v>16415104</v>
      </c>
      <c r="E252" s="34">
        <f t="shared" si="116"/>
        <v>16415104</v>
      </c>
      <c r="F252" s="34">
        <f t="shared" si="116"/>
        <v>0</v>
      </c>
      <c r="G252" s="34">
        <f t="shared" si="116"/>
        <v>0</v>
      </c>
      <c r="H252" s="34">
        <f t="shared" si="116"/>
        <v>0</v>
      </c>
      <c r="I252" s="34">
        <f t="shared" si="116"/>
        <v>0</v>
      </c>
      <c r="J252" s="34">
        <f t="shared" si="116"/>
        <v>16415104</v>
      </c>
      <c r="K252" s="34">
        <f t="shared" si="116"/>
        <v>5438976</v>
      </c>
    </row>
    <row r="253" spans="1:12" x14ac:dyDescent="0.25">
      <c r="A253" s="251"/>
      <c r="B253" s="251"/>
      <c r="C253" s="33" t="s">
        <v>41</v>
      </c>
      <c r="D253" s="34">
        <f t="shared" si="116"/>
        <v>26876743</v>
      </c>
      <c r="E253" s="34">
        <f t="shared" si="116"/>
        <v>26926389</v>
      </c>
      <c r="F253" s="34">
        <f t="shared" si="116"/>
        <v>14</v>
      </c>
      <c r="G253" s="34">
        <f t="shared" si="116"/>
        <v>0</v>
      </c>
      <c r="H253" s="34">
        <f t="shared" si="116"/>
        <v>0</v>
      </c>
      <c r="I253" s="34">
        <f t="shared" si="116"/>
        <v>0</v>
      </c>
      <c r="J253" s="34">
        <f t="shared" si="116"/>
        <v>26926403</v>
      </c>
      <c r="K253" s="34">
        <f t="shared" si="116"/>
        <v>631055</v>
      </c>
    </row>
    <row r="254" spans="1:12" x14ac:dyDescent="0.25">
      <c r="A254" s="251"/>
      <c r="B254" s="251"/>
      <c r="C254" s="35" t="s">
        <v>42</v>
      </c>
      <c r="D254" s="34">
        <f>D207+D187+D172+D151+D128+D106+D72+D44</f>
        <v>2852000</v>
      </c>
      <c r="E254" s="34">
        <f>E207+E187+E172+E151+E128+E106+E72+E44</f>
        <v>2852000</v>
      </c>
      <c r="F254" s="34">
        <f t="shared" ref="F254:K254" si="117">F207+F187+F172+F151+F128+F106+F72+F44</f>
        <v>0</v>
      </c>
      <c r="G254" s="34">
        <f t="shared" si="117"/>
        <v>0</v>
      </c>
      <c r="H254" s="34">
        <f t="shared" si="117"/>
        <v>0</v>
      </c>
      <c r="I254" s="34">
        <f t="shared" si="117"/>
        <v>0</v>
      </c>
      <c r="J254" s="34">
        <f t="shared" si="117"/>
        <v>2852000</v>
      </c>
      <c r="K254" s="34">
        <f t="shared" si="117"/>
        <v>553530</v>
      </c>
    </row>
    <row r="255" spans="1:12" x14ac:dyDescent="0.25">
      <c r="A255" s="251"/>
      <c r="B255" s="251"/>
      <c r="C255" s="35" t="s">
        <v>43</v>
      </c>
      <c r="D255" s="34">
        <f>D45+D73+D188</f>
        <v>290000</v>
      </c>
      <c r="E255" s="34">
        <f>E45+E73+E188</f>
        <v>290000</v>
      </c>
      <c r="F255" s="34">
        <f t="shared" ref="F255:K255" si="118">F45+F73+F188</f>
        <v>0</v>
      </c>
      <c r="G255" s="34">
        <f t="shared" si="118"/>
        <v>0</v>
      </c>
      <c r="H255" s="34">
        <f t="shared" si="118"/>
        <v>0</v>
      </c>
      <c r="I255" s="34">
        <f t="shared" si="118"/>
        <v>0</v>
      </c>
      <c r="J255" s="34">
        <f t="shared" si="118"/>
        <v>290000</v>
      </c>
      <c r="K255" s="34">
        <f t="shared" si="118"/>
        <v>0</v>
      </c>
    </row>
    <row r="256" spans="1:12" x14ac:dyDescent="0.25">
      <c r="A256" s="251"/>
      <c r="B256" s="251"/>
      <c r="C256" s="33" t="s">
        <v>44</v>
      </c>
      <c r="D256" s="34">
        <f>D208+D189+D173+D152+D129+D107+D74+D46</f>
        <v>7754652</v>
      </c>
      <c r="E256" s="34">
        <f>E208+E189+E173+E152+E129+E107+E74+E46</f>
        <v>7754652</v>
      </c>
      <c r="F256" s="34">
        <f t="shared" ref="F256:K256" si="119">F208+F189+F173+F152+F129+F107+F74+F46</f>
        <v>0</v>
      </c>
      <c r="G256" s="34">
        <f t="shared" si="119"/>
        <v>0</v>
      </c>
      <c r="H256" s="34">
        <f t="shared" si="119"/>
        <v>0</v>
      </c>
      <c r="I256" s="34">
        <f t="shared" si="119"/>
        <v>0</v>
      </c>
      <c r="J256" s="34">
        <f t="shared" si="119"/>
        <v>7754652</v>
      </c>
      <c r="K256" s="34">
        <f t="shared" si="119"/>
        <v>1636119</v>
      </c>
    </row>
    <row r="257" spans="1:11" x14ac:dyDescent="0.25">
      <c r="A257" s="251"/>
      <c r="B257" s="251"/>
      <c r="C257" s="37" t="s">
        <v>45</v>
      </c>
      <c r="D257" s="34">
        <f>D209+D190+D75+D47</f>
        <v>743011</v>
      </c>
      <c r="E257" s="34">
        <f>E209+E190+E75+E47</f>
        <v>743011</v>
      </c>
      <c r="F257" s="34">
        <f t="shared" ref="F257:K257" si="120">F209+F190+F75+F47</f>
        <v>0</v>
      </c>
      <c r="G257" s="34">
        <f t="shared" si="120"/>
        <v>0</v>
      </c>
      <c r="H257" s="34">
        <f t="shared" si="120"/>
        <v>0</v>
      </c>
      <c r="I257" s="34">
        <f t="shared" si="120"/>
        <v>0</v>
      </c>
      <c r="J257" s="34">
        <f t="shared" si="120"/>
        <v>743011</v>
      </c>
      <c r="K257" s="34">
        <f t="shared" si="120"/>
        <v>201999</v>
      </c>
    </row>
    <row r="258" spans="1:11" x14ac:dyDescent="0.25">
      <c r="A258" s="251"/>
      <c r="B258" s="251"/>
      <c r="C258" s="65" t="s">
        <v>49</v>
      </c>
      <c r="D258" s="66">
        <f>D210+D191+D174+D153+D130+D108+D76+D48</f>
        <v>62319790</v>
      </c>
      <c r="E258" s="66">
        <f>E210+E191+E174+E153+E130+E108+E76+E48</f>
        <v>62319790</v>
      </c>
      <c r="F258" s="66">
        <f t="shared" ref="F258:K258" si="121">F210+F191+F174+F153+F130+F108+F76+F48</f>
        <v>0</v>
      </c>
      <c r="G258" s="66">
        <f t="shared" si="121"/>
        <v>0</v>
      </c>
      <c r="H258" s="66">
        <f t="shared" si="121"/>
        <v>0</v>
      </c>
      <c r="I258" s="66">
        <f t="shared" si="121"/>
        <v>0</v>
      </c>
      <c r="J258" s="66">
        <f t="shared" si="121"/>
        <v>62319790</v>
      </c>
      <c r="K258" s="66">
        <f t="shared" si="121"/>
        <v>9388353</v>
      </c>
    </row>
    <row r="259" spans="1:11" x14ac:dyDescent="0.25">
      <c r="A259" s="251"/>
      <c r="B259" s="251"/>
      <c r="C259" s="38" t="s">
        <v>50</v>
      </c>
      <c r="D259" s="34">
        <f t="shared" ref="D259:K261" si="122">D193+D77+D49</f>
        <v>161220</v>
      </c>
      <c r="E259" s="34">
        <f t="shared" si="122"/>
        <v>161220</v>
      </c>
      <c r="F259" s="34">
        <f t="shared" si="122"/>
        <v>0</v>
      </c>
      <c r="G259" s="34">
        <f t="shared" si="122"/>
        <v>0</v>
      </c>
      <c r="H259" s="34">
        <f t="shared" si="122"/>
        <v>0</v>
      </c>
      <c r="I259" s="34">
        <f t="shared" si="122"/>
        <v>0</v>
      </c>
      <c r="J259" s="34">
        <f t="shared" si="122"/>
        <v>161220</v>
      </c>
      <c r="K259" s="34">
        <f t="shared" si="122"/>
        <v>0</v>
      </c>
    </row>
    <row r="260" spans="1:11" x14ac:dyDescent="0.25">
      <c r="A260" s="251"/>
      <c r="B260" s="251"/>
      <c r="C260" s="37" t="s">
        <v>51</v>
      </c>
      <c r="D260" s="34">
        <f t="shared" si="122"/>
        <v>43530</v>
      </c>
      <c r="E260" s="34">
        <f t="shared" si="122"/>
        <v>43530</v>
      </c>
      <c r="F260" s="34">
        <f t="shared" si="122"/>
        <v>0</v>
      </c>
      <c r="G260" s="34">
        <f t="shared" si="122"/>
        <v>0</v>
      </c>
      <c r="H260" s="34">
        <f t="shared" si="122"/>
        <v>0</v>
      </c>
      <c r="I260" s="34">
        <f t="shared" si="122"/>
        <v>0</v>
      </c>
      <c r="J260" s="34">
        <f t="shared" si="122"/>
        <v>43530</v>
      </c>
      <c r="K260" s="34">
        <f t="shared" si="122"/>
        <v>0</v>
      </c>
    </row>
    <row r="261" spans="1:11" x14ac:dyDescent="0.25">
      <c r="A261" s="251"/>
      <c r="B261" s="251"/>
      <c r="C261" s="65" t="s">
        <v>52</v>
      </c>
      <c r="D261" s="68">
        <f t="shared" si="122"/>
        <v>204750</v>
      </c>
      <c r="E261" s="68">
        <f t="shared" si="122"/>
        <v>204750</v>
      </c>
      <c r="F261" s="68">
        <f t="shared" si="122"/>
        <v>0</v>
      </c>
      <c r="G261" s="68">
        <f t="shared" si="122"/>
        <v>0</v>
      </c>
      <c r="H261" s="68">
        <f t="shared" si="122"/>
        <v>0</v>
      </c>
      <c r="I261" s="68">
        <f t="shared" si="122"/>
        <v>0</v>
      </c>
      <c r="J261" s="68">
        <f t="shared" si="122"/>
        <v>204750</v>
      </c>
      <c r="K261" s="68">
        <f t="shared" si="122"/>
        <v>0</v>
      </c>
    </row>
    <row r="262" spans="1:11" x14ac:dyDescent="0.25">
      <c r="A262" s="251"/>
      <c r="B262" s="251"/>
      <c r="C262" s="69" t="s">
        <v>88</v>
      </c>
      <c r="D262" s="70">
        <f>D261+D258+D243+D242</f>
        <v>230443641</v>
      </c>
      <c r="E262" s="70">
        <f>E261+E258+E243+E242</f>
        <v>230443641</v>
      </c>
      <c r="F262" s="70">
        <f t="shared" ref="F262:K262" si="123">F261+F258+F243+F242</f>
        <v>0</v>
      </c>
      <c r="G262" s="70">
        <f t="shared" si="123"/>
        <v>0</v>
      </c>
      <c r="H262" s="70">
        <f t="shared" si="123"/>
        <v>0</v>
      </c>
      <c r="I262" s="70">
        <f t="shared" si="123"/>
        <v>0</v>
      </c>
      <c r="J262" s="70">
        <f t="shared" si="123"/>
        <v>230443641</v>
      </c>
      <c r="K262" s="70">
        <f t="shared" si="123"/>
        <v>55434228</v>
      </c>
    </row>
    <row r="263" spans="1:11" x14ac:dyDescent="0.25">
      <c r="B263" s="5"/>
      <c r="E263" s="4"/>
      <c r="F263" s="4"/>
      <c r="G263" s="4"/>
      <c r="H263" s="4"/>
      <c r="I263" s="4"/>
      <c r="J263" s="4"/>
      <c r="K263" s="39"/>
    </row>
    <row r="264" spans="1:11" x14ac:dyDescent="0.25">
      <c r="B264" s="5"/>
      <c r="E264" s="4"/>
      <c r="F264" s="4"/>
      <c r="G264" s="4"/>
      <c r="H264" s="4"/>
      <c r="I264" s="4"/>
      <c r="J264" s="4"/>
      <c r="K264" s="39"/>
    </row>
  </sheetData>
  <autoFilter ref="A4:L214" xr:uid="{00000000-0009-0000-0000-000001000000}"/>
  <mergeCells count="74">
    <mergeCell ref="A1:L1"/>
    <mergeCell ref="A3:A4"/>
    <mergeCell ref="B3:B4"/>
    <mergeCell ref="C3:C4"/>
    <mergeCell ref="E3:E4"/>
    <mergeCell ref="F3:I3"/>
    <mergeCell ref="J3:J4"/>
    <mergeCell ref="K3:K4"/>
    <mergeCell ref="L3:L4"/>
    <mergeCell ref="D3:D4"/>
    <mergeCell ref="A5:A13"/>
    <mergeCell ref="B5:B7"/>
    <mergeCell ref="B8:B11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C24"/>
    <mergeCell ref="A25:A79"/>
    <mergeCell ref="B25:B51"/>
    <mergeCell ref="B52:B79"/>
    <mergeCell ref="A80:A81"/>
    <mergeCell ref="B80:B81"/>
    <mergeCell ref="A82:A83"/>
    <mergeCell ref="B82:B83"/>
    <mergeCell ref="A84:A85"/>
    <mergeCell ref="B84:B85"/>
    <mergeCell ref="A131:A132"/>
    <mergeCell ref="B131:B132"/>
    <mergeCell ref="A86:A87"/>
    <mergeCell ref="B86:B87"/>
    <mergeCell ref="A88:C88"/>
    <mergeCell ref="A89:A108"/>
    <mergeCell ref="B89:B108"/>
    <mergeCell ref="A109:A110"/>
    <mergeCell ref="B109:B110"/>
    <mergeCell ref="A111:A112"/>
    <mergeCell ref="B111:B112"/>
    <mergeCell ref="A113:C113"/>
    <mergeCell ref="A114:A130"/>
    <mergeCell ref="B114:B130"/>
    <mergeCell ref="A177:A178"/>
    <mergeCell ref="B177:B178"/>
    <mergeCell ref="A133:A134"/>
    <mergeCell ref="B133:B134"/>
    <mergeCell ref="A135:C135"/>
    <mergeCell ref="A136:A153"/>
    <mergeCell ref="B136:B153"/>
    <mergeCell ref="A154:A155"/>
    <mergeCell ref="B154:B155"/>
    <mergeCell ref="A156:C156"/>
    <mergeCell ref="A157:A174"/>
    <mergeCell ref="B157:B174"/>
    <mergeCell ref="A175:A176"/>
    <mergeCell ref="B175:B176"/>
    <mergeCell ref="A222:B262"/>
    <mergeCell ref="A179:C179"/>
    <mergeCell ref="A180:A196"/>
    <mergeCell ref="B180:B196"/>
    <mergeCell ref="A197:C197"/>
    <mergeCell ref="A198:A210"/>
    <mergeCell ref="B198:B210"/>
    <mergeCell ref="A211:A212"/>
    <mergeCell ref="B211:B212"/>
    <mergeCell ref="A213:C213"/>
    <mergeCell ref="A214:C214"/>
    <mergeCell ref="A221:K221"/>
  </mergeCells>
  <pageMargins left="0.70866141732283472" right="0.70866141732283472" top="0.74803149606299213" bottom="0.74803149606299213" header="0.31496062992125984" footer="0.31496062992125984"/>
  <pageSetup paperSize="8" scale="95" orientation="landscape" r:id="rId1"/>
  <rowBreaks count="6" manualBreakCount="6">
    <brk id="24" max="16383" man="1"/>
    <brk id="62" max="16383" man="1"/>
    <brk id="113" max="16383" man="1"/>
    <brk id="156" max="16383" man="1"/>
    <brk id="197" max="16383" man="1"/>
    <brk id="217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68"/>
  <sheetViews>
    <sheetView workbookViewId="0">
      <pane xSplit="2" ySplit="4" topLeftCell="C209" activePane="bottomRight" state="frozen"/>
      <selection activeCell="D8" sqref="D8"/>
      <selection pane="topRight" activeCell="D8" sqref="D8"/>
      <selection pane="bottomLeft" activeCell="D8" sqref="D8"/>
      <selection pane="bottomRight" activeCell="D8" sqref="D8"/>
    </sheetView>
  </sheetViews>
  <sheetFormatPr defaultRowHeight="15" x14ac:dyDescent="0.25"/>
  <cols>
    <col min="1" max="1" width="42.7109375" customWidth="1"/>
    <col min="3" max="3" width="7.7109375" customWidth="1"/>
    <col min="4" max="5" width="13.7109375" customWidth="1"/>
    <col min="6" max="6" width="10.28515625" customWidth="1"/>
    <col min="7" max="9" width="10.28515625" bestFit="1" customWidth="1"/>
    <col min="10" max="10" width="13.85546875" bestFit="1" customWidth="1"/>
    <col min="11" max="11" width="16.42578125" style="122" customWidth="1"/>
    <col min="12" max="12" width="13.85546875" customWidth="1"/>
  </cols>
  <sheetData>
    <row r="1" spans="1:12" ht="21" x14ac:dyDescent="0.25">
      <c r="A1" s="311" t="s">
        <v>0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</row>
    <row r="2" spans="1:12" x14ac:dyDescent="0.25">
      <c r="B2" s="5"/>
      <c r="E2" s="4"/>
      <c r="F2" s="4"/>
      <c r="G2" s="4"/>
      <c r="H2" s="4"/>
      <c r="I2" s="4"/>
      <c r="J2" s="4"/>
      <c r="K2" s="111"/>
    </row>
    <row r="3" spans="1:12" ht="15" customHeight="1" x14ac:dyDescent="0.25">
      <c r="A3" s="312" t="s">
        <v>1</v>
      </c>
      <c r="B3" s="314" t="s">
        <v>2</v>
      </c>
      <c r="C3" s="312" t="s">
        <v>3</v>
      </c>
      <c r="D3" s="312" t="s">
        <v>4</v>
      </c>
      <c r="E3" s="316" t="s">
        <v>90</v>
      </c>
      <c r="F3" s="318" t="s">
        <v>98</v>
      </c>
      <c r="G3" s="319"/>
      <c r="H3" s="319"/>
      <c r="I3" s="320"/>
      <c r="J3" s="321" t="s">
        <v>96</v>
      </c>
      <c r="K3" s="323" t="s">
        <v>95</v>
      </c>
      <c r="L3" s="324" t="s">
        <v>92</v>
      </c>
    </row>
    <row r="4" spans="1:12" ht="33.75" x14ac:dyDescent="0.25">
      <c r="A4" s="313"/>
      <c r="B4" s="315"/>
      <c r="C4" s="313"/>
      <c r="D4" s="313"/>
      <c r="E4" s="317"/>
      <c r="F4" s="123" t="s">
        <v>70</v>
      </c>
      <c r="G4" s="108" t="s">
        <v>103</v>
      </c>
      <c r="H4" s="108" t="s">
        <v>101</v>
      </c>
      <c r="I4" s="80" t="s">
        <v>71</v>
      </c>
      <c r="J4" s="322"/>
      <c r="K4" s="323"/>
      <c r="L4" s="324"/>
    </row>
    <row r="5" spans="1:12" x14ac:dyDescent="0.25">
      <c r="A5" s="255" t="s">
        <v>6</v>
      </c>
      <c r="B5" s="268" t="s">
        <v>21</v>
      </c>
      <c r="C5" s="2" t="s">
        <v>16</v>
      </c>
      <c r="D5" s="3">
        <v>54810810</v>
      </c>
      <c r="E5" s="3">
        <v>54810810</v>
      </c>
      <c r="F5" s="3"/>
      <c r="G5" s="3"/>
      <c r="H5" s="3">
        <v>38009</v>
      </c>
      <c r="I5" s="3"/>
      <c r="J5" s="20">
        <f>E5+F5+G5+H5+I5</f>
        <v>54848819</v>
      </c>
      <c r="K5" s="112">
        <v>18320271</v>
      </c>
      <c r="L5" s="3">
        <f>J5-K5</f>
        <v>36528548</v>
      </c>
    </row>
    <row r="6" spans="1:12" x14ac:dyDescent="0.25">
      <c r="A6" s="256"/>
      <c r="B6" s="268"/>
      <c r="C6" s="2" t="s">
        <v>17</v>
      </c>
      <c r="D6" s="3">
        <v>7273070</v>
      </c>
      <c r="E6" s="3">
        <v>7273070</v>
      </c>
      <c r="F6" s="3"/>
      <c r="G6" s="3"/>
      <c r="H6" s="3"/>
      <c r="I6" s="3"/>
      <c r="J6" s="20">
        <f t="shared" ref="J6:J23" si="0">E6+F6+G6+H6+I6</f>
        <v>7273070</v>
      </c>
      <c r="K6" s="112">
        <v>7273070</v>
      </c>
      <c r="L6" s="3">
        <f t="shared" ref="L6:L23" si="1">J6-K6</f>
        <v>0</v>
      </c>
    </row>
    <row r="7" spans="1:12" x14ac:dyDescent="0.25">
      <c r="A7" s="256"/>
      <c r="B7" s="268"/>
      <c r="C7" s="2" t="s">
        <v>18</v>
      </c>
      <c r="D7" s="3">
        <v>96985672</v>
      </c>
      <c r="E7" s="3">
        <v>96985672</v>
      </c>
      <c r="F7" s="3"/>
      <c r="G7" s="3"/>
      <c r="H7" s="3"/>
      <c r="I7" s="3"/>
      <c r="J7" s="20">
        <f t="shared" si="0"/>
        <v>96985672</v>
      </c>
      <c r="K7" s="112">
        <v>41271953</v>
      </c>
      <c r="L7" s="3">
        <f t="shared" si="1"/>
        <v>55713719</v>
      </c>
    </row>
    <row r="8" spans="1:12" x14ac:dyDescent="0.25">
      <c r="A8" s="256"/>
      <c r="B8" s="252">
        <v>104042</v>
      </c>
      <c r="C8" s="2" t="s">
        <v>22</v>
      </c>
      <c r="D8" s="3">
        <v>200000</v>
      </c>
      <c r="E8" s="3">
        <v>200000</v>
      </c>
      <c r="F8" s="3"/>
      <c r="G8" s="3"/>
      <c r="H8" s="3"/>
      <c r="I8" s="3"/>
      <c r="J8" s="20">
        <f t="shared" si="0"/>
        <v>200000</v>
      </c>
      <c r="K8" s="112">
        <v>0</v>
      </c>
      <c r="L8" s="3">
        <f t="shared" si="1"/>
        <v>200000</v>
      </c>
    </row>
    <row r="9" spans="1:12" x14ac:dyDescent="0.25">
      <c r="A9" s="256"/>
      <c r="B9" s="253"/>
      <c r="C9" s="2" t="s">
        <v>19</v>
      </c>
      <c r="D9" s="3">
        <v>13200</v>
      </c>
      <c r="E9" s="3">
        <v>11540</v>
      </c>
      <c r="F9" s="3"/>
      <c r="G9" s="3">
        <v>5000</v>
      </c>
      <c r="H9" s="3"/>
      <c r="I9" s="3"/>
      <c r="J9" s="20">
        <f t="shared" si="0"/>
        <v>16540</v>
      </c>
      <c r="K9" s="112">
        <v>5379</v>
      </c>
      <c r="L9" s="3">
        <f t="shared" si="1"/>
        <v>11161</v>
      </c>
    </row>
    <row r="10" spans="1:12" x14ac:dyDescent="0.25">
      <c r="A10" s="256"/>
      <c r="B10" s="253"/>
      <c r="C10" s="2" t="s">
        <v>20</v>
      </c>
      <c r="D10" s="3">
        <v>500</v>
      </c>
      <c r="E10" s="3">
        <v>61</v>
      </c>
      <c r="F10" s="3">
        <v>150</v>
      </c>
      <c r="G10" s="3"/>
      <c r="H10" s="3"/>
      <c r="I10" s="3"/>
      <c r="J10" s="20">
        <f t="shared" si="0"/>
        <v>211</v>
      </c>
      <c r="K10" s="112">
        <v>87</v>
      </c>
      <c r="L10" s="3">
        <f t="shared" si="1"/>
        <v>124</v>
      </c>
    </row>
    <row r="11" spans="1:12" x14ac:dyDescent="0.25">
      <c r="A11" s="256"/>
      <c r="B11" s="254"/>
      <c r="C11" s="2" t="s">
        <v>84</v>
      </c>
      <c r="D11" s="3">
        <v>0</v>
      </c>
      <c r="E11" s="3">
        <v>2538</v>
      </c>
      <c r="F11" s="3">
        <v>-300</v>
      </c>
      <c r="G11" s="3">
        <v>7000</v>
      </c>
      <c r="H11" s="3"/>
      <c r="I11" s="3"/>
      <c r="J11" s="20">
        <f t="shared" si="0"/>
        <v>9238</v>
      </c>
      <c r="K11" s="112">
        <v>3234</v>
      </c>
      <c r="L11" s="3">
        <f t="shared" si="1"/>
        <v>6004</v>
      </c>
    </row>
    <row r="12" spans="1:12" x14ac:dyDescent="0.25">
      <c r="A12" s="256"/>
      <c r="B12" s="252">
        <v>104043</v>
      </c>
      <c r="C12" s="2" t="s">
        <v>20</v>
      </c>
      <c r="D12" s="3">
        <v>500</v>
      </c>
      <c r="E12" s="3">
        <v>60</v>
      </c>
      <c r="F12" s="3">
        <v>150</v>
      </c>
      <c r="G12" s="3"/>
      <c r="H12" s="3"/>
      <c r="I12" s="3"/>
      <c r="J12" s="20">
        <f t="shared" si="0"/>
        <v>210</v>
      </c>
      <c r="K12" s="112">
        <v>86</v>
      </c>
      <c r="L12" s="3">
        <f t="shared" si="1"/>
        <v>124</v>
      </c>
    </row>
    <row r="13" spans="1:12" x14ac:dyDescent="0.25">
      <c r="A13" s="257"/>
      <c r="B13" s="254"/>
      <c r="C13" s="2" t="s">
        <v>84</v>
      </c>
      <c r="D13" s="3">
        <v>0</v>
      </c>
      <c r="E13" s="3">
        <v>1</v>
      </c>
      <c r="F13" s="3"/>
      <c r="G13" s="3"/>
      <c r="H13" s="3"/>
      <c r="I13" s="3"/>
      <c r="J13" s="20">
        <f t="shared" si="0"/>
        <v>1</v>
      </c>
      <c r="K13" s="112">
        <v>1</v>
      </c>
      <c r="L13" s="3">
        <f t="shared" si="1"/>
        <v>0</v>
      </c>
    </row>
    <row r="14" spans="1:12" x14ac:dyDescent="0.25">
      <c r="A14" s="258" t="s">
        <v>7</v>
      </c>
      <c r="B14" s="268" t="s">
        <v>21</v>
      </c>
      <c r="C14" s="2" t="s">
        <v>16</v>
      </c>
      <c r="D14" s="3">
        <v>245982</v>
      </c>
      <c r="E14" s="3">
        <v>245982</v>
      </c>
      <c r="F14" s="3"/>
      <c r="G14" s="3"/>
      <c r="H14" s="3"/>
      <c r="I14" s="3"/>
      <c r="J14" s="20">
        <f t="shared" si="0"/>
        <v>245982</v>
      </c>
      <c r="K14" s="112">
        <v>74405</v>
      </c>
      <c r="L14" s="3">
        <f t="shared" si="1"/>
        <v>171577</v>
      </c>
    </row>
    <row r="15" spans="1:12" x14ac:dyDescent="0.25">
      <c r="A15" s="258"/>
      <c r="B15" s="268"/>
      <c r="C15" s="2" t="s">
        <v>17</v>
      </c>
      <c r="D15" s="3">
        <v>1005557</v>
      </c>
      <c r="E15" s="3">
        <v>1005557</v>
      </c>
      <c r="F15" s="3"/>
      <c r="G15" s="3"/>
      <c r="H15" s="3"/>
      <c r="I15" s="3"/>
      <c r="J15" s="20">
        <f t="shared" si="0"/>
        <v>1005557</v>
      </c>
      <c r="K15" s="112">
        <v>1005557</v>
      </c>
      <c r="L15" s="3">
        <f t="shared" si="1"/>
        <v>0</v>
      </c>
    </row>
    <row r="16" spans="1:12" x14ac:dyDescent="0.25">
      <c r="A16" s="258" t="s">
        <v>8</v>
      </c>
      <c r="B16" s="268" t="s">
        <v>21</v>
      </c>
      <c r="C16" s="2" t="s">
        <v>16</v>
      </c>
      <c r="D16" s="3">
        <v>3086953</v>
      </c>
      <c r="E16" s="3">
        <v>3086953</v>
      </c>
      <c r="F16" s="3"/>
      <c r="G16" s="3"/>
      <c r="H16" s="3">
        <v>16751</v>
      </c>
      <c r="I16" s="3"/>
      <c r="J16" s="20">
        <f t="shared" si="0"/>
        <v>3103704</v>
      </c>
      <c r="K16" s="112">
        <v>771738</v>
      </c>
      <c r="L16" s="3">
        <f t="shared" si="1"/>
        <v>2331966</v>
      </c>
    </row>
    <row r="17" spans="1:12" x14ac:dyDescent="0.25">
      <c r="A17" s="258"/>
      <c r="B17" s="268"/>
      <c r="C17" s="2" t="s">
        <v>17</v>
      </c>
      <c r="D17" s="3">
        <v>440959</v>
      </c>
      <c r="E17" s="3">
        <v>440959</v>
      </c>
      <c r="F17" s="3"/>
      <c r="G17" s="3"/>
      <c r="H17" s="3"/>
      <c r="I17" s="3"/>
      <c r="J17" s="20">
        <f t="shared" si="0"/>
        <v>440959</v>
      </c>
      <c r="K17" s="112">
        <v>440959</v>
      </c>
      <c r="L17" s="3">
        <f t="shared" si="1"/>
        <v>0</v>
      </c>
    </row>
    <row r="18" spans="1:12" x14ac:dyDescent="0.25">
      <c r="A18" s="258" t="s">
        <v>9</v>
      </c>
      <c r="B18" s="268" t="s">
        <v>21</v>
      </c>
      <c r="C18" s="2" t="s">
        <v>16</v>
      </c>
      <c r="D18" s="3">
        <v>1403439</v>
      </c>
      <c r="E18" s="3">
        <v>1403439</v>
      </c>
      <c r="F18" s="3"/>
      <c r="G18" s="3"/>
      <c r="H18" s="3">
        <v>11448</v>
      </c>
      <c r="I18" s="3"/>
      <c r="J18" s="20">
        <f t="shared" si="0"/>
        <v>1414887</v>
      </c>
      <c r="K18" s="112">
        <v>362308</v>
      </c>
      <c r="L18" s="3">
        <f t="shared" si="1"/>
        <v>1052579</v>
      </c>
    </row>
    <row r="19" spans="1:12" x14ac:dyDescent="0.25">
      <c r="A19" s="258"/>
      <c r="B19" s="268"/>
      <c r="C19" s="2" t="s">
        <v>17</v>
      </c>
      <c r="D19" s="3">
        <v>599759</v>
      </c>
      <c r="E19" s="3">
        <v>599759</v>
      </c>
      <c r="F19" s="3"/>
      <c r="G19" s="3"/>
      <c r="H19" s="3"/>
      <c r="I19" s="3"/>
      <c r="J19" s="20">
        <f t="shared" si="0"/>
        <v>599759</v>
      </c>
      <c r="K19" s="112">
        <v>599759</v>
      </c>
      <c r="L19" s="3">
        <f t="shared" si="1"/>
        <v>0</v>
      </c>
    </row>
    <row r="20" spans="1:12" x14ac:dyDescent="0.25">
      <c r="A20" s="255" t="s">
        <v>54</v>
      </c>
      <c r="B20" s="252" t="s">
        <v>21</v>
      </c>
      <c r="C20" s="2" t="s">
        <v>16</v>
      </c>
      <c r="D20" s="3">
        <v>4056383</v>
      </c>
      <c r="E20" s="3">
        <v>4056383</v>
      </c>
      <c r="F20" s="3"/>
      <c r="G20" s="3"/>
      <c r="H20" s="3"/>
      <c r="I20" s="3"/>
      <c r="J20" s="20">
        <f t="shared" si="0"/>
        <v>4056383</v>
      </c>
      <c r="K20" s="112">
        <v>1014096</v>
      </c>
      <c r="L20" s="3">
        <f t="shared" si="1"/>
        <v>3042287</v>
      </c>
    </row>
    <row r="21" spans="1:12" x14ac:dyDescent="0.25">
      <c r="A21" s="257"/>
      <c r="B21" s="254"/>
      <c r="C21" s="2" t="s">
        <v>17</v>
      </c>
      <c r="D21" s="3">
        <v>226299</v>
      </c>
      <c r="E21" s="3">
        <v>226299</v>
      </c>
      <c r="F21" s="3"/>
      <c r="G21" s="3"/>
      <c r="H21" s="3"/>
      <c r="I21" s="3"/>
      <c r="J21" s="20">
        <f t="shared" si="0"/>
        <v>226299</v>
      </c>
      <c r="K21" s="112">
        <v>226299</v>
      </c>
      <c r="L21" s="3">
        <f t="shared" si="1"/>
        <v>0</v>
      </c>
    </row>
    <row r="22" spans="1:12" x14ac:dyDescent="0.25">
      <c r="A22" s="258" t="s">
        <v>10</v>
      </c>
      <c r="B22" s="268" t="s">
        <v>21</v>
      </c>
      <c r="C22" s="2" t="s">
        <v>16</v>
      </c>
      <c r="D22" s="3">
        <v>53627392</v>
      </c>
      <c r="E22" s="3">
        <v>53627392</v>
      </c>
      <c r="F22" s="3"/>
      <c r="G22" s="3"/>
      <c r="H22" s="3"/>
      <c r="I22" s="3"/>
      <c r="J22" s="20">
        <f t="shared" si="0"/>
        <v>53627392</v>
      </c>
      <c r="K22" s="112">
        <v>16810012</v>
      </c>
      <c r="L22" s="3">
        <f t="shared" si="1"/>
        <v>36817380</v>
      </c>
    </row>
    <row r="23" spans="1:12" x14ac:dyDescent="0.25">
      <c r="A23" s="258"/>
      <c r="B23" s="268"/>
      <c r="C23" s="2" t="s">
        <v>17</v>
      </c>
      <c r="D23" s="3">
        <v>6467166</v>
      </c>
      <c r="E23" s="3">
        <v>6467166</v>
      </c>
      <c r="F23" s="3"/>
      <c r="G23" s="3"/>
      <c r="H23" s="3"/>
      <c r="I23" s="3"/>
      <c r="J23" s="20">
        <f t="shared" si="0"/>
        <v>6467166</v>
      </c>
      <c r="K23" s="112">
        <v>6467166</v>
      </c>
      <c r="L23" s="3">
        <f t="shared" si="1"/>
        <v>0</v>
      </c>
    </row>
    <row r="24" spans="1:12" ht="30" customHeight="1" x14ac:dyDescent="0.25">
      <c r="A24" s="307" t="s">
        <v>73</v>
      </c>
      <c r="B24" s="308"/>
      <c r="C24" s="309"/>
      <c r="D24" s="81">
        <f t="shared" ref="D24:L24" si="2">SUM(D5:D23)</f>
        <v>230443641</v>
      </c>
      <c r="E24" s="81">
        <f t="shared" si="2"/>
        <v>230443641</v>
      </c>
      <c r="F24" s="81">
        <f t="shared" si="2"/>
        <v>0</v>
      </c>
      <c r="G24" s="81">
        <f t="shared" si="2"/>
        <v>12000</v>
      </c>
      <c r="H24" s="81">
        <f t="shared" si="2"/>
        <v>66208</v>
      </c>
      <c r="I24" s="81">
        <f t="shared" si="2"/>
        <v>0</v>
      </c>
      <c r="J24" s="81">
        <f t="shared" si="2"/>
        <v>230521849</v>
      </c>
      <c r="K24" s="113">
        <f t="shared" si="2"/>
        <v>94646380</v>
      </c>
      <c r="L24" s="81">
        <f t="shared" si="2"/>
        <v>135875469</v>
      </c>
    </row>
    <row r="25" spans="1:12" x14ac:dyDescent="0.25">
      <c r="A25" s="258" t="s">
        <v>11</v>
      </c>
      <c r="B25" s="252" t="s">
        <v>23</v>
      </c>
      <c r="C25" s="2" t="s">
        <v>24</v>
      </c>
      <c r="D25" s="3">
        <v>35883092</v>
      </c>
      <c r="E25" s="3">
        <v>35791184</v>
      </c>
      <c r="F25" s="3">
        <f>-26770-60000</f>
        <v>-86770</v>
      </c>
      <c r="G25" s="3"/>
      <c r="H25" s="3">
        <v>11870</v>
      </c>
      <c r="I25" s="3"/>
      <c r="J25" s="20">
        <f t="shared" ref="J25:J31" si="3">E25+F25+G25+H25+I25</f>
        <v>35716284</v>
      </c>
      <c r="K25" s="112">
        <v>13037510</v>
      </c>
      <c r="L25" s="3">
        <f t="shared" ref="L25:L31" si="4">J25-K25</f>
        <v>22678774</v>
      </c>
    </row>
    <row r="26" spans="1:12" x14ac:dyDescent="0.25">
      <c r="A26" s="258"/>
      <c r="B26" s="253"/>
      <c r="C26" s="2" t="s">
        <v>25</v>
      </c>
      <c r="D26" s="3">
        <v>1542000</v>
      </c>
      <c r="E26" s="3">
        <v>1542000</v>
      </c>
      <c r="F26" s="3"/>
      <c r="G26" s="3"/>
      <c r="H26" s="3"/>
      <c r="I26" s="3"/>
      <c r="J26" s="20">
        <f t="shared" si="3"/>
        <v>1542000</v>
      </c>
      <c r="K26" s="112">
        <v>725000</v>
      </c>
      <c r="L26" s="3">
        <f t="shared" si="4"/>
        <v>817000</v>
      </c>
    </row>
    <row r="27" spans="1:12" x14ac:dyDescent="0.25">
      <c r="A27" s="258"/>
      <c r="B27" s="253"/>
      <c r="C27" s="2" t="s">
        <v>26</v>
      </c>
      <c r="D27" s="3">
        <v>80000</v>
      </c>
      <c r="E27" s="3">
        <v>80000</v>
      </c>
      <c r="F27" s="3"/>
      <c r="G27" s="3"/>
      <c r="H27" s="3"/>
      <c r="I27" s="3"/>
      <c r="J27" s="20">
        <f t="shared" si="3"/>
        <v>80000</v>
      </c>
      <c r="K27" s="112">
        <v>0</v>
      </c>
      <c r="L27" s="3">
        <f t="shared" si="4"/>
        <v>80000</v>
      </c>
    </row>
    <row r="28" spans="1:12" x14ac:dyDescent="0.25">
      <c r="A28" s="258"/>
      <c r="B28" s="253"/>
      <c r="C28" s="2" t="s">
        <v>27</v>
      </c>
      <c r="D28" s="3">
        <v>893400</v>
      </c>
      <c r="E28" s="3">
        <v>893400</v>
      </c>
      <c r="F28" s="3"/>
      <c r="G28" s="3"/>
      <c r="H28" s="3"/>
      <c r="I28" s="3"/>
      <c r="J28" s="20">
        <f t="shared" si="3"/>
        <v>893400</v>
      </c>
      <c r="K28" s="112">
        <v>260830</v>
      </c>
      <c r="L28" s="3">
        <f t="shared" si="4"/>
        <v>632570</v>
      </c>
    </row>
    <row r="29" spans="1:12" x14ac:dyDescent="0.25">
      <c r="A29" s="258"/>
      <c r="B29" s="253"/>
      <c r="C29" s="2" t="s">
        <v>28</v>
      </c>
      <c r="D29" s="3">
        <v>190000</v>
      </c>
      <c r="E29" s="3">
        <v>190000</v>
      </c>
      <c r="F29" s="3"/>
      <c r="G29" s="3"/>
      <c r="H29" s="3"/>
      <c r="I29" s="3"/>
      <c r="J29" s="20">
        <f t="shared" si="3"/>
        <v>190000</v>
      </c>
      <c r="K29" s="112">
        <v>93000</v>
      </c>
      <c r="L29" s="3">
        <f t="shared" si="4"/>
        <v>97000</v>
      </c>
    </row>
    <row r="30" spans="1:12" x14ac:dyDescent="0.25">
      <c r="A30" s="258"/>
      <c r="B30" s="253"/>
      <c r="C30" s="2" t="s">
        <v>29</v>
      </c>
      <c r="D30" s="3">
        <v>1086500</v>
      </c>
      <c r="E30" s="3">
        <v>1178408</v>
      </c>
      <c r="F30" s="3">
        <f>26770+60000</f>
        <v>86770</v>
      </c>
      <c r="G30" s="3"/>
      <c r="H30" s="3"/>
      <c r="I30" s="3"/>
      <c r="J30" s="20">
        <f t="shared" si="3"/>
        <v>1265178</v>
      </c>
      <c r="K30" s="112">
        <v>314491</v>
      </c>
      <c r="L30" s="3">
        <f t="shared" si="4"/>
        <v>950687</v>
      </c>
    </row>
    <row r="31" spans="1:12" x14ac:dyDescent="0.25">
      <c r="A31" s="258"/>
      <c r="B31" s="253"/>
      <c r="C31" s="2" t="s">
        <v>30</v>
      </c>
      <c r="D31" s="3">
        <v>100000</v>
      </c>
      <c r="E31" s="3">
        <v>100000</v>
      </c>
      <c r="F31" s="3"/>
      <c r="G31" s="3"/>
      <c r="H31" s="3"/>
      <c r="I31" s="3"/>
      <c r="J31" s="20">
        <f t="shared" si="3"/>
        <v>100000</v>
      </c>
      <c r="K31" s="112">
        <v>1500</v>
      </c>
      <c r="L31" s="3">
        <f t="shared" si="4"/>
        <v>98500</v>
      </c>
    </row>
    <row r="32" spans="1:12" x14ac:dyDescent="0.25">
      <c r="A32" s="258"/>
      <c r="B32" s="253"/>
      <c r="C32" s="6" t="s">
        <v>53</v>
      </c>
      <c r="D32" s="7">
        <f>SUM(D25:D31)</f>
        <v>39774992</v>
      </c>
      <c r="E32" s="7">
        <v>39774992</v>
      </c>
      <c r="F32" s="7">
        <f t="shared" ref="F32:L32" si="5">SUM(F25:F31)</f>
        <v>0</v>
      </c>
      <c r="G32" s="7">
        <f t="shared" si="5"/>
        <v>0</v>
      </c>
      <c r="H32" s="7">
        <f t="shared" si="5"/>
        <v>11870</v>
      </c>
      <c r="I32" s="7">
        <f t="shared" si="5"/>
        <v>0</v>
      </c>
      <c r="J32" s="7">
        <f t="shared" si="5"/>
        <v>39786862</v>
      </c>
      <c r="K32" s="114">
        <f t="shared" si="5"/>
        <v>14432331</v>
      </c>
      <c r="L32" s="7">
        <f t="shared" si="5"/>
        <v>25354531</v>
      </c>
    </row>
    <row r="33" spans="1:12" x14ac:dyDescent="0.25">
      <c r="A33" s="258"/>
      <c r="B33" s="253"/>
      <c r="C33" s="86" t="s">
        <v>31</v>
      </c>
      <c r="D33" s="87">
        <v>7793417</v>
      </c>
      <c r="E33" s="87">
        <v>7793417</v>
      </c>
      <c r="F33" s="87"/>
      <c r="G33" s="87"/>
      <c r="H33" s="87">
        <v>2315</v>
      </c>
      <c r="I33" s="87"/>
      <c r="J33" s="88">
        <f t="shared" ref="J33:J47" si="6">E33+F33+G33+H33+I33</f>
        <v>7795732</v>
      </c>
      <c r="K33" s="115">
        <v>2986891</v>
      </c>
      <c r="L33" s="89">
        <f t="shared" ref="L33:L47" si="7">J33-K33</f>
        <v>4808841</v>
      </c>
    </row>
    <row r="34" spans="1:12" x14ac:dyDescent="0.25">
      <c r="A34" s="258"/>
      <c r="B34" s="253"/>
      <c r="C34" s="2" t="s">
        <v>32</v>
      </c>
      <c r="D34" s="3">
        <v>105000</v>
      </c>
      <c r="E34" s="3">
        <v>105000</v>
      </c>
      <c r="F34" s="3"/>
      <c r="G34" s="3"/>
      <c r="H34" s="3"/>
      <c r="I34" s="3"/>
      <c r="J34" s="20">
        <f t="shared" si="6"/>
        <v>105000</v>
      </c>
      <c r="K34" s="112">
        <v>17779</v>
      </c>
      <c r="L34" s="3">
        <f t="shared" si="7"/>
        <v>87221</v>
      </c>
    </row>
    <row r="35" spans="1:12" x14ac:dyDescent="0.25">
      <c r="A35" s="258"/>
      <c r="B35" s="253"/>
      <c r="C35" s="2" t="s">
        <v>33</v>
      </c>
      <c r="D35" s="3">
        <v>500000</v>
      </c>
      <c r="E35" s="3">
        <v>500000</v>
      </c>
      <c r="F35" s="3"/>
      <c r="G35" s="3"/>
      <c r="H35" s="3"/>
      <c r="I35" s="3"/>
      <c r="J35" s="20">
        <f t="shared" si="6"/>
        <v>500000</v>
      </c>
      <c r="K35" s="112">
        <v>0</v>
      </c>
      <c r="L35" s="3">
        <f t="shared" si="7"/>
        <v>500000</v>
      </c>
    </row>
    <row r="36" spans="1:12" x14ac:dyDescent="0.25">
      <c r="A36" s="258"/>
      <c r="B36" s="253"/>
      <c r="C36" s="2" t="s">
        <v>34</v>
      </c>
      <c r="D36" s="3">
        <v>213000</v>
      </c>
      <c r="E36" s="3">
        <v>213000</v>
      </c>
      <c r="F36" s="3"/>
      <c r="G36" s="3"/>
      <c r="H36" s="3"/>
      <c r="I36" s="3"/>
      <c r="J36" s="20">
        <f t="shared" si="6"/>
        <v>213000</v>
      </c>
      <c r="K36" s="112">
        <v>52493</v>
      </c>
      <c r="L36" s="3">
        <f t="shared" si="7"/>
        <v>160507</v>
      </c>
    </row>
    <row r="37" spans="1:12" x14ac:dyDescent="0.25">
      <c r="A37" s="258"/>
      <c r="B37" s="253"/>
      <c r="C37" s="2" t="s">
        <v>35</v>
      </c>
      <c r="D37" s="3">
        <v>162000</v>
      </c>
      <c r="E37" s="3">
        <v>162000</v>
      </c>
      <c r="F37" s="3"/>
      <c r="G37" s="3"/>
      <c r="H37" s="3"/>
      <c r="I37" s="3"/>
      <c r="J37" s="20">
        <f t="shared" si="6"/>
        <v>162000</v>
      </c>
      <c r="K37" s="112">
        <v>27395</v>
      </c>
      <c r="L37" s="3">
        <f t="shared" si="7"/>
        <v>134605</v>
      </c>
    </row>
    <row r="38" spans="1:12" x14ac:dyDescent="0.25">
      <c r="A38" s="258"/>
      <c r="B38" s="253"/>
      <c r="C38" s="2" t="s">
        <v>36</v>
      </c>
      <c r="D38" s="3">
        <v>569540</v>
      </c>
      <c r="E38" s="3">
        <v>569540</v>
      </c>
      <c r="F38" s="3"/>
      <c r="G38" s="3"/>
      <c r="H38" s="3"/>
      <c r="I38" s="3"/>
      <c r="J38" s="20">
        <f t="shared" si="6"/>
        <v>569540</v>
      </c>
      <c r="K38" s="112">
        <v>292784</v>
      </c>
      <c r="L38" s="3">
        <f t="shared" si="7"/>
        <v>276756</v>
      </c>
    </row>
    <row r="39" spans="1:12" x14ac:dyDescent="0.25">
      <c r="A39" s="258"/>
      <c r="B39" s="253"/>
      <c r="C39" s="2" t="s">
        <v>37</v>
      </c>
      <c r="D39" s="3">
        <v>3000</v>
      </c>
      <c r="E39" s="3">
        <v>3000</v>
      </c>
      <c r="F39" s="3"/>
      <c r="G39" s="3"/>
      <c r="H39" s="3"/>
      <c r="I39" s="3"/>
      <c r="J39" s="20">
        <f t="shared" si="6"/>
        <v>3000</v>
      </c>
      <c r="K39" s="112">
        <v>0</v>
      </c>
      <c r="L39" s="3">
        <f t="shared" si="7"/>
        <v>3000</v>
      </c>
    </row>
    <row r="40" spans="1:12" x14ac:dyDescent="0.25">
      <c r="A40" s="258"/>
      <c r="B40" s="253"/>
      <c r="C40" s="2" t="s">
        <v>38</v>
      </c>
      <c r="D40" s="3">
        <v>460000</v>
      </c>
      <c r="E40" s="3">
        <v>460000</v>
      </c>
      <c r="F40" s="3">
        <v>-3500</v>
      </c>
      <c r="G40" s="3"/>
      <c r="H40" s="3"/>
      <c r="I40" s="3"/>
      <c r="J40" s="20">
        <f t="shared" si="6"/>
        <v>456500</v>
      </c>
      <c r="K40" s="112">
        <v>88911</v>
      </c>
      <c r="L40" s="3">
        <f t="shared" si="7"/>
        <v>367589</v>
      </c>
    </row>
    <row r="41" spans="1:12" x14ac:dyDescent="0.25">
      <c r="A41" s="258"/>
      <c r="B41" s="253"/>
      <c r="C41" s="2" t="s">
        <v>39</v>
      </c>
      <c r="D41" s="3">
        <v>13200</v>
      </c>
      <c r="E41" s="3">
        <v>11540</v>
      </c>
      <c r="F41" s="3"/>
      <c r="G41" s="3">
        <v>5000</v>
      </c>
      <c r="H41" s="3"/>
      <c r="I41" s="3"/>
      <c r="J41" s="20">
        <f t="shared" si="6"/>
        <v>16540</v>
      </c>
      <c r="K41" s="112">
        <v>5379</v>
      </c>
      <c r="L41" s="3">
        <f t="shared" si="7"/>
        <v>11161</v>
      </c>
    </row>
    <row r="42" spans="1:12" x14ac:dyDescent="0.25">
      <c r="A42" s="258"/>
      <c r="B42" s="253"/>
      <c r="C42" s="2" t="s">
        <v>40</v>
      </c>
      <c r="D42" s="3">
        <v>137800</v>
      </c>
      <c r="E42" s="3">
        <v>137800</v>
      </c>
      <c r="F42" s="3"/>
      <c r="G42" s="3"/>
      <c r="H42" s="3"/>
      <c r="I42" s="3"/>
      <c r="J42" s="20">
        <f t="shared" si="6"/>
        <v>137800</v>
      </c>
      <c r="K42" s="112">
        <v>26300</v>
      </c>
      <c r="L42" s="3">
        <f t="shared" si="7"/>
        <v>111500</v>
      </c>
    </row>
    <row r="43" spans="1:12" x14ac:dyDescent="0.25">
      <c r="A43" s="258"/>
      <c r="B43" s="253"/>
      <c r="C43" s="2" t="s">
        <v>41</v>
      </c>
      <c r="D43" s="3">
        <v>582236</v>
      </c>
      <c r="E43" s="3">
        <v>583896</v>
      </c>
      <c r="F43" s="3"/>
      <c r="G43" s="3"/>
      <c r="H43" s="3"/>
      <c r="I43" s="3"/>
      <c r="J43" s="20">
        <f t="shared" si="6"/>
        <v>583896</v>
      </c>
      <c r="K43" s="112">
        <v>311964</v>
      </c>
      <c r="L43" s="3">
        <f t="shared" si="7"/>
        <v>271932</v>
      </c>
    </row>
    <row r="44" spans="1:12" x14ac:dyDescent="0.25">
      <c r="A44" s="258"/>
      <c r="B44" s="253"/>
      <c r="C44" s="2" t="s">
        <v>42</v>
      </c>
      <c r="D44" s="3">
        <v>552000</v>
      </c>
      <c r="E44" s="3">
        <v>539440</v>
      </c>
      <c r="F44" s="3"/>
      <c r="G44" s="3"/>
      <c r="H44" s="3"/>
      <c r="I44" s="3"/>
      <c r="J44" s="20">
        <f t="shared" si="6"/>
        <v>539440</v>
      </c>
      <c r="K44" s="112">
        <v>170570</v>
      </c>
      <c r="L44" s="3">
        <f t="shared" si="7"/>
        <v>368870</v>
      </c>
    </row>
    <row r="45" spans="1:12" x14ac:dyDescent="0.25">
      <c r="A45" s="258"/>
      <c r="B45" s="253"/>
      <c r="C45" s="2" t="s">
        <v>43</v>
      </c>
      <c r="D45" s="3">
        <v>30000</v>
      </c>
      <c r="E45" s="3">
        <v>30000</v>
      </c>
      <c r="F45" s="3"/>
      <c r="G45" s="3"/>
      <c r="H45" s="3"/>
      <c r="I45" s="3"/>
      <c r="J45" s="20">
        <f t="shared" si="6"/>
        <v>30000</v>
      </c>
      <c r="K45" s="112">
        <v>0</v>
      </c>
      <c r="L45" s="3">
        <f t="shared" si="7"/>
        <v>30000</v>
      </c>
    </row>
    <row r="46" spans="1:12" x14ac:dyDescent="0.25">
      <c r="A46" s="258"/>
      <c r="B46" s="253"/>
      <c r="C46" s="2" t="s">
        <v>44</v>
      </c>
      <c r="D46" s="3">
        <v>455834</v>
      </c>
      <c r="E46" s="3">
        <v>455834</v>
      </c>
      <c r="F46" s="3">
        <v>-237399</v>
      </c>
      <c r="G46" s="3"/>
      <c r="H46" s="3"/>
      <c r="I46" s="3"/>
      <c r="J46" s="20">
        <f t="shared" si="6"/>
        <v>218435</v>
      </c>
      <c r="K46" s="112">
        <v>80394</v>
      </c>
      <c r="L46" s="3">
        <f t="shared" si="7"/>
        <v>138041</v>
      </c>
    </row>
    <row r="47" spans="1:12" x14ac:dyDescent="0.25">
      <c r="A47" s="258"/>
      <c r="B47" s="253"/>
      <c r="C47" s="2" t="s">
        <v>45</v>
      </c>
      <c r="D47" s="3">
        <v>80000</v>
      </c>
      <c r="E47" s="3">
        <v>75764</v>
      </c>
      <c r="F47" s="3"/>
      <c r="G47" s="3"/>
      <c r="H47" s="3"/>
      <c r="I47" s="3"/>
      <c r="J47" s="20">
        <f t="shared" si="6"/>
        <v>75764</v>
      </c>
      <c r="K47" s="112">
        <v>32520</v>
      </c>
      <c r="L47" s="3">
        <f t="shared" si="7"/>
        <v>43244</v>
      </c>
    </row>
    <row r="48" spans="1:12" x14ac:dyDescent="0.25">
      <c r="A48" s="258"/>
      <c r="B48" s="253"/>
      <c r="C48" s="6" t="s">
        <v>49</v>
      </c>
      <c r="D48" s="7">
        <f>SUM(D34:D47)</f>
        <v>3863610</v>
      </c>
      <c r="E48" s="7">
        <v>3859374</v>
      </c>
      <c r="F48" s="7">
        <f t="shared" ref="F48:L48" si="8">SUM(F34:F47)</f>
        <v>-240899</v>
      </c>
      <c r="G48" s="7">
        <f t="shared" si="8"/>
        <v>5000</v>
      </c>
      <c r="H48" s="7">
        <f t="shared" si="8"/>
        <v>0</v>
      </c>
      <c r="I48" s="7">
        <f t="shared" si="8"/>
        <v>0</v>
      </c>
      <c r="J48" s="7">
        <f t="shared" si="8"/>
        <v>3610915</v>
      </c>
      <c r="K48" s="114">
        <f t="shared" si="8"/>
        <v>1106489</v>
      </c>
      <c r="L48" s="7">
        <f t="shared" si="8"/>
        <v>2504426</v>
      </c>
    </row>
    <row r="49" spans="1:12" x14ac:dyDescent="0.25">
      <c r="A49" s="258"/>
      <c r="B49" s="253"/>
      <c r="C49" s="2" t="s">
        <v>50</v>
      </c>
      <c r="D49" s="3">
        <v>78740</v>
      </c>
      <c r="E49" s="3">
        <v>78740</v>
      </c>
      <c r="F49" s="3"/>
      <c r="G49" s="3"/>
      <c r="H49" s="3"/>
      <c r="I49" s="3"/>
      <c r="J49" s="20">
        <f t="shared" ref="J49:J50" si="9">E49+F49+G49+H49+I49</f>
        <v>78740</v>
      </c>
      <c r="K49" s="112">
        <v>0</v>
      </c>
      <c r="L49" s="3">
        <f t="shared" ref="L49:L50" si="10">J49-K49</f>
        <v>78740</v>
      </c>
    </row>
    <row r="50" spans="1:12" x14ac:dyDescent="0.25">
      <c r="A50" s="258"/>
      <c r="B50" s="253"/>
      <c r="C50" s="2" t="s">
        <v>51</v>
      </c>
      <c r="D50" s="3">
        <v>21260</v>
      </c>
      <c r="E50" s="3">
        <v>21260</v>
      </c>
      <c r="F50" s="3"/>
      <c r="G50" s="3"/>
      <c r="H50" s="3"/>
      <c r="I50" s="3"/>
      <c r="J50" s="20">
        <f t="shared" si="9"/>
        <v>21260</v>
      </c>
      <c r="K50" s="112">
        <v>0</v>
      </c>
      <c r="L50" s="3">
        <f t="shared" si="10"/>
        <v>21260</v>
      </c>
    </row>
    <row r="51" spans="1:12" x14ac:dyDescent="0.25">
      <c r="A51" s="258"/>
      <c r="B51" s="254"/>
      <c r="C51" s="6" t="s">
        <v>52</v>
      </c>
      <c r="D51" s="7">
        <f>SUM(D49:D50)</f>
        <v>100000</v>
      </c>
      <c r="E51" s="7">
        <v>100000</v>
      </c>
      <c r="F51" s="7">
        <f t="shared" ref="F51:L51" si="11">SUM(F49:F50)</f>
        <v>0</v>
      </c>
      <c r="G51" s="7">
        <f t="shared" si="11"/>
        <v>0</v>
      </c>
      <c r="H51" s="7">
        <f t="shared" si="11"/>
        <v>0</v>
      </c>
      <c r="I51" s="7">
        <f t="shared" si="11"/>
        <v>0</v>
      </c>
      <c r="J51" s="7">
        <f t="shared" si="11"/>
        <v>100000</v>
      </c>
      <c r="K51" s="114">
        <f t="shared" si="11"/>
        <v>0</v>
      </c>
      <c r="L51" s="7">
        <f t="shared" si="11"/>
        <v>100000</v>
      </c>
    </row>
    <row r="52" spans="1:12" x14ac:dyDescent="0.25">
      <c r="A52" s="258"/>
      <c r="B52" s="268" t="s">
        <v>46</v>
      </c>
      <c r="C52" s="2" t="s">
        <v>24</v>
      </c>
      <c r="D52" s="3">
        <v>25123345</v>
      </c>
      <c r="E52" s="3">
        <v>25123345</v>
      </c>
      <c r="F52" s="3"/>
      <c r="G52" s="3"/>
      <c r="H52" s="3">
        <v>19936</v>
      </c>
      <c r="I52" s="3"/>
      <c r="J52" s="20">
        <f t="shared" ref="J52:J60" si="12">E52+F52+G52+H52+I52</f>
        <v>25143281</v>
      </c>
      <c r="K52" s="112">
        <v>9499281</v>
      </c>
      <c r="L52" s="3">
        <f t="shared" ref="L52:L60" si="13">J52-K52</f>
        <v>15644000</v>
      </c>
    </row>
    <row r="53" spans="1:12" x14ac:dyDescent="0.25">
      <c r="A53" s="258"/>
      <c r="B53" s="268"/>
      <c r="C53" s="2" t="s">
        <v>47</v>
      </c>
      <c r="D53" s="3">
        <v>2040480</v>
      </c>
      <c r="E53" s="3">
        <v>2040480</v>
      </c>
      <c r="F53" s="3"/>
      <c r="G53" s="3"/>
      <c r="H53" s="3"/>
      <c r="I53" s="3"/>
      <c r="J53" s="20">
        <f t="shared" si="12"/>
        <v>2040480</v>
      </c>
      <c r="K53" s="112">
        <v>785829</v>
      </c>
      <c r="L53" s="3">
        <f t="shared" si="13"/>
        <v>1254651</v>
      </c>
    </row>
    <row r="54" spans="1:12" x14ac:dyDescent="0.25">
      <c r="A54" s="258"/>
      <c r="B54" s="268"/>
      <c r="C54" s="2" t="s">
        <v>48</v>
      </c>
      <c r="D54" s="3">
        <v>0</v>
      </c>
      <c r="E54" s="3">
        <v>0</v>
      </c>
      <c r="F54" s="3"/>
      <c r="G54" s="3"/>
      <c r="H54" s="3"/>
      <c r="I54" s="3"/>
      <c r="J54" s="20">
        <f t="shared" si="12"/>
        <v>0</v>
      </c>
      <c r="K54" s="112">
        <v>0</v>
      </c>
      <c r="L54" s="3">
        <f t="shared" si="13"/>
        <v>0</v>
      </c>
    </row>
    <row r="55" spans="1:12" x14ac:dyDescent="0.25">
      <c r="A55" s="258"/>
      <c r="B55" s="268"/>
      <c r="C55" s="2" t="s">
        <v>25</v>
      </c>
      <c r="D55" s="3">
        <v>1025000</v>
      </c>
      <c r="E55" s="3">
        <v>1025000</v>
      </c>
      <c r="F55" s="3"/>
      <c r="G55" s="3"/>
      <c r="H55" s="3"/>
      <c r="I55" s="3"/>
      <c r="J55" s="20">
        <f t="shared" si="12"/>
        <v>1025000</v>
      </c>
      <c r="K55" s="112">
        <v>450000</v>
      </c>
      <c r="L55" s="3">
        <f t="shared" si="13"/>
        <v>575000</v>
      </c>
    </row>
    <row r="56" spans="1:12" x14ac:dyDescent="0.25">
      <c r="A56" s="258"/>
      <c r="B56" s="268"/>
      <c r="C56" s="2" t="s">
        <v>26</v>
      </c>
      <c r="D56" s="3">
        <v>60000</v>
      </c>
      <c r="E56" s="3">
        <v>60000</v>
      </c>
      <c r="F56" s="3"/>
      <c r="G56" s="3"/>
      <c r="H56" s="3"/>
      <c r="I56" s="3"/>
      <c r="J56" s="20">
        <f t="shared" si="12"/>
        <v>60000</v>
      </c>
      <c r="K56" s="112">
        <v>0</v>
      </c>
      <c r="L56" s="3">
        <f t="shared" si="13"/>
        <v>60000</v>
      </c>
    </row>
    <row r="57" spans="1:12" x14ac:dyDescent="0.25">
      <c r="A57" s="258"/>
      <c r="B57" s="268"/>
      <c r="C57" s="2" t="s">
        <v>27</v>
      </c>
      <c r="D57" s="3">
        <v>240000</v>
      </c>
      <c r="E57" s="3">
        <v>240000</v>
      </c>
      <c r="F57" s="3"/>
      <c r="G57" s="3"/>
      <c r="H57" s="3"/>
      <c r="I57" s="3"/>
      <c r="J57" s="20">
        <f t="shared" si="12"/>
        <v>240000</v>
      </c>
      <c r="K57" s="112">
        <v>57870</v>
      </c>
      <c r="L57" s="3">
        <f t="shared" si="13"/>
        <v>182130</v>
      </c>
    </row>
    <row r="58" spans="1:12" x14ac:dyDescent="0.25">
      <c r="A58" s="258"/>
      <c r="B58" s="268"/>
      <c r="C58" s="2" t="s">
        <v>28</v>
      </c>
      <c r="D58" s="3">
        <v>147000</v>
      </c>
      <c r="E58" s="3">
        <v>147000</v>
      </c>
      <c r="F58" s="3"/>
      <c r="G58" s="3"/>
      <c r="H58" s="3"/>
      <c r="I58" s="3"/>
      <c r="J58" s="20">
        <f t="shared" si="12"/>
        <v>147000</v>
      </c>
      <c r="K58" s="112">
        <v>57000</v>
      </c>
      <c r="L58" s="3">
        <f t="shared" si="13"/>
        <v>90000</v>
      </c>
    </row>
    <row r="59" spans="1:12" x14ac:dyDescent="0.25">
      <c r="A59" s="258"/>
      <c r="B59" s="268"/>
      <c r="C59" s="2" t="s">
        <v>29</v>
      </c>
      <c r="D59" s="3">
        <v>553500</v>
      </c>
      <c r="E59" s="3">
        <v>553500</v>
      </c>
      <c r="F59" s="3"/>
      <c r="G59" s="3"/>
      <c r="H59" s="3"/>
      <c r="I59" s="3"/>
      <c r="J59" s="20">
        <f t="shared" si="12"/>
        <v>553500</v>
      </c>
      <c r="K59" s="112">
        <v>173817</v>
      </c>
      <c r="L59" s="3">
        <f t="shared" si="13"/>
        <v>379683</v>
      </c>
    </row>
    <row r="60" spans="1:12" x14ac:dyDescent="0.25">
      <c r="A60" s="258"/>
      <c r="B60" s="268"/>
      <c r="C60" s="2" t="s">
        <v>30</v>
      </c>
      <c r="D60" s="3">
        <v>100000</v>
      </c>
      <c r="E60" s="3">
        <v>100000</v>
      </c>
      <c r="F60" s="3"/>
      <c r="G60" s="3"/>
      <c r="H60" s="3"/>
      <c r="I60" s="3"/>
      <c r="J60" s="20">
        <f t="shared" si="12"/>
        <v>100000</v>
      </c>
      <c r="K60" s="112">
        <v>1500</v>
      </c>
      <c r="L60" s="3">
        <f t="shared" si="13"/>
        <v>98500</v>
      </c>
    </row>
    <row r="61" spans="1:12" x14ac:dyDescent="0.25">
      <c r="A61" s="258"/>
      <c r="B61" s="268"/>
      <c r="C61" s="6" t="s">
        <v>53</v>
      </c>
      <c r="D61" s="7">
        <f>SUM(D52:D60)</f>
        <v>29289325</v>
      </c>
      <c r="E61" s="7">
        <v>29289325</v>
      </c>
      <c r="F61" s="7">
        <f t="shared" ref="F61:L61" si="14">SUM(F52:F60)</f>
        <v>0</v>
      </c>
      <c r="G61" s="7">
        <f t="shared" si="14"/>
        <v>0</v>
      </c>
      <c r="H61" s="7">
        <f t="shared" si="14"/>
        <v>19936</v>
      </c>
      <c r="I61" s="7">
        <f t="shared" si="14"/>
        <v>0</v>
      </c>
      <c r="J61" s="7">
        <f t="shared" si="14"/>
        <v>29309261</v>
      </c>
      <c r="K61" s="114">
        <f t="shared" si="14"/>
        <v>11025297</v>
      </c>
      <c r="L61" s="7">
        <f t="shared" si="14"/>
        <v>18283964</v>
      </c>
    </row>
    <row r="62" spans="1:12" x14ac:dyDescent="0.25">
      <c r="A62" s="258"/>
      <c r="B62" s="268"/>
      <c r="C62" s="86" t="s">
        <v>31</v>
      </c>
      <c r="D62" s="87">
        <v>5849797</v>
      </c>
      <c r="E62" s="87">
        <v>5849797</v>
      </c>
      <c r="F62" s="87"/>
      <c r="G62" s="87"/>
      <c r="H62" s="87">
        <v>3888</v>
      </c>
      <c r="I62" s="87"/>
      <c r="J62" s="88">
        <f t="shared" ref="J62:J75" si="15">E62+F62+G62+H62+I62</f>
        <v>5853685</v>
      </c>
      <c r="K62" s="115">
        <v>2390718</v>
      </c>
      <c r="L62" s="89">
        <f t="shared" ref="L62:L75" si="16">J62-K62</f>
        <v>3462967</v>
      </c>
    </row>
    <row r="63" spans="1:12" x14ac:dyDescent="0.25">
      <c r="A63" s="258"/>
      <c r="B63" s="268"/>
      <c r="C63" s="2" t="s">
        <v>32</v>
      </c>
      <c r="D63" s="3">
        <v>105000</v>
      </c>
      <c r="E63" s="3">
        <v>105000</v>
      </c>
      <c r="F63" s="3"/>
      <c r="G63" s="3"/>
      <c r="H63" s="3"/>
      <c r="I63" s="3"/>
      <c r="J63" s="20">
        <f t="shared" si="15"/>
        <v>105000</v>
      </c>
      <c r="K63" s="112">
        <v>17780</v>
      </c>
      <c r="L63" s="3">
        <f t="shared" si="16"/>
        <v>87220</v>
      </c>
    </row>
    <row r="64" spans="1:12" x14ac:dyDescent="0.25">
      <c r="A64" s="258"/>
      <c r="B64" s="268"/>
      <c r="C64" s="2" t="s">
        <v>33</v>
      </c>
      <c r="D64" s="3">
        <v>700000</v>
      </c>
      <c r="E64" s="3">
        <v>700000</v>
      </c>
      <c r="F64" s="3"/>
      <c r="G64" s="3"/>
      <c r="H64" s="3"/>
      <c r="I64" s="3"/>
      <c r="J64" s="20">
        <f t="shared" si="15"/>
        <v>700000</v>
      </c>
      <c r="K64" s="112">
        <v>13072</v>
      </c>
      <c r="L64" s="3">
        <f t="shared" si="16"/>
        <v>686928</v>
      </c>
    </row>
    <row r="65" spans="1:12" x14ac:dyDescent="0.25">
      <c r="A65" s="258"/>
      <c r="B65" s="268"/>
      <c r="C65" s="2" t="s">
        <v>34</v>
      </c>
      <c r="D65" s="3">
        <v>213000</v>
      </c>
      <c r="E65" s="3">
        <v>213000</v>
      </c>
      <c r="F65" s="3"/>
      <c r="G65" s="3"/>
      <c r="H65" s="3"/>
      <c r="I65" s="3"/>
      <c r="J65" s="20">
        <f t="shared" si="15"/>
        <v>213000</v>
      </c>
      <c r="K65" s="112">
        <v>52494</v>
      </c>
      <c r="L65" s="3">
        <f t="shared" si="16"/>
        <v>160506</v>
      </c>
    </row>
    <row r="66" spans="1:12" x14ac:dyDescent="0.25">
      <c r="A66" s="258"/>
      <c r="B66" s="268"/>
      <c r="C66" s="2" t="s">
        <v>35</v>
      </c>
      <c r="D66" s="3">
        <v>288000</v>
      </c>
      <c r="E66" s="3">
        <v>115200</v>
      </c>
      <c r="F66" s="3"/>
      <c r="G66" s="3">
        <v>7000</v>
      </c>
      <c r="H66" s="3"/>
      <c r="I66" s="3"/>
      <c r="J66" s="20">
        <f t="shared" si="15"/>
        <v>122200</v>
      </c>
      <c r="K66" s="112">
        <v>46264</v>
      </c>
      <c r="L66" s="3">
        <f t="shared" si="16"/>
        <v>75936</v>
      </c>
    </row>
    <row r="67" spans="1:12" x14ac:dyDescent="0.25">
      <c r="A67" s="258"/>
      <c r="B67" s="268"/>
      <c r="C67" s="2" t="s">
        <v>36</v>
      </c>
      <c r="D67" s="3">
        <v>669540</v>
      </c>
      <c r="E67" s="3">
        <v>669540</v>
      </c>
      <c r="F67" s="3"/>
      <c r="G67" s="3"/>
      <c r="H67" s="3"/>
      <c r="I67" s="3"/>
      <c r="J67" s="20">
        <f t="shared" si="15"/>
        <v>669540</v>
      </c>
      <c r="K67" s="112">
        <v>354606</v>
      </c>
      <c r="L67" s="3">
        <f t="shared" si="16"/>
        <v>314934</v>
      </c>
    </row>
    <row r="68" spans="1:12" x14ac:dyDescent="0.25">
      <c r="A68" s="258"/>
      <c r="B68" s="268"/>
      <c r="C68" s="2" t="s">
        <v>37</v>
      </c>
      <c r="D68" s="3">
        <v>123000</v>
      </c>
      <c r="E68" s="3">
        <v>123000</v>
      </c>
      <c r="F68" s="3"/>
      <c r="G68" s="3"/>
      <c r="H68" s="3"/>
      <c r="I68" s="3"/>
      <c r="J68" s="20">
        <f t="shared" si="15"/>
        <v>123000</v>
      </c>
      <c r="K68" s="112">
        <v>0</v>
      </c>
      <c r="L68" s="3">
        <f t="shared" si="16"/>
        <v>123000</v>
      </c>
    </row>
    <row r="69" spans="1:12" x14ac:dyDescent="0.25">
      <c r="A69" s="258"/>
      <c r="B69" s="268"/>
      <c r="C69" s="2" t="s">
        <v>38</v>
      </c>
      <c r="D69" s="3">
        <v>460000</v>
      </c>
      <c r="E69" s="3">
        <v>460000</v>
      </c>
      <c r="F69" s="3"/>
      <c r="G69" s="3"/>
      <c r="H69" s="3"/>
      <c r="I69" s="3"/>
      <c r="J69" s="20">
        <f t="shared" si="15"/>
        <v>460000</v>
      </c>
      <c r="K69" s="112">
        <v>88914</v>
      </c>
      <c r="L69" s="3">
        <f t="shared" si="16"/>
        <v>371086</v>
      </c>
    </row>
    <row r="70" spans="1:12" x14ac:dyDescent="0.25">
      <c r="A70" s="258"/>
      <c r="B70" s="268"/>
      <c r="C70" s="2" t="s">
        <v>40</v>
      </c>
      <c r="D70" s="3">
        <v>1361904</v>
      </c>
      <c r="E70" s="3">
        <v>1361904</v>
      </c>
      <c r="F70" s="3"/>
      <c r="G70" s="3"/>
      <c r="H70" s="3"/>
      <c r="I70" s="3"/>
      <c r="J70" s="20">
        <f t="shared" si="15"/>
        <v>1361904</v>
      </c>
      <c r="K70" s="112">
        <v>272068</v>
      </c>
      <c r="L70" s="3">
        <f t="shared" si="16"/>
        <v>1089836</v>
      </c>
    </row>
    <row r="71" spans="1:12" x14ac:dyDescent="0.25">
      <c r="A71" s="258"/>
      <c r="B71" s="268"/>
      <c r="C71" s="2" t="s">
        <v>41</v>
      </c>
      <c r="D71" s="3">
        <v>982236</v>
      </c>
      <c r="E71" s="3">
        <v>982236</v>
      </c>
      <c r="F71" s="3"/>
      <c r="G71" s="3"/>
      <c r="H71" s="3"/>
      <c r="I71" s="3"/>
      <c r="J71" s="20">
        <f t="shared" si="15"/>
        <v>982236</v>
      </c>
      <c r="K71" s="112">
        <v>321879</v>
      </c>
      <c r="L71" s="3">
        <f t="shared" si="16"/>
        <v>660357</v>
      </c>
    </row>
    <row r="72" spans="1:12" x14ac:dyDescent="0.25">
      <c r="A72" s="258"/>
      <c r="B72" s="268"/>
      <c r="C72" s="2" t="s">
        <v>42</v>
      </c>
      <c r="D72" s="3">
        <v>1200000</v>
      </c>
      <c r="E72" s="3">
        <v>1155940</v>
      </c>
      <c r="F72" s="3">
        <v>-7980</v>
      </c>
      <c r="G72" s="3"/>
      <c r="H72" s="3"/>
      <c r="I72" s="3"/>
      <c r="J72" s="20">
        <f t="shared" si="15"/>
        <v>1147960</v>
      </c>
      <c r="K72" s="112">
        <v>164335</v>
      </c>
      <c r="L72" s="3">
        <f t="shared" si="16"/>
        <v>983625</v>
      </c>
    </row>
    <row r="73" spans="1:12" x14ac:dyDescent="0.25">
      <c r="A73" s="258"/>
      <c r="B73" s="268"/>
      <c r="C73" s="2" t="s">
        <v>43</v>
      </c>
      <c r="D73" s="3">
        <v>30000</v>
      </c>
      <c r="E73" s="3">
        <v>30000</v>
      </c>
      <c r="F73" s="3"/>
      <c r="G73" s="3"/>
      <c r="H73" s="3"/>
      <c r="I73" s="3"/>
      <c r="J73" s="20">
        <f t="shared" si="15"/>
        <v>30000</v>
      </c>
      <c r="K73" s="112">
        <v>0</v>
      </c>
      <c r="L73" s="3">
        <f t="shared" si="16"/>
        <v>30000</v>
      </c>
    </row>
    <row r="74" spans="1:12" x14ac:dyDescent="0.25">
      <c r="A74" s="258"/>
      <c r="B74" s="268"/>
      <c r="C74" s="2" t="s">
        <v>44</v>
      </c>
      <c r="D74" s="3">
        <v>1041508</v>
      </c>
      <c r="E74" s="3">
        <v>981368</v>
      </c>
      <c r="F74" s="3">
        <v>-945</v>
      </c>
      <c r="G74" s="3"/>
      <c r="H74" s="3"/>
      <c r="I74" s="3"/>
      <c r="J74" s="20">
        <f t="shared" si="15"/>
        <v>980423</v>
      </c>
      <c r="K74" s="112">
        <v>149842</v>
      </c>
      <c r="L74" s="3">
        <f t="shared" si="16"/>
        <v>830581</v>
      </c>
    </row>
    <row r="75" spans="1:12" x14ac:dyDescent="0.25">
      <c r="A75" s="258"/>
      <c r="B75" s="268"/>
      <c r="C75" s="2" t="s">
        <v>45</v>
      </c>
      <c r="D75" s="3">
        <v>433021</v>
      </c>
      <c r="E75" s="3">
        <v>160403</v>
      </c>
      <c r="F75" s="3"/>
      <c r="G75" s="3"/>
      <c r="H75" s="3"/>
      <c r="I75" s="3"/>
      <c r="J75" s="20">
        <f t="shared" si="15"/>
        <v>160403</v>
      </c>
      <c r="K75" s="112">
        <v>0</v>
      </c>
      <c r="L75" s="3">
        <f t="shared" si="16"/>
        <v>160403</v>
      </c>
    </row>
    <row r="76" spans="1:12" x14ac:dyDescent="0.25">
      <c r="A76" s="258"/>
      <c r="B76" s="268"/>
      <c r="C76" s="6" t="s">
        <v>49</v>
      </c>
      <c r="D76" s="7">
        <f>SUM(D63:D75)</f>
        <v>7607209</v>
      </c>
      <c r="E76" s="7">
        <v>7075191</v>
      </c>
      <c r="F76" s="7">
        <f t="shared" ref="F76:L76" si="17">SUM(F63:F75)</f>
        <v>-8925</v>
      </c>
      <c r="G76" s="7">
        <f t="shared" si="17"/>
        <v>7000</v>
      </c>
      <c r="H76" s="7">
        <f t="shared" si="17"/>
        <v>0</v>
      </c>
      <c r="I76" s="7">
        <f t="shared" si="17"/>
        <v>0</v>
      </c>
      <c r="J76" s="7">
        <f t="shared" si="17"/>
        <v>7055666</v>
      </c>
      <c r="K76" s="114">
        <f t="shared" si="17"/>
        <v>1481254</v>
      </c>
      <c r="L76" s="7">
        <f t="shared" si="17"/>
        <v>5574412</v>
      </c>
    </row>
    <row r="77" spans="1:12" x14ac:dyDescent="0.25">
      <c r="A77" s="258"/>
      <c r="B77" s="268"/>
      <c r="C77" s="2" t="s">
        <v>50</v>
      </c>
      <c r="D77" s="3">
        <v>78740</v>
      </c>
      <c r="E77" s="3">
        <v>78740</v>
      </c>
      <c r="F77" s="3"/>
      <c r="G77" s="3"/>
      <c r="H77" s="3"/>
      <c r="I77" s="3"/>
      <c r="J77" s="20">
        <f t="shared" ref="J77:J78" si="18">E77+F77+G77+H77+I77</f>
        <v>78740</v>
      </c>
      <c r="K77" s="112">
        <v>0</v>
      </c>
      <c r="L77" s="3">
        <f t="shared" ref="L77:L78" si="19">J77-K77</f>
        <v>78740</v>
      </c>
    </row>
    <row r="78" spans="1:12" x14ac:dyDescent="0.25">
      <c r="A78" s="258"/>
      <c r="B78" s="268"/>
      <c r="C78" s="2" t="s">
        <v>51</v>
      </c>
      <c r="D78" s="3">
        <v>21260</v>
      </c>
      <c r="E78" s="3">
        <v>21260</v>
      </c>
      <c r="F78" s="3"/>
      <c r="G78" s="3"/>
      <c r="H78" s="3"/>
      <c r="I78" s="3"/>
      <c r="J78" s="20">
        <f t="shared" si="18"/>
        <v>21260</v>
      </c>
      <c r="K78" s="112">
        <v>0</v>
      </c>
      <c r="L78" s="3">
        <f t="shared" si="19"/>
        <v>21260</v>
      </c>
    </row>
    <row r="79" spans="1:12" x14ac:dyDescent="0.25">
      <c r="A79" s="258"/>
      <c r="B79" s="268"/>
      <c r="C79" s="6" t="s">
        <v>52</v>
      </c>
      <c r="D79" s="7">
        <f>SUM(D77:D78)</f>
        <v>100000</v>
      </c>
      <c r="E79" s="7">
        <v>100000</v>
      </c>
      <c r="F79" s="7">
        <f t="shared" ref="F79:L79" si="20">SUM(F77:F78)</f>
        <v>0</v>
      </c>
      <c r="G79" s="7">
        <f t="shared" si="20"/>
        <v>0</v>
      </c>
      <c r="H79" s="7">
        <f t="shared" si="20"/>
        <v>0</v>
      </c>
      <c r="I79" s="7">
        <f t="shared" si="20"/>
        <v>0</v>
      </c>
      <c r="J79" s="7">
        <f t="shared" si="20"/>
        <v>100000</v>
      </c>
      <c r="K79" s="114">
        <f t="shared" si="20"/>
        <v>0</v>
      </c>
      <c r="L79" s="7">
        <f t="shared" si="20"/>
        <v>100000</v>
      </c>
    </row>
    <row r="80" spans="1:12" x14ac:dyDescent="0.25">
      <c r="A80" s="259" t="s">
        <v>58</v>
      </c>
      <c r="B80" s="261" t="s">
        <v>46</v>
      </c>
      <c r="C80" s="15" t="s">
        <v>29</v>
      </c>
      <c r="D80" s="24">
        <v>410400</v>
      </c>
      <c r="E80" s="24">
        <v>410400</v>
      </c>
      <c r="F80" s="11"/>
      <c r="G80" s="11"/>
      <c r="H80" s="11"/>
      <c r="I80" s="11"/>
      <c r="J80" s="20">
        <f t="shared" ref="J80:J87" si="21">E80+F80+G80+H80+I80</f>
        <v>410400</v>
      </c>
      <c r="K80" s="112">
        <v>177400</v>
      </c>
      <c r="L80" s="3">
        <f t="shared" ref="L80:L87" si="22">J80-K80</f>
        <v>233000</v>
      </c>
    </row>
    <row r="81" spans="1:12" x14ac:dyDescent="0.25">
      <c r="A81" s="260"/>
      <c r="B81" s="262"/>
      <c r="C81" s="15" t="s">
        <v>31</v>
      </c>
      <c r="D81" s="24">
        <v>76266</v>
      </c>
      <c r="E81" s="24">
        <v>76266</v>
      </c>
      <c r="F81" s="11"/>
      <c r="G81" s="11"/>
      <c r="H81" s="11"/>
      <c r="I81" s="11"/>
      <c r="J81" s="20">
        <f t="shared" si="21"/>
        <v>76266</v>
      </c>
      <c r="K81" s="112">
        <v>34593</v>
      </c>
      <c r="L81" s="3">
        <f t="shared" si="22"/>
        <v>41673</v>
      </c>
    </row>
    <row r="82" spans="1:12" x14ac:dyDescent="0.25">
      <c r="A82" s="259" t="s">
        <v>59</v>
      </c>
      <c r="B82" s="261" t="s">
        <v>23</v>
      </c>
      <c r="C82" s="15" t="s">
        <v>29</v>
      </c>
      <c r="D82" s="24">
        <v>603600</v>
      </c>
      <c r="E82" s="24">
        <v>603600</v>
      </c>
      <c r="F82" s="11"/>
      <c r="G82" s="11"/>
      <c r="H82" s="11"/>
      <c r="I82" s="11"/>
      <c r="J82" s="20">
        <f t="shared" si="21"/>
        <v>603600</v>
      </c>
      <c r="K82" s="112">
        <v>156300</v>
      </c>
      <c r="L82" s="3">
        <f t="shared" si="22"/>
        <v>447300</v>
      </c>
    </row>
    <row r="83" spans="1:12" x14ac:dyDescent="0.25">
      <c r="A83" s="260"/>
      <c r="B83" s="262"/>
      <c r="C83" s="15" t="s">
        <v>31</v>
      </c>
      <c r="D83" s="24">
        <v>112169</v>
      </c>
      <c r="E83" s="24">
        <v>112169</v>
      </c>
      <c r="F83" s="11"/>
      <c r="G83" s="11"/>
      <c r="H83" s="11"/>
      <c r="I83" s="11"/>
      <c r="J83" s="20">
        <f t="shared" si="21"/>
        <v>112169</v>
      </c>
      <c r="K83" s="112">
        <v>30478</v>
      </c>
      <c r="L83" s="3">
        <f t="shared" si="22"/>
        <v>81691</v>
      </c>
    </row>
    <row r="84" spans="1:12" x14ac:dyDescent="0.25">
      <c r="A84" s="259" t="s">
        <v>60</v>
      </c>
      <c r="B84" s="261" t="s">
        <v>23</v>
      </c>
      <c r="C84" s="15" t="s">
        <v>24</v>
      </c>
      <c r="D84" s="24">
        <v>10676226</v>
      </c>
      <c r="E84" s="24">
        <v>10676226</v>
      </c>
      <c r="F84" s="11"/>
      <c r="G84" s="11"/>
      <c r="H84" s="11"/>
      <c r="I84" s="11"/>
      <c r="J84" s="20">
        <f t="shared" si="21"/>
        <v>10676226</v>
      </c>
      <c r="K84" s="112">
        <v>4284199</v>
      </c>
      <c r="L84" s="3">
        <f t="shared" si="22"/>
        <v>6392027</v>
      </c>
    </row>
    <row r="85" spans="1:12" x14ac:dyDescent="0.25">
      <c r="A85" s="260"/>
      <c r="B85" s="262"/>
      <c r="C85" s="15" t="s">
        <v>31</v>
      </c>
      <c r="D85" s="24">
        <v>1989265</v>
      </c>
      <c r="E85" s="24">
        <v>1989265</v>
      </c>
      <c r="F85" s="11"/>
      <c r="G85" s="11"/>
      <c r="H85" s="11"/>
      <c r="I85" s="11"/>
      <c r="J85" s="20">
        <f t="shared" si="21"/>
        <v>1989265</v>
      </c>
      <c r="K85" s="112">
        <v>835424</v>
      </c>
      <c r="L85" s="3">
        <f t="shared" si="22"/>
        <v>1153841</v>
      </c>
    </row>
    <row r="86" spans="1:12" x14ac:dyDescent="0.25">
      <c r="A86" s="259" t="s">
        <v>61</v>
      </c>
      <c r="B86" s="261" t="s">
        <v>46</v>
      </c>
      <c r="C86" s="15" t="s">
        <v>24</v>
      </c>
      <c r="D86" s="24">
        <v>8397674</v>
      </c>
      <c r="E86" s="24">
        <v>8397674</v>
      </c>
      <c r="F86" s="11"/>
      <c r="G86" s="11"/>
      <c r="H86" s="11"/>
      <c r="I86" s="11"/>
      <c r="J86" s="20">
        <f t="shared" si="21"/>
        <v>8397674</v>
      </c>
      <c r="K86" s="112">
        <v>3154115</v>
      </c>
      <c r="L86" s="3">
        <f t="shared" si="22"/>
        <v>5243559</v>
      </c>
    </row>
    <row r="87" spans="1:12" x14ac:dyDescent="0.25">
      <c r="A87" s="260"/>
      <c r="B87" s="262"/>
      <c r="C87" s="15" t="s">
        <v>31</v>
      </c>
      <c r="D87" s="24">
        <v>1563353</v>
      </c>
      <c r="E87" s="24">
        <v>1563353</v>
      </c>
      <c r="F87" s="11"/>
      <c r="G87" s="11"/>
      <c r="H87" s="11"/>
      <c r="I87" s="11"/>
      <c r="J87" s="20">
        <f t="shared" si="21"/>
        <v>1563353</v>
      </c>
      <c r="K87" s="112">
        <v>615051</v>
      </c>
      <c r="L87" s="3">
        <f t="shared" si="22"/>
        <v>948302</v>
      </c>
    </row>
    <row r="88" spans="1:12" x14ac:dyDescent="0.25">
      <c r="A88" s="304" t="s">
        <v>76</v>
      </c>
      <c r="B88" s="305"/>
      <c r="C88" s="306"/>
      <c r="D88" s="84">
        <f t="shared" ref="D88" si="23">SUM(D32+D33+D48+D51+D61+D62+D76+D79+D80+D81+D82+D83+D84+D85+D86+D87)</f>
        <v>118207303</v>
      </c>
      <c r="E88" s="84">
        <v>117671049</v>
      </c>
      <c r="F88" s="84">
        <f t="shared" ref="F88:L88" si="24">SUM(F32+F33+F48+F51+F61+F62+F76+F79+F80+F81+F82+F83+F84+F85+F86+F87)</f>
        <v>-249824</v>
      </c>
      <c r="G88" s="84">
        <f t="shared" si="24"/>
        <v>12000</v>
      </c>
      <c r="H88" s="84">
        <f t="shared" si="24"/>
        <v>38009</v>
      </c>
      <c r="I88" s="84">
        <f t="shared" si="24"/>
        <v>0</v>
      </c>
      <c r="J88" s="84">
        <f t="shared" si="24"/>
        <v>117441074</v>
      </c>
      <c r="K88" s="116">
        <f t="shared" si="24"/>
        <v>42710540</v>
      </c>
      <c r="L88" s="84">
        <f t="shared" si="24"/>
        <v>74730534</v>
      </c>
    </row>
    <row r="89" spans="1:12" x14ac:dyDescent="0.25">
      <c r="A89" s="258" t="s">
        <v>12</v>
      </c>
      <c r="B89" s="268" t="s">
        <v>23</v>
      </c>
      <c r="C89" s="2" t="s">
        <v>24</v>
      </c>
      <c r="D89" s="3">
        <v>4811583</v>
      </c>
      <c r="E89" s="3">
        <v>4811583</v>
      </c>
      <c r="F89" s="3"/>
      <c r="G89" s="3"/>
      <c r="H89" s="3"/>
      <c r="I89" s="3"/>
      <c r="J89" s="20">
        <f t="shared" ref="J89:J95" si="25">E89+F89+G89+H89+I89</f>
        <v>4811583</v>
      </c>
      <c r="K89" s="112">
        <v>1920999</v>
      </c>
      <c r="L89" s="3">
        <f t="shared" ref="L89:L95" si="26">J89-K89</f>
        <v>2890584</v>
      </c>
    </row>
    <row r="90" spans="1:12" x14ac:dyDescent="0.25">
      <c r="A90" s="258"/>
      <c r="B90" s="268"/>
      <c r="C90" s="2" t="s">
        <v>25</v>
      </c>
      <c r="D90" s="3">
        <v>200000</v>
      </c>
      <c r="E90" s="3">
        <v>200000</v>
      </c>
      <c r="F90" s="3"/>
      <c r="G90" s="3"/>
      <c r="H90" s="3"/>
      <c r="I90" s="3"/>
      <c r="J90" s="20">
        <f t="shared" si="25"/>
        <v>200000</v>
      </c>
      <c r="K90" s="112">
        <v>100000</v>
      </c>
      <c r="L90" s="3">
        <f t="shared" si="26"/>
        <v>100000</v>
      </c>
    </row>
    <row r="91" spans="1:12" x14ac:dyDescent="0.25">
      <c r="A91" s="258"/>
      <c r="B91" s="268"/>
      <c r="C91" s="2" t="s">
        <v>26</v>
      </c>
      <c r="D91" s="3">
        <v>10000</v>
      </c>
      <c r="E91" s="3">
        <v>10000</v>
      </c>
      <c r="F91" s="3"/>
      <c r="G91" s="3"/>
      <c r="H91" s="3"/>
      <c r="I91" s="3"/>
      <c r="J91" s="20">
        <f t="shared" si="25"/>
        <v>10000</v>
      </c>
      <c r="K91" s="112">
        <v>0</v>
      </c>
      <c r="L91" s="3">
        <f t="shared" si="26"/>
        <v>10000</v>
      </c>
    </row>
    <row r="92" spans="1:12" x14ac:dyDescent="0.25">
      <c r="A92" s="258"/>
      <c r="B92" s="268"/>
      <c r="C92" s="2" t="s">
        <v>27</v>
      </c>
      <c r="D92" s="3">
        <v>198000</v>
      </c>
      <c r="E92" s="3">
        <v>198000</v>
      </c>
      <c r="F92" s="3"/>
      <c r="G92" s="3"/>
      <c r="H92" s="3"/>
      <c r="I92" s="3"/>
      <c r="J92" s="20">
        <f t="shared" si="25"/>
        <v>198000</v>
      </c>
      <c r="K92" s="112">
        <v>46980</v>
      </c>
      <c r="L92" s="3">
        <f t="shared" si="26"/>
        <v>151020</v>
      </c>
    </row>
    <row r="93" spans="1:12" x14ac:dyDescent="0.25">
      <c r="A93" s="258"/>
      <c r="B93" s="268"/>
      <c r="C93" s="2" t="s">
        <v>28</v>
      </c>
      <c r="D93" s="3">
        <v>24000</v>
      </c>
      <c r="E93" s="3">
        <v>24000</v>
      </c>
      <c r="F93" s="3"/>
      <c r="G93" s="3"/>
      <c r="H93" s="3"/>
      <c r="I93" s="3"/>
      <c r="J93" s="20">
        <f t="shared" si="25"/>
        <v>24000</v>
      </c>
      <c r="K93" s="112">
        <v>12000</v>
      </c>
      <c r="L93" s="3">
        <f t="shared" si="26"/>
        <v>12000</v>
      </c>
    </row>
    <row r="94" spans="1:12" x14ac:dyDescent="0.25">
      <c r="A94" s="258"/>
      <c r="B94" s="268"/>
      <c r="C94" s="2" t="s">
        <v>29</v>
      </c>
      <c r="D94" s="3">
        <v>75000</v>
      </c>
      <c r="E94" s="3">
        <v>75000</v>
      </c>
      <c r="F94" s="3"/>
      <c r="G94" s="3"/>
      <c r="H94" s="3"/>
      <c r="I94" s="3"/>
      <c r="J94" s="20">
        <f t="shared" si="25"/>
        <v>75000</v>
      </c>
      <c r="K94" s="112">
        <v>0</v>
      </c>
      <c r="L94" s="3">
        <f t="shared" si="26"/>
        <v>75000</v>
      </c>
    </row>
    <row r="95" spans="1:12" x14ac:dyDescent="0.25">
      <c r="A95" s="258"/>
      <c r="B95" s="268"/>
      <c r="C95" s="2" t="s">
        <v>30</v>
      </c>
      <c r="D95" s="3">
        <v>0</v>
      </c>
      <c r="E95" s="3">
        <v>0</v>
      </c>
      <c r="F95" s="3"/>
      <c r="G95" s="3"/>
      <c r="H95" s="3"/>
      <c r="I95" s="3"/>
      <c r="J95" s="20">
        <f t="shared" si="25"/>
        <v>0</v>
      </c>
      <c r="K95" s="112">
        <v>0</v>
      </c>
      <c r="L95" s="3">
        <f t="shared" si="26"/>
        <v>0</v>
      </c>
    </row>
    <row r="96" spans="1:12" x14ac:dyDescent="0.25">
      <c r="A96" s="258"/>
      <c r="B96" s="268"/>
      <c r="C96" s="6" t="s">
        <v>53</v>
      </c>
      <c r="D96" s="7">
        <f>SUM(D89:D95)</f>
        <v>5318583</v>
      </c>
      <c r="E96" s="7">
        <v>5318583</v>
      </c>
      <c r="F96" s="7">
        <f t="shared" ref="F96:L96" si="27">SUM(F89:F95)</f>
        <v>0</v>
      </c>
      <c r="G96" s="7">
        <f t="shared" si="27"/>
        <v>0</v>
      </c>
      <c r="H96" s="7">
        <f t="shared" si="27"/>
        <v>0</v>
      </c>
      <c r="I96" s="7">
        <f t="shared" si="27"/>
        <v>0</v>
      </c>
      <c r="J96" s="7">
        <f t="shared" si="27"/>
        <v>5318583</v>
      </c>
      <c r="K96" s="114">
        <f t="shared" si="27"/>
        <v>2079979</v>
      </c>
      <c r="L96" s="7">
        <f t="shared" si="27"/>
        <v>3238604</v>
      </c>
    </row>
    <row r="97" spans="1:12" x14ac:dyDescent="0.25">
      <c r="A97" s="258"/>
      <c r="B97" s="268"/>
      <c r="C97" s="86" t="s">
        <v>31</v>
      </c>
      <c r="D97" s="87">
        <v>1035556</v>
      </c>
      <c r="E97" s="87">
        <v>1035556</v>
      </c>
      <c r="F97" s="87"/>
      <c r="G97" s="87"/>
      <c r="H97" s="87"/>
      <c r="I97" s="87"/>
      <c r="J97" s="88">
        <f t="shared" ref="J97:J107" si="28">E97+F97+G97+H97+I97</f>
        <v>1035556</v>
      </c>
      <c r="K97" s="115">
        <v>434980</v>
      </c>
      <c r="L97" s="89">
        <f t="shared" ref="L97:L107" si="29">J97-K97</f>
        <v>600576</v>
      </c>
    </row>
    <row r="98" spans="1:12" x14ac:dyDescent="0.25">
      <c r="A98" s="258"/>
      <c r="B98" s="268"/>
      <c r="C98" s="2" t="s">
        <v>32</v>
      </c>
      <c r="D98" s="3">
        <v>100000</v>
      </c>
      <c r="E98" s="3">
        <v>100000</v>
      </c>
      <c r="F98" s="3"/>
      <c r="G98" s="3"/>
      <c r="H98" s="3"/>
      <c r="I98" s="3"/>
      <c r="J98" s="20">
        <f t="shared" si="28"/>
        <v>100000</v>
      </c>
      <c r="K98" s="112">
        <v>0</v>
      </c>
      <c r="L98" s="3">
        <f t="shared" si="29"/>
        <v>100000</v>
      </c>
    </row>
    <row r="99" spans="1:12" x14ac:dyDescent="0.25">
      <c r="A99" s="258"/>
      <c r="B99" s="268"/>
      <c r="C99" s="2" t="s">
        <v>33</v>
      </c>
      <c r="D99" s="3">
        <v>100000</v>
      </c>
      <c r="E99" s="3">
        <v>100000</v>
      </c>
      <c r="F99" s="3"/>
      <c r="G99" s="3"/>
      <c r="H99" s="3"/>
      <c r="I99" s="3"/>
      <c r="J99" s="20">
        <f t="shared" si="28"/>
        <v>100000</v>
      </c>
      <c r="K99" s="112">
        <v>0</v>
      </c>
      <c r="L99" s="3">
        <f t="shared" si="29"/>
        <v>100000</v>
      </c>
    </row>
    <row r="100" spans="1:12" x14ac:dyDescent="0.25">
      <c r="A100" s="258"/>
      <c r="B100" s="268"/>
      <c r="C100" s="2" t="s">
        <v>34</v>
      </c>
      <c r="D100" s="3">
        <v>210000</v>
      </c>
      <c r="E100" s="3">
        <v>210000</v>
      </c>
      <c r="F100" s="3"/>
      <c r="G100" s="3"/>
      <c r="H100" s="3"/>
      <c r="I100" s="3"/>
      <c r="J100" s="20">
        <f t="shared" si="28"/>
        <v>210000</v>
      </c>
      <c r="K100" s="112">
        <v>0</v>
      </c>
      <c r="L100" s="3">
        <f t="shared" si="29"/>
        <v>210000</v>
      </c>
    </row>
    <row r="101" spans="1:12" x14ac:dyDescent="0.25">
      <c r="A101" s="258"/>
      <c r="B101" s="268"/>
      <c r="C101" s="2" t="s">
        <v>35</v>
      </c>
      <c r="D101" s="3">
        <v>110000</v>
      </c>
      <c r="E101" s="3">
        <v>110000</v>
      </c>
      <c r="F101" s="3"/>
      <c r="G101" s="3"/>
      <c r="H101" s="3"/>
      <c r="I101" s="3"/>
      <c r="J101" s="20">
        <f t="shared" si="28"/>
        <v>110000</v>
      </c>
      <c r="K101" s="112">
        <v>0</v>
      </c>
      <c r="L101" s="3">
        <f t="shared" si="29"/>
        <v>110000</v>
      </c>
    </row>
    <row r="102" spans="1:12" x14ac:dyDescent="0.25">
      <c r="A102" s="258"/>
      <c r="B102" s="268"/>
      <c r="C102" s="2" t="s">
        <v>36</v>
      </c>
      <c r="D102" s="3">
        <v>500000</v>
      </c>
      <c r="E102" s="3">
        <v>500000</v>
      </c>
      <c r="F102" s="3"/>
      <c r="G102" s="3"/>
      <c r="H102" s="3"/>
      <c r="I102" s="3"/>
      <c r="J102" s="20">
        <f t="shared" si="28"/>
        <v>500000</v>
      </c>
      <c r="K102" s="112">
        <v>273779</v>
      </c>
      <c r="L102" s="3">
        <f t="shared" si="29"/>
        <v>226221</v>
      </c>
    </row>
    <row r="103" spans="1:12" x14ac:dyDescent="0.25">
      <c r="A103" s="258"/>
      <c r="B103" s="268"/>
      <c r="C103" s="2" t="s">
        <v>38</v>
      </c>
      <c r="D103" s="3">
        <v>140000</v>
      </c>
      <c r="E103" s="3">
        <v>140000</v>
      </c>
      <c r="F103" s="3"/>
      <c r="G103" s="3"/>
      <c r="H103" s="3"/>
      <c r="I103" s="3"/>
      <c r="J103" s="20">
        <f t="shared" si="28"/>
        <v>140000</v>
      </c>
      <c r="K103" s="112">
        <v>0</v>
      </c>
      <c r="L103" s="3">
        <f t="shared" si="29"/>
        <v>140000</v>
      </c>
    </row>
    <row r="104" spans="1:12" x14ac:dyDescent="0.25">
      <c r="A104" s="258"/>
      <c r="B104" s="268"/>
      <c r="C104" s="2" t="s">
        <v>40</v>
      </c>
      <c r="D104" s="3">
        <v>16800</v>
      </c>
      <c r="E104" s="3">
        <v>16800</v>
      </c>
      <c r="F104" s="3"/>
      <c r="G104" s="3"/>
      <c r="H104" s="3"/>
      <c r="I104" s="3"/>
      <c r="J104" s="20">
        <f t="shared" si="28"/>
        <v>16800</v>
      </c>
      <c r="K104" s="112">
        <v>3400</v>
      </c>
      <c r="L104" s="3">
        <f t="shared" si="29"/>
        <v>13400</v>
      </c>
    </row>
    <row r="105" spans="1:12" x14ac:dyDescent="0.25">
      <c r="A105" s="258"/>
      <c r="B105" s="268"/>
      <c r="C105" s="2" t="s">
        <v>41</v>
      </c>
      <c r="D105" s="3">
        <v>80000</v>
      </c>
      <c r="E105" s="3">
        <v>80000</v>
      </c>
      <c r="F105" s="3"/>
      <c r="G105" s="3"/>
      <c r="H105" s="3"/>
      <c r="I105" s="3"/>
      <c r="J105" s="20">
        <f t="shared" si="28"/>
        <v>80000</v>
      </c>
      <c r="K105" s="112">
        <v>30080</v>
      </c>
      <c r="L105" s="3">
        <f t="shared" si="29"/>
        <v>49920</v>
      </c>
    </row>
    <row r="106" spans="1:12" x14ac:dyDescent="0.25">
      <c r="A106" s="258"/>
      <c r="B106" s="268"/>
      <c r="C106" s="2" t="s">
        <v>42</v>
      </c>
      <c r="D106" s="3">
        <v>240000</v>
      </c>
      <c r="E106" s="3">
        <v>240000</v>
      </c>
      <c r="F106" s="3"/>
      <c r="G106" s="3"/>
      <c r="H106" s="3"/>
      <c r="I106" s="3"/>
      <c r="J106" s="20">
        <f t="shared" si="28"/>
        <v>240000</v>
      </c>
      <c r="K106" s="112">
        <v>71710</v>
      </c>
      <c r="L106" s="3">
        <f t="shared" si="29"/>
        <v>168290</v>
      </c>
    </row>
    <row r="107" spans="1:12" x14ac:dyDescent="0.25">
      <c r="A107" s="258"/>
      <c r="B107" s="268"/>
      <c r="C107" s="2" t="s">
        <v>44</v>
      </c>
      <c r="D107" s="3">
        <v>200600</v>
      </c>
      <c r="E107" s="3">
        <v>200600</v>
      </c>
      <c r="F107" s="3"/>
      <c r="G107" s="3"/>
      <c r="H107" s="3"/>
      <c r="I107" s="3"/>
      <c r="J107" s="20">
        <f t="shared" si="28"/>
        <v>200600</v>
      </c>
      <c r="K107" s="112">
        <v>21810</v>
      </c>
      <c r="L107" s="3">
        <f t="shared" si="29"/>
        <v>178790</v>
      </c>
    </row>
    <row r="108" spans="1:12" x14ac:dyDescent="0.25">
      <c r="A108" s="258"/>
      <c r="B108" s="268"/>
      <c r="C108" s="6" t="s">
        <v>49</v>
      </c>
      <c r="D108" s="7">
        <f>SUM(D98:D107)</f>
        <v>1697400</v>
      </c>
      <c r="E108" s="7">
        <v>1697400</v>
      </c>
      <c r="F108" s="7">
        <f t="shared" ref="F108:L108" si="30">SUM(F98:F107)</f>
        <v>0</v>
      </c>
      <c r="G108" s="7">
        <f t="shared" si="30"/>
        <v>0</v>
      </c>
      <c r="H108" s="7">
        <f t="shared" si="30"/>
        <v>0</v>
      </c>
      <c r="I108" s="7">
        <f t="shared" si="30"/>
        <v>0</v>
      </c>
      <c r="J108" s="7">
        <f t="shared" si="30"/>
        <v>1697400</v>
      </c>
      <c r="K108" s="114">
        <f t="shared" si="30"/>
        <v>400779</v>
      </c>
      <c r="L108" s="7">
        <f t="shared" si="30"/>
        <v>1296621</v>
      </c>
    </row>
    <row r="109" spans="1:12" x14ac:dyDescent="0.25">
      <c r="A109" s="255" t="s">
        <v>62</v>
      </c>
      <c r="B109" s="252" t="s">
        <v>23</v>
      </c>
      <c r="C109" s="15" t="s">
        <v>29</v>
      </c>
      <c r="D109" s="24">
        <v>111600</v>
      </c>
      <c r="E109" s="24">
        <v>111600</v>
      </c>
      <c r="F109" s="11"/>
      <c r="G109" s="11"/>
      <c r="H109" s="11"/>
      <c r="I109" s="11"/>
      <c r="J109" s="20">
        <f t="shared" ref="J109:J112" si="31">E109+F109+G109+H109+I109</f>
        <v>111600</v>
      </c>
      <c r="K109" s="112">
        <v>30500</v>
      </c>
      <c r="L109" s="3">
        <f t="shared" ref="L109:L112" si="32">J109-K109</f>
        <v>81100</v>
      </c>
    </row>
    <row r="110" spans="1:12" x14ac:dyDescent="0.25">
      <c r="A110" s="257"/>
      <c r="B110" s="254"/>
      <c r="C110" s="15" t="s">
        <v>31</v>
      </c>
      <c r="D110" s="24">
        <v>20739</v>
      </c>
      <c r="E110" s="24">
        <v>20739</v>
      </c>
      <c r="F110" s="11"/>
      <c r="G110" s="11"/>
      <c r="H110" s="11"/>
      <c r="I110" s="11"/>
      <c r="J110" s="20">
        <f t="shared" si="31"/>
        <v>20739</v>
      </c>
      <c r="K110" s="112">
        <v>5945</v>
      </c>
      <c r="L110" s="3">
        <f t="shared" si="32"/>
        <v>14794</v>
      </c>
    </row>
    <row r="111" spans="1:12" x14ac:dyDescent="0.25">
      <c r="A111" s="255" t="s">
        <v>63</v>
      </c>
      <c r="B111" s="252" t="s">
        <v>23</v>
      </c>
      <c r="C111" s="15" t="s">
        <v>24</v>
      </c>
      <c r="D111" s="24">
        <v>1460272</v>
      </c>
      <c r="E111" s="24">
        <v>1460272</v>
      </c>
      <c r="F111" s="11"/>
      <c r="G111" s="11"/>
      <c r="H111" s="11"/>
      <c r="I111" s="11"/>
      <c r="J111" s="20">
        <f t="shared" si="31"/>
        <v>1460272</v>
      </c>
      <c r="K111" s="112">
        <v>623301</v>
      </c>
      <c r="L111" s="3">
        <f t="shared" si="32"/>
        <v>836971</v>
      </c>
    </row>
    <row r="112" spans="1:12" x14ac:dyDescent="0.25">
      <c r="A112" s="257"/>
      <c r="B112" s="254"/>
      <c r="C112" s="15" t="s">
        <v>31</v>
      </c>
      <c r="D112" s="24">
        <v>272168</v>
      </c>
      <c r="E112" s="24">
        <v>272168</v>
      </c>
      <c r="F112" s="11"/>
      <c r="G112" s="11"/>
      <c r="H112" s="11"/>
      <c r="I112" s="11"/>
      <c r="J112" s="20">
        <f t="shared" si="31"/>
        <v>272168</v>
      </c>
      <c r="K112" s="112">
        <v>121543</v>
      </c>
      <c r="L112" s="3">
        <f t="shared" si="32"/>
        <v>150625</v>
      </c>
    </row>
    <row r="113" spans="1:12" x14ac:dyDescent="0.25">
      <c r="A113" s="304" t="s">
        <v>77</v>
      </c>
      <c r="B113" s="305"/>
      <c r="C113" s="306"/>
      <c r="D113" s="84">
        <f>SUM(D96+D97+D108+D109+D110+D111+D112)</f>
        <v>9916318</v>
      </c>
      <c r="E113" s="84">
        <v>9916318</v>
      </c>
      <c r="F113" s="84">
        <f t="shared" ref="F113:L113" si="33">SUM(F96+F97+F108+F109+F110+F111+F112)</f>
        <v>0</v>
      </c>
      <c r="G113" s="84">
        <f t="shared" si="33"/>
        <v>0</v>
      </c>
      <c r="H113" s="84">
        <f t="shared" si="33"/>
        <v>0</v>
      </c>
      <c r="I113" s="84">
        <f t="shared" si="33"/>
        <v>0</v>
      </c>
      <c r="J113" s="84">
        <f t="shared" si="33"/>
        <v>9916318</v>
      </c>
      <c r="K113" s="116">
        <f t="shared" si="33"/>
        <v>3697027</v>
      </c>
      <c r="L113" s="84">
        <f t="shared" si="33"/>
        <v>6219291</v>
      </c>
    </row>
    <row r="114" spans="1:12" x14ac:dyDescent="0.25">
      <c r="A114" s="258" t="s">
        <v>13</v>
      </c>
      <c r="B114" s="268" t="s">
        <v>23</v>
      </c>
      <c r="C114" s="2" t="s">
        <v>24</v>
      </c>
      <c r="D114" s="3">
        <v>4871210</v>
      </c>
      <c r="E114" s="3">
        <v>4871210</v>
      </c>
      <c r="F114" s="3"/>
      <c r="G114" s="3"/>
      <c r="H114" s="3">
        <v>14018</v>
      </c>
      <c r="I114" s="3"/>
      <c r="J114" s="20">
        <f t="shared" ref="J114:J119" si="34">E114+F114+G114+H114+I114</f>
        <v>4885228</v>
      </c>
      <c r="K114" s="112">
        <v>1970501</v>
      </c>
      <c r="L114" s="3">
        <f t="shared" ref="L114:L119" si="35">J114-K114</f>
        <v>2914727</v>
      </c>
    </row>
    <row r="115" spans="1:12" x14ac:dyDescent="0.25">
      <c r="A115" s="258"/>
      <c r="B115" s="268"/>
      <c r="C115" s="2" t="s">
        <v>25</v>
      </c>
      <c r="D115" s="3">
        <v>200000</v>
      </c>
      <c r="E115" s="3">
        <v>200000</v>
      </c>
      <c r="F115" s="3"/>
      <c r="G115" s="3"/>
      <c r="H115" s="3"/>
      <c r="I115" s="3"/>
      <c r="J115" s="20">
        <f t="shared" si="34"/>
        <v>200000</v>
      </c>
      <c r="K115" s="112">
        <v>100000</v>
      </c>
      <c r="L115" s="3">
        <f t="shared" si="35"/>
        <v>100000</v>
      </c>
    </row>
    <row r="116" spans="1:12" x14ac:dyDescent="0.25">
      <c r="A116" s="258"/>
      <c r="B116" s="268"/>
      <c r="C116" s="2" t="s">
        <v>26</v>
      </c>
      <c r="D116" s="3">
        <v>10000</v>
      </c>
      <c r="E116" s="3">
        <v>10000</v>
      </c>
      <c r="F116" s="3"/>
      <c r="G116" s="3"/>
      <c r="H116" s="3"/>
      <c r="I116" s="3"/>
      <c r="J116" s="20">
        <f t="shared" si="34"/>
        <v>10000</v>
      </c>
      <c r="K116" s="112">
        <v>0</v>
      </c>
      <c r="L116" s="3">
        <f t="shared" si="35"/>
        <v>10000</v>
      </c>
    </row>
    <row r="117" spans="1:12" x14ac:dyDescent="0.25">
      <c r="A117" s="258"/>
      <c r="B117" s="268"/>
      <c r="C117" s="2" t="s">
        <v>28</v>
      </c>
      <c r="D117" s="3">
        <v>24000</v>
      </c>
      <c r="E117" s="3">
        <v>24000</v>
      </c>
      <c r="F117" s="3"/>
      <c r="G117" s="3"/>
      <c r="H117" s="3"/>
      <c r="I117" s="3"/>
      <c r="J117" s="20">
        <f t="shared" si="34"/>
        <v>24000</v>
      </c>
      <c r="K117" s="112">
        <v>12000</v>
      </c>
      <c r="L117" s="3">
        <f t="shared" si="35"/>
        <v>12000</v>
      </c>
    </row>
    <row r="118" spans="1:12" x14ac:dyDescent="0.25">
      <c r="A118" s="258"/>
      <c r="B118" s="268"/>
      <c r="C118" s="2" t="s">
        <v>29</v>
      </c>
      <c r="D118" s="3">
        <v>75000</v>
      </c>
      <c r="E118" s="3">
        <v>75000</v>
      </c>
      <c r="F118" s="3"/>
      <c r="G118" s="3"/>
      <c r="H118" s="3"/>
      <c r="I118" s="3"/>
      <c r="J118" s="20">
        <f t="shared" si="34"/>
        <v>75000</v>
      </c>
      <c r="K118" s="112">
        <v>0</v>
      </c>
      <c r="L118" s="3">
        <f t="shared" si="35"/>
        <v>75000</v>
      </c>
    </row>
    <row r="119" spans="1:12" x14ac:dyDescent="0.25">
      <c r="A119" s="258"/>
      <c r="B119" s="268"/>
      <c r="C119" s="2" t="s">
        <v>30</v>
      </c>
      <c r="D119" s="3">
        <v>0</v>
      </c>
      <c r="E119" s="3">
        <v>0</v>
      </c>
      <c r="F119" s="3"/>
      <c r="G119" s="3"/>
      <c r="H119" s="3"/>
      <c r="I119" s="3"/>
      <c r="J119" s="20">
        <f t="shared" si="34"/>
        <v>0</v>
      </c>
      <c r="K119" s="112">
        <v>0</v>
      </c>
      <c r="L119" s="3">
        <f t="shared" si="35"/>
        <v>0</v>
      </c>
    </row>
    <row r="120" spans="1:12" x14ac:dyDescent="0.25">
      <c r="A120" s="258"/>
      <c r="B120" s="268"/>
      <c r="C120" s="6" t="s">
        <v>53</v>
      </c>
      <c r="D120" s="7">
        <f>SUM(D114:D119)</f>
        <v>5180210</v>
      </c>
      <c r="E120" s="7">
        <v>5180210</v>
      </c>
      <c r="F120" s="7">
        <f t="shared" ref="F120:L120" si="36">SUM(F114:F119)</f>
        <v>0</v>
      </c>
      <c r="G120" s="7">
        <f t="shared" si="36"/>
        <v>0</v>
      </c>
      <c r="H120" s="7">
        <f t="shared" si="36"/>
        <v>14018</v>
      </c>
      <c r="I120" s="7">
        <f t="shared" si="36"/>
        <v>0</v>
      </c>
      <c r="J120" s="7">
        <f t="shared" si="36"/>
        <v>5194228</v>
      </c>
      <c r="K120" s="114">
        <f t="shared" si="36"/>
        <v>2082501</v>
      </c>
      <c r="L120" s="7">
        <f t="shared" si="36"/>
        <v>3111727</v>
      </c>
    </row>
    <row r="121" spans="1:12" x14ac:dyDescent="0.25">
      <c r="A121" s="258"/>
      <c r="B121" s="268"/>
      <c r="C121" s="86" t="s">
        <v>31</v>
      </c>
      <c r="D121" s="87">
        <v>1046402</v>
      </c>
      <c r="E121" s="87">
        <v>1046402</v>
      </c>
      <c r="F121" s="87"/>
      <c r="G121" s="87"/>
      <c r="H121" s="87">
        <v>2733</v>
      </c>
      <c r="I121" s="87"/>
      <c r="J121" s="88">
        <f t="shared" ref="J121:J129" si="37">E121+F121+G121+H121+I121</f>
        <v>1049135</v>
      </c>
      <c r="K121" s="115">
        <v>444631</v>
      </c>
      <c r="L121" s="89">
        <f t="shared" ref="L121:L129" si="38">J121-K121</f>
        <v>604504</v>
      </c>
    </row>
    <row r="122" spans="1:12" x14ac:dyDescent="0.25">
      <c r="A122" s="258"/>
      <c r="B122" s="268"/>
      <c r="C122" s="2" t="s">
        <v>32</v>
      </c>
      <c r="D122" s="3">
        <v>50000</v>
      </c>
      <c r="E122" s="3">
        <v>50000</v>
      </c>
      <c r="F122" s="3"/>
      <c r="G122" s="3"/>
      <c r="H122" s="3"/>
      <c r="I122" s="3"/>
      <c r="J122" s="20">
        <f t="shared" si="37"/>
        <v>50000</v>
      </c>
      <c r="K122" s="112">
        <v>0</v>
      </c>
      <c r="L122" s="3">
        <f t="shared" si="38"/>
        <v>50000</v>
      </c>
    </row>
    <row r="123" spans="1:12" x14ac:dyDescent="0.25">
      <c r="A123" s="258"/>
      <c r="B123" s="268"/>
      <c r="C123" s="2" t="s">
        <v>33</v>
      </c>
      <c r="D123" s="3">
        <v>100000</v>
      </c>
      <c r="E123" s="3">
        <v>100000</v>
      </c>
      <c r="F123" s="3"/>
      <c r="G123" s="3"/>
      <c r="H123" s="3"/>
      <c r="I123" s="3"/>
      <c r="J123" s="20">
        <f t="shared" si="37"/>
        <v>100000</v>
      </c>
      <c r="K123" s="112">
        <v>0</v>
      </c>
      <c r="L123" s="3">
        <f t="shared" si="38"/>
        <v>100000</v>
      </c>
    </row>
    <row r="124" spans="1:12" x14ac:dyDescent="0.25">
      <c r="A124" s="258"/>
      <c r="B124" s="268"/>
      <c r="C124" s="2" t="s">
        <v>34</v>
      </c>
      <c r="D124" s="3">
        <v>150000</v>
      </c>
      <c r="E124" s="3">
        <v>116000</v>
      </c>
      <c r="F124" s="3"/>
      <c r="G124" s="3"/>
      <c r="H124" s="3"/>
      <c r="I124" s="3"/>
      <c r="J124" s="20">
        <f t="shared" si="37"/>
        <v>116000</v>
      </c>
      <c r="K124" s="112">
        <v>0</v>
      </c>
      <c r="L124" s="3">
        <f t="shared" si="38"/>
        <v>116000</v>
      </c>
    </row>
    <row r="125" spans="1:12" x14ac:dyDescent="0.25">
      <c r="A125" s="258"/>
      <c r="B125" s="268"/>
      <c r="C125" s="2" t="s">
        <v>38</v>
      </c>
      <c r="D125" s="3">
        <v>50000</v>
      </c>
      <c r="E125" s="3">
        <v>50000</v>
      </c>
      <c r="F125" s="3"/>
      <c r="G125" s="3"/>
      <c r="H125" s="3"/>
      <c r="I125" s="3"/>
      <c r="J125" s="20">
        <f t="shared" si="37"/>
        <v>50000</v>
      </c>
      <c r="K125" s="112">
        <v>0</v>
      </c>
      <c r="L125" s="3">
        <f t="shared" si="38"/>
        <v>50000</v>
      </c>
    </row>
    <row r="126" spans="1:12" x14ac:dyDescent="0.25">
      <c r="A126" s="258"/>
      <c r="B126" s="268"/>
      <c r="C126" s="2" t="s">
        <v>40</v>
      </c>
      <c r="D126" s="3">
        <v>16800</v>
      </c>
      <c r="E126" s="3">
        <v>16800</v>
      </c>
      <c r="F126" s="3"/>
      <c r="G126" s="3"/>
      <c r="H126" s="3"/>
      <c r="I126" s="3"/>
      <c r="J126" s="20">
        <f t="shared" si="37"/>
        <v>16800</v>
      </c>
      <c r="K126" s="112">
        <v>3400</v>
      </c>
      <c r="L126" s="3">
        <f t="shared" si="38"/>
        <v>13400</v>
      </c>
    </row>
    <row r="127" spans="1:12" x14ac:dyDescent="0.25">
      <c r="A127" s="258"/>
      <c r="B127" s="268"/>
      <c r="C127" s="2" t="s">
        <v>41</v>
      </c>
      <c r="D127" s="3">
        <v>0</v>
      </c>
      <c r="E127" s="3">
        <v>34000</v>
      </c>
      <c r="F127" s="3"/>
      <c r="G127" s="3"/>
      <c r="H127" s="3"/>
      <c r="I127" s="3"/>
      <c r="J127" s="20">
        <f t="shared" si="37"/>
        <v>34000</v>
      </c>
      <c r="K127" s="112">
        <v>30080</v>
      </c>
      <c r="L127" s="3">
        <f t="shared" si="38"/>
        <v>3920</v>
      </c>
    </row>
    <row r="128" spans="1:12" x14ac:dyDescent="0.25">
      <c r="A128" s="258"/>
      <c r="B128" s="268"/>
      <c r="C128" s="2" t="s">
        <v>42</v>
      </c>
      <c r="D128" s="3">
        <v>240000</v>
      </c>
      <c r="E128" s="3">
        <v>240000</v>
      </c>
      <c r="F128" s="3"/>
      <c r="G128" s="3"/>
      <c r="H128" s="3"/>
      <c r="I128" s="3"/>
      <c r="J128" s="20">
        <f t="shared" si="37"/>
        <v>240000</v>
      </c>
      <c r="K128" s="112">
        <v>61480</v>
      </c>
      <c r="L128" s="3">
        <f t="shared" si="38"/>
        <v>178520</v>
      </c>
    </row>
    <row r="129" spans="1:12" x14ac:dyDescent="0.25">
      <c r="A129" s="258"/>
      <c r="B129" s="268"/>
      <c r="C129" s="2" t="s">
        <v>44</v>
      </c>
      <c r="D129" s="3">
        <v>94500</v>
      </c>
      <c r="E129" s="3">
        <v>94500</v>
      </c>
      <c r="F129" s="3"/>
      <c r="G129" s="3"/>
      <c r="H129" s="3"/>
      <c r="I129" s="3"/>
      <c r="J129" s="20">
        <f t="shared" si="37"/>
        <v>94500</v>
      </c>
      <c r="K129" s="112">
        <v>8121</v>
      </c>
      <c r="L129" s="3">
        <f t="shared" si="38"/>
        <v>86379</v>
      </c>
    </row>
    <row r="130" spans="1:12" x14ac:dyDescent="0.25">
      <c r="A130" s="258"/>
      <c r="B130" s="268"/>
      <c r="C130" s="6" t="s">
        <v>49</v>
      </c>
      <c r="D130" s="7">
        <f>SUM(D122:D129)</f>
        <v>701300</v>
      </c>
      <c r="E130" s="7">
        <v>701300</v>
      </c>
      <c r="F130" s="7">
        <f t="shared" ref="F130:L130" si="39">SUM(F122:F129)</f>
        <v>0</v>
      </c>
      <c r="G130" s="7">
        <f t="shared" si="39"/>
        <v>0</v>
      </c>
      <c r="H130" s="7">
        <f t="shared" si="39"/>
        <v>0</v>
      </c>
      <c r="I130" s="7">
        <f t="shared" si="39"/>
        <v>0</v>
      </c>
      <c r="J130" s="7">
        <f t="shared" si="39"/>
        <v>701300</v>
      </c>
      <c r="K130" s="114">
        <f t="shared" si="39"/>
        <v>103081</v>
      </c>
      <c r="L130" s="7">
        <f t="shared" si="39"/>
        <v>598219</v>
      </c>
    </row>
    <row r="131" spans="1:12" x14ac:dyDescent="0.25">
      <c r="A131" s="255" t="s">
        <v>64</v>
      </c>
      <c r="B131" s="252" t="s">
        <v>23</v>
      </c>
      <c r="C131" s="15" t="s">
        <v>29</v>
      </c>
      <c r="D131" s="24">
        <v>39600</v>
      </c>
      <c r="E131" s="24">
        <v>39600</v>
      </c>
      <c r="F131" s="11"/>
      <c r="G131" s="11"/>
      <c r="H131" s="11"/>
      <c r="I131" s="11"/>
      <c r="J131" s="20">
        <f t="shared" ref="J131:J134" si="40">E131+F131+G131+H131+I131</f>
        <v>39600</v>
      </c>
      <c r="K131" s="112">
        <v>16500</v>
      </c>
      <c r="L131" s="3">
        <f t="shared" ref="L131:L134" si="41">J131-K131</f>
        <v>23100</v>
      </c>
    </row>
    <row r="132" spans="1:12" x14ac:dyDescent="0.25">
      <c r="A132" s="257"/>
      <c r="B132" s="254"/>
      <c r="C132" s="15" t="s">
        <v>31</v>
      </c>
      <c r="D132" s="24">
        <v>7359</v>
      </c>
      <c r="E132" s="24">
        <v>7359</v>
      </c>
      <c r="F132" s="11"/>
      <c r="G132" s="11"/>
      <c r="H132" s="11"/>
      <c r="I132" s="11"/>
      <c r="J132" s="20">
        <f t="shared" si="40"/>
        <v>7359</v>
      </c>
      <c r="K132" s="112">
        <v>3218</v>
      </c>
      <c r="L132" s="3">
        <f t="shared" si="41"/>
        <v>4141</v>
      </c>
    </row>
    <row r="133" spans="1:12" x14ac:dyDescent="0.25">
      <c r="A133" s="255" t="s">
        <v>65</v>
      </c>
      <c r="B133" s="252" t="s">
        <v>23</v>
      </c>
      <c r="C133" s="15" t="s">
        <v>24</v>
      </c>
      <c r="D133" s="24">
        <v>1357158</v>
      </c>
      <c r="E133" s="24">
        <v>1357158</v>
      </c>
      <c r="F133" s="11"/>
      <c r="G133" s="11"/>
      <c r="H133" s="11"/>
      <c r="I133" s="11"/>
      <c r="J133" s="20">
        <f t="shared" si="40"/>
        <v>1357158</v>
      </c>
      <c r="K133" s="112">
        <v>565930</v>
      </c>
      <c r="L133" s="3">
        <f t="shared" si="41"/>
        <v>791228</v>
      </c>
    </row>
    <row r="134" spans="1:12" x14ac:dyDescent="0.25">
      <c r="A134" s="257"/>
      <c r="B134" s="254"/>
      <c r="C134" s="15" t="s">
        <v>31</v>
      </c>
      <c r="D134" s="24">
        <v>253327</v>
      </c>
      <c r="E134" s="24">
        <v>253327</v>
      </c>
      <c r="F134" s="11"/>
      <c r="G134" s="11"/>
      <c r="H134" s="11"/>
      <c r="I134" s="11"/>
      <c r="J134" s="20">
        <f t="shared" si="40"/>
        <v>253327</v>
      </c>
      <c r="K134" s="112">
        <v>110355</v>
      </c>
      <c r="L134" s="3">
        <f t="shared" si="41"/>
        <v>142972</v>
      </c>
    </row>
    <row r="135" spans="1:12" x14ac:dyDescent="0.25">
      <c r="A135" s="304" t="s">
        <v>78</v>
      </c>
      <c r="B135" s="305"/>
      <c r="C135" s="306"/>
      <c r="D135" s="84">
        <f>SUM(D120+D121+D130+D131+D132+D133+D134)</f>
        <v>8585356</v>
      </c>
      <c r="E135" s="84">
        <v>8585356</v>
      </c>
      <c r="F135" s="84">
        <f t="shared" ref="F135:L135" si="42">SUM(F120+F121+F130+F131+F132+F133+F134)</f>
        <v>0</v>
      </c>
      <c r="G135" s="84">
        <f t="shared" si="42"/>
        <v>0</v>
      </c>
      <c r="H135" s="84">
        <f t="shared" si="42"/>
        <v>16751</v>
      </c>
      <c r="I135" s="84">
        <f t="shared" si="42"/>
        <v>0</v>
      </c>
      <c r="J135" s="84">
        <f t="shared" si="42"/>
        <v>8602107</v>
      </c>
      <c r="K135" s="116">
        <f t="shared" si="42"/>
        <v>3326216</v>
      </c>
      <c r="L135" s="84">
        <f t="shared" si="42"/>
        <v>5275891</v>
      </c>
    </row>
    <row r="136" spans="1:12" x14ac:dyDescent="0.25">
      <c r="A136" s="258" t="s">
        <v>14</v>
      </c>
      <c r="B136" s="268" t="s">
        <v>23</v>
      </c>
      <c r="C136" s="2" t="s">
        <v>24</v>
      </c>
      <c r="D136" s="3">
        <v>4756797</v>
      </c>
      <c r="E136" s="3">
        <v>4679008</v>
      </c>
      <c r="F136" s="3"/>
      <c r="G136" s="3"/>
      <c r="H136" s="3">
        <v>9580</v>
      </c>
      <c r="I136" s="3"/>
      <c r="J136" s="20">
        <f t="shared" ref="J136:J142" si="43">E136+F136+G136+H136+I136</f>
        <v>4688588</v>
      </c>
      <c r="K136" s="112">
        <v>1822094</v>
      </c>
      <c r="L136" s="3">
        <f t="shared" ref="L136:L142" si="44">J136-K136</f>
        <v>2866494</v>
      </c>
    </row>
    <row r="137" spans="1:12" x14ac:dyDescent="0.25">
      <c r="A137" s="258"/>
      <c r="B137" s="268"/>
      <c r="C137" s="2" t="s">
        <v>25</v>
      </c>
      <c r="D137" s="3">
        <v>200000</v>
      </c>
      <c r="E137" s="3">
        <v>200000</v>
      </c>
      <c r="F137" s="3"/>
      <c r="G137" s="3"/>
      <c r="H137" s="3"/>
      <c r="I137" s="3"/>
      <c r="J137" s="20">
        <f t="shared" si="43"/>
        <v>200000</v>
      </c>
      <c r="K137" s="112">
        <v>100000</v>
      </c>
      <c r="L137" s="3">
        <f t="shared" si="44"/>
        <v>100000</v>
      </c>
    </row>
    <row r="138" spans="1:12" x14ac:dyDescent="0.25">
      <c r="A138" s="258"/>
      <c r="B138" s="268"/>
      <c r="C138" s="2" t="s">
        <v>26</v>
      </c>
      <c r="D138" s="3">
        <v>10000</v>
      </c>
      <c r="E138" s="3">
        <v>10000</v>
      </c>
      <c r="F138" s="3"/>
      <c r="G138" s="3"/>
      <c r="H138" s="3"/>
      <c r="I138" s="3"/>
      <c r="J138" s="20">
        <f t="shared" si="43"/>
        <v>10000</v>
      </c>
      <c r="K138" s="112">
        <v>0</v>
      </c>
      <c r="L138" s="3">
        <f t="shared" si="44"/>
        <v>10000</v>
      </c>
    </row>
    <row r="139" spans="1:12" x14ac:dyDescent="0.25">
      <c r="A139" s="258"/>
      <c r="B139" s="268"/>
      <c r="C139" s="2" t="s">
        <v>27</v>
      </c>
      <c r="D139" s="3">
        <v>255000</v>
      </c>
      <c r="E139" s="3">
        <v>255000</v>
      </c>
      <c r="F139" s="3"/>
      <c r="G139" s="3"/>
      <c r="H139" s="3"/>
      <c r="I139" s="3"/>
      <c r="J139" s="20">
        <f t="shared" si="43"/>
        <v>255000</v>
      </c>
      <c r="K139" s="112">
        <v>70096</v>
      </c>
      <c r="L139" s="3">
        <f t="shared" si="44"/>
        <v>184904</v>
      </c>
    </row>
    <row r="140" spans="1:12" x14ac:dyDescent="0.25">
      <c r="A140" s="258"/>
      <c r="B140" s="268"/>
      <c r="C140" s="2" t="s">
        <v>28</v>
      </c>
      <c r="D140" s="3">
        <v>24000</v>
      </c>
      <c r="E140" s="3">
        <v>24000</v>
      </c>
      <c r="F140" s="3"/>
      <c r="G140" s="3"/>
      <c r="H140" s="3"/>
      <c r="I140" s="3"/>
      <c r="J140" s="20">
        <f t="shared" si="43"/>
        <v>24000</v>
      </c>
      <c r="K140" s="112">
        <v>12000</v>
      </c>
      <c r="L140" s="3">
        <f t="shared" si="44"/>
        <v>12000</v>
      </c>
    </row>
    <row r="141" spans="1:12" x14ac:dyDescent="0.25">
      <c r="A141" s="258"/>
      <c r="B141" s="268"/>
      <c r="C141" s="2" t="s">
        <v>29</v>
      </c>
      <c r="D141" s="3">
        <v>0</v>
      </c>
      <c r="E141" s="3">
        <v>77789</v>
      </c>
      <c r="F141" s="3"/>
      <c r="G141" s="3"/>
      <c r="H141" s="3"/>
      <c r="I141" s="3"/>
      <c r="J141" s="20">
        <f t="shared" si="43"/>
        <v>77789</v>
      </c>
      <c r="K141" s="112">
        <v>77789</v>
      </c>
      <c r="L141" s="3">
        <f t="shared" si="44"/>
        <v>0</v>
      </c>
    </row>
    <row r="142" spans="1:12" x14ac:dyDescent="0.25">
      <c r="A142" s="258"/>
      <c r="B142" s="268"/>
      <c r="C142" s="2" t="s">
        <v>30</v>
      </c>
      <c r="D142" s="3">
        <v>0</v>
      </c>
      <c r="E142" s="3">
        <v>0</v>
      </c>
      <c r="F142" s="3"/>
      <c r="G142" s="3"/>
      <c r="H142" s="3"/>
      <c r="I142" s="3"/>
      <c r="J142" s="20">
        <f t="shared" si="43"/>
        <v>0</v>
      </c>
      <c r="K142" s="112">
        <v>0</v>
      </c>
      <c r="L142" s="3">
        <f t="shared" si="44"/>
        <v>0</v>
      </c>
    </row>
    <row r="143" spans="1:12" x14ac:dyDescent="0.25">
      <c r="A143" s="258"/>
      <c r="B143" s="268"/>
      <c r="C143" s="6" t="s">
        <v>53</v>
      </c>
      <c r="D143" s="7">
        <f>SUM(D136:D142)</f>
        <v>5245797</v>
      </c>
      <c r="E143" s="7">
        <v>5245797</v>
      </c>
      <c r="F143" s="7">
        <f t="shared" ref="F143:L143" si="45">SUM(F136:F142)</f>
        <v>0</v>
      </c>
      <c r="G143" s="7">
        <f t="shared" si="45"/>
        <v>0</v>
      </c>
      <c r="H143" s="7">
        <f t="shared" si="45"/>
        <v>9580</v>
      </c>
      <c r="I143" s="7">
        <f t="shared" si="45"/>
        <v>0</v>
      </c>
      <c r="J143" s="7">
        <f t="shared" si="45"/>
        <v>5255377</v>
      </c>
      <c r="K143" s="114">
        <f t="shared" si="45"/>
        <v>2081979</v>
      </c>
      <c r="L143" s="7">
        <f t="shared" si="45"/>
        <v>3173398</v>
      </c>
    </row>
    <row r="144" spans="1:12" x14ac:dyDescent="0.25">
      <c r="A144" s="258"/>
      <c r="B144" s="268"/>
      <c r="C144" s="86" t="s">
        <v>31</v>
      </c>
      <c r="D144" s="87">
        <v>1025121</v>
      </c>
      <c r="E144" s="87">
        <v>1025121</v>
      </c>
      <c r="F144" s="87"/>
      <c r="G144" s="87"/>
      <c r="H144" s="87">
        <v>1868</v>
      </c>
      <c r="I144" s="87"/>
      <c r="J144" s="88">
        <f t="shared" ref="J144:J152" si="46">E144+F144+G144+H144+I144</f>
        <v>1026989</v>
      </c>
      <c r="K144" s="115">
        <v>430860</v>
      </c>
      <c r="L144" s="89">
        <f t="shared" ref="L144:L152" si="47">J144-K144</f>
        <v>596129</v>
      </c>
    </row>
    <row r="145" spans="1:12" x14ac:dyDescent="0.25">
      <c r="A145" s="258"/>
      <c r="B145" s="268"/>
      <c r="C145" s="2" t="s">
        <v>32</v>
      </c>
      <c r="D145" s="3">
        <v>80000</v>
      </c>
      <c r="E145" s="3">
        <v>80000</v>
      </c>
      <c r="F145" s="3"/>
      <c r="G145" s="3"/>
      <c r="H145" s="3"/>
      <c r="I145" s="3"/>
      <c r="J145" s="20">
        <f t="shared" si="46"/>
        <v>80000</v>
      </c>
      <c r="K145" s="112">
        <v>0</v>
      </c>
      <c r="L145" s="3">
        <f t="shared" si="47"/>
        <v>80000</v>
      </c>
    </row>
    <row r="146" spans="1:12" x14ac:dyDescent="0.25">
      <c r="A146" s="258"/>
      <c r="B146" s="268"/>
      <c r="C146" s="2" t="s">
        <v>33</v>
      </c>
      <c r="D146" s="3">
        <v>110000</v>
      </c>
      <c r="E146" s="3">
        <v>110000</v>
      </c>
      <c r="F146" s="3"/>
      <c r="G146" s="3"/>
      <c r="H146" s="3"/>
      <c r="I146" s="3"/>
      <c r="J146" s="20">
        <f t="shared" si="46"/>
        <v>110000</v>
      </c>
      <c r="K146" s="112">
        <v>0</v>
      </c>
      <c r="L146" s="3">
        <f t="shared" si="47"/>
        <v>110000</v>
      </c>
    </row>
    <row r="147" spans="1:12" x14ac:dyDescent="0.25">
      <c r="A147" s="258"/>
      <c r="B147" s="268"/>
      <c r="C147" s="2" t="s">
        <v>34</v>
      </c>
      <c r="D147" s="3">
        <v>150000</v>
      </c>
      <c r="E147" s="3">
        <v>136000</v>
      </c>
      <c r="F147" s="3"/>
      <c r="G147" s="3"/>
      <c r="H147" s="3"/>
      <c r="I147" s="3"/>
      <c r="J147" s="20">
        <f t="shared" si="46"/>
        <v>136000</v>
      </c>
      <c r="K147" s="112">
        <v>0</v>
      </c>
      <c r="L147" s="3">
        <f t="shared" si="47"/>
        <v>136000</v>
      </c>
    </row>
    <row r="148" spans="1:12" x14ac:dyDescent="0.25">
      <c r="A148" s="258"/>
      <c r="B148" s="268"/>
      <c r="C148" s="2" t="s">
        <v>38</v>
      </c>
      <c r="D148" s="3">
        <v>144000</v>
      </c>
      <c r="E148" s="3">
        <v>144000</v>
      </c>
      <c r="F148" s="3"/>
      <c r="G148" s="3"/>
      <c r="H148" s="3"/>
      <c r="I148" s="3"/>
      <c r="J148" s="20">
        <f t="shared" si="46"/>
        <v>144000</v>
      </c>
      <c r="K148" s="112">
        <v>0</v>
      </c>
      <c r="L148" s="3">
        <f t="shared" si="47"/>
        <v>144000</v>
      </c>
    </row>
    <row r="149" spans="1:12" x14ac:dyDescent="0.25">
      <c r="A149" s="258"/>
      <c r="B149" s="268"/>
      <c r="C149" s="2" t="s">
        <v>40</v>
      </c>
      <c r="D149" s="3">
        <v>16800</v>
      </c>
      <c r="E149" s="3">
        <v>16800</v>
      </c>
      <c r="F149" s="3"/>
      <c r="G149" s="3"/>
      <c r="H149" s="3"/>
      <c r="I149" s="3"/>
      <c r="J149" s="20">
        <f t="shared" si="46"/>
        <v>16800</v>
      </c>
      <c r="K149" s="112">
        <v>3400</v>
      </c>
      <c r="L149" s="3">
        <f t="shared" si="47"/>
        <v>13400</v>
      </c>
    </row>
    <row r="150" spans="1:12" x14ac:dyDescent="0.25">
      <c r="A150" s="258"/>
      <c r="B150" s="268"/>
      <c r="C150" s="2" t="s">
        <v>41</v>
      </c>
      <c r="D150" s="3">
        <v>40000</v>
      </c>
      <c r="E150" s="3">
        <v>54000</v>
      </c>
      <c r="F150" s="3"/>
      <c r="G150" s="3"/>
      <c r="H150" s="3"/>
      <c r="I150" s="3"/>
      <c r="J150" s="20">
        <f t="shared" si="46"/>
        <v>54000</v>
      </c>
      <c r="K150" s="112">
        <v>50080</v>
      </c>
      <c r="L150" s="3">
        <f t="shared" si="47"/>
        <v>3920</v>
      </c>
    </row>
    <row r="151" spans="1:12" x14ac:dyDescent="0.25">
      <c r="A151" s="258"/>
      <c r="B151" s="268"/>
      <c r="C151" s="2" t="s">
        <v>42</v>
      </c>
      <c r="D151" s="3">
        <v>150000</v>
      </c>
      <c r="E151" s="3">
        <v>150000</v>
      </c>
      <c r="F151" s="3"/>
      <c r="G151" s="3"/>
      <c r="H151" s="3"/>
      <c r="I151" s="3"/>
      <c r="J151" s="20">
        <f t="shared" si="46"/>
        <v>150000</v>
      </c>
      <c r="K151" s="112">
        <v>51280</v>
      </c>
      <c r="L151" s="3">
        <f t="shared" si="47"/>
        <v>98720</v>
      </c>
    </row>
    <row r="152" spans="1:12" x14ac:dyDescent="0.25">
      <c r="A152" s="258"/>
      <c r="B152" s="268"/>
      <c r="C152" s="2" t="s">
        <v>44</v>
      </c>
      <c r="D152" s="3">
        <v>141480</v>
      </c>
      <c r="E152" s="3">
        <v>141480</v>
      </c>
      <c r="F152" s="3"/>
      <c r="G152" s="3"/>
      <c r="H152" s="3"/>
      <c r="I152" s="3"/>
      <c r="J152" s="20">
        <f t="shared" si="46"/>
        <v>141480</v>
      </c>
      <c r="K152" s="112">
        <v>8122</v>
      </c>
      <c r="L152" s="3">
        <f t="shared" si="47"/>
        <v>133358</v>
      </c>
    </row>
    <row r="153" spans="1:12" x14ac:dyDescent="0.25">
      <c r="A153" s="258"/>
      <c r="B153" s="268"/>
      <c r="C153" s="6" t="s">
        <v>49</v>
      </c>
      <c r="D153" s="7">
        <f>SUM(D145:D152)</f>
        <v>832280</v>
      </c>
      <c r="E153" s="7">
        <v>832280</v>
      </c>
      <c r="F153" s="7">
        <f t="shared" ref="F153:L153" si="48">SUM(F145:F152)</f>
        <v>0</v>
      </c>
      <c r="G153" s="7">
        <f t="shared" si="48"/>
        <v>0</v>
      </c>
      <c r="H153" s="7">
        <f t="shared" si="48"/>
        <v>0</v>
      </c>
      <c r="I153" s="7">
        <f t="shared" si="48"/>
        <v>0</v>
      </c>
      <c r="J153" s="7">
        <f t="shared" si="48"/>
        <v>832280</v>
      </c>
      <c r="K153" s="114">
        <f t="shared" si="48"/>
        <v>112882</v>
      </c>
      <c r="L153" s="7">
        <f t="shared" si="48"/>
        <v>719398</v>
      </c>
    </row>
    <row r="154" spans="1:12" x14ac:dyDescent="0.25">
      <c r="A154" s="255" t="s">
        <v>66</v>
      </c>
      <c r="B154" s="252" t="s">
        <v>23</v>
      </c>
      <c r="C154" s="15" t="s">
        <v>24</v>
      </c>
      <c r="D154" s="24">
        <v>832628</v>
      </c>
      <c r="E154" s="24">
        <v>832628</v>
      </c>
      <c r="F154" s="11"/>
      <c r="G154" s="11"/>
      <c r="H154" s="11"/>
      <c r="I154" s="11"/>
      <c r="J154" s="20">
        <f t="shared" ref="J154:J155" si="49">E154+F154+G154+H154+I154</f>
        <v>832628</v>
      </c>
      <c r="K154" s="112">
        <v>335402</v>
      </c>
      <c r="L154" s="3">
        <f t="shared" ref="L154:L155" si="50">J154-K154</f>
        <v>497226</v>
      </c>
    </row>
    <row r="155" spans="1:12" x14ac:dyDescent="0.25">
      <c r="A155" s="257"/>
      <c r="B155" s="254"/>
      <c r="C155" s="15" t="s">
        <v>31</v>
      </c>
      <c r="D155" s="24">
        <v>155410</v>
      </c>
      <c r="E155" s="24">
        <v>155410</v>
      </c>
      <c r="F155" s="11"/>
      <c r="G155" s="11"/>
      <c r="H155" s="11"/>
      <c r="I155" s="11"/>
      <c r="J155" s="20">
        <f t="shared" si="49"/>
        <v>155410</v>
      </c>
      <c r="K155" s="112">
        <v>65403</v>
      </c>
      <c r="L155" s="3">
        <f t="shared" si="50"/>
        <v>90007</v>
      </c>
    </row>
    <row r="156" spans="1:12" x14ac:dyDescent="0.25">
      <c r="A156" s="304" t="s">
        <v>79</v>
      </c>
      <c r="B156" s="305"/>
      <c r="C156" s="306"/>
      <c r="D156" s="84">
        <f>SUM(D143+D144+D153+D154+D155)</f>
        <v>8091236</v>
      </c>
      <c r="E156" s="84">
        <v>8091236</v>
      </c>
      <c r="F156" s="84">
        <f t="shared" ref="F156:L156" si="51">SUM(F143+F144+F153+F154+F155)</f>
        <v>0</v>
      </c>
      <c r="G156" s="84">
        <f t="shared" si="51"/>
        <v>0</v>
      </c>
      <c r="H156" s="84">
        <f t="shared" si="51"/>
        <v>11448</v>
      </c>
      <c r="I156" s="84">
        <f t="shared" si="51"/>
        <v>0</v>
      </c>
      <c r="J156" s="84">
        <f t="shared" si="51"/>
        <v>8102684</v>
      </c>
      <c r="K156" s="116">
        <f t="shared" si="51"/>
        <v>3026526</v>
      </c>
      <c r="L156" s="84">
        <f t="shared" si="51"/>
        <v>5076158</v>
      </c>
    </row>
    <row r="157" spans="1:12" x14ac:dyDescent="0.25">
      <c r="A157" s="258" t="s">
        <v>55</v>
      </c>
      <c r="B157" s="268" t="s">
        <v>23</v>
      </c>
      <c r="C157" s="10" t="s">
        <v>24</v>
      </c>
      <c r="D157" s="24">
        <v>5055869</v>
      </c>
      <c r="E157" s="24">
        <v>5055869</v>
      </c>
      <c r="F157" s="11"/>
      <c r="G157" s="11"/>
      <c r="H157" s="11"/>
      <c r="I157" s="11"/>
      <c r="J157" s="20">
        <f t="shared" ref="J157:J162" si="52">E157+F157+G157+H157+I157</f>
        <v>5055869</v>
      </c>
      <c r="K157" s="112">
        <v>2020996</v>
      </c>
      <c r="L157" s="3">
        <f t="shared" ref="L157:L162" si="53">J157-K157</f>
        <v>3034873</v>
      </c>
    </row>
    <row r="158" spans="1:12" x14ac:dyDescent="0.25">
      <c r="A158" s="258"/>
      <c r="B158" s="268"/>
      <c r="C158" s="10" t="s">
        <v>25</v>
      </c>
      <c r="D158" s="24">
        <v>425000</v>
      </c>
      <c r="E158" s="24">
        <v>425000</v>
      </c>
      <c r="F158" s="11"/>
      <c r="G158" s="11"/>
      <c r="H158" s="11"/>
      <c r="I158" s="11"/>
      <c r="J158" s="20">
        <f t="shared" si="52"/>
        <v>425000</v>
      </c>
      <c r="K158" s="112">
        <v>212500</v>
      </c>
      <c r="L158" s="3">
        <f t="shared" si="53"/>
        <v>212500</v>
      </c>
    </row>
    <row r="159" spans="1:12" x14ac:dyDescent="0.25">
      <c r="A159" s="258"/>
      <c r="B159" s="268"/>
      <c r="C159" s="10" t="s">
        <v>26</v>
      </c>
      <c r="D159" s="24">
        <v>10000</v>
      </c>
      <c r="E159" s="24">
        <v>10000</v>
      </c>
      <c r="F159" s="11"/>
      <c r="G159" s="11"/>
      <c r="H159" s="11"/>
      <c r="I159" s="11"/>
      <c r="J159" s="20">
        <f t="shared" si="52"/>
        <v>10000</v>
      </c>
      <c r="K159" s="112">
        <v>0</v>
      </c>
      <c r="L159" s="3">
        <f t="shared" si="53"/>
        <v>10000</v>
      </c>
    </row>
    <row r="160" spans="1:12" x14ac:dyDescent="0.25">
      <c r="A160" s="258"/>
      <c r="B160" s="268"/>
      <c r="C160" s="10" t="s">
        <v>28</v>
      </c>
      <c r="D160" s="24">
        <v>24000</v>
      </c>
      <c r="E160" s="24">
        <v>24000</v>
      </c>
      <c r="F160" s="11"/>
      <c r="G160" s="11"/>
      <c r="H160" s="11"/>
      <c r="I160" s="11"/>
      <c r="J160" s="20">
        <f t="shared" si="52"/>
        <v>24000</v>
      </c>
      <c r="K160" s="112">
        <v>12000</v>
      </c>
      <c r="L160" s="3">
        <f t="shared" si="53"/>
        <v>12000</v>
      </c>
    </row>
    <row r="161" spans="1:12" x14ac:dyDescent="0.25">
      <c r="A161" s="258"/>
      <c r="B161" s="268"/>
      <c r="C161" s="10" t="s">
        <v>29</v>
      </c>
      <c r="D161" s="24">
        <v>75000</v>
      </c>
      <c r="E161" s="24">
        <v>75000</v>
      </c>
      <c r="F161" s="11"/>
      <c r="G161" s="11"/>
      <c r="H161" s="11"/>
      <c r="I161" s="11"/>
      <c r="J161" s="20">
        <f t="shared" si="52"/>
        <v>75000</v>
      </c>
      <c r="K161" s="112">
        <v>0</v>
      </c>
      <c r="L161" s="3">
        <f t="shared" si="53"/>
        <v>75000</v>
      </c>
    </row>
    <row r="162" spans="1:12" x14ac:dyDescent="0.25">
      <c r="A162" s="258"/>
      <c r="B162" s="268"/>
      <c r="C162" s="10" t="s">
        <v>30</v>
      </c>
      <c r="D162" s="24">
        <v>0</v>
      </c>
      <c r="E162" s="24">
        <v>0</v>
      </c>
      <c r="F162" s="11"/>
      <c r="G162" s="11"/>
      <c r="H162" s="11"/>
      <c r="I162" s="11"/>
      <c r="J162" s="20">
        <f t="shared" si="52"/>
        <v>0</v>
      </c>
      <c r="K162" s="112">
        <v>0</v>
      </c>
      <c r="L162" s="3">
        <f t="shared" si="53"/>
        <v>0</v>
      </c>
    </row>
    <row r="163" spans="1:12" x14ac:dyDescent="0.25">
      <c r="A163" s="258"/>
      <c r="B163" s="268"/>
      <c r="C163" s="6" t="s">
        <v>53</v>
      </c>
      <c r="D163" s="7">
        <f>SUM(D157:D162)</f>
        <v>5589869</v>
      </c>
      <c r="E163" s="7">
        <v>5589869</v>
      </c>
      <c r="F163" s="7">
        <f t="shared" ref="F163:L163" si="54">SUM(F157:F162)</f>
        <v>0</v>
      </c>
      <c r="G163" s="7">
        <f t="shared" si="54"/>
        <v>0</v>
      </c>
      <c r="H163" s="7">
        <f t="shared" si="54"/>
        <v>0</v>
      </c>
      <c r="I163" s="7">
        <f t="shared" si="54"/>
        <v>0</v>
      </c>
      <c r="J163" s="7">
        <f t="shared" si="54"/>
        <v>5589869</v>
      </c>
      <c r="K163" s="114">
        <f t="shared" si="54"/>
        <v>2245496</v>
      </c>
      <c r="L163" s="7">
        <f t="shared" si="54"/>
        <v>3344373</v>
      </c>
    </row>
    <row r="164" spans="1:12" x14ac:dyDescent="0.25">
      <c r="A164" s="258"/>
      <c r="B164" s="268"/>
      <c r="C164" s="86" t="s">
        <v>31</v>
      </c>
      <c r="D164" s="87">
        <v>1124913</v>
      </c>
      <c r="E164" s="87">
        <v>1124913</v>
      </c>
      <c r="F164" s="87"/>
      <c r="G164" s="87"/>
      <c r="H164" s="87"/>
      <c r="I164" s="87"/>
      <c r="J164" s="88">
        <f t="shared" ref="J164:J173" si="55">E164+F164+G164+H164+I164</f>
        <v>1124913</v>
      </c>
      <c r="K164" s="115">
        <v>476411</v>
      </c>
      <c r="L164" s="89">
        <f t="shared" ref="L164:L173" si="56">J164-K164</f>
        <v>648502</v>
      </c>
    </row>
    <row r="165" spans="1:12" x14ac:dyDescent="0.25">
      <c r="A165" s="258"/>
      <c r="B165" s="268"/>
      <c r="C165" s="10" t="s">
        <v>32</v>
      </c>
      <c r="D165" s="24">
        <v>100000</v>
      </c>
      <c r="E165" s="24">
        <v>100000</v>
      </c>
      <c r="F165" s="11"/>
      <c r="G165" s="11"/>
      <c r="H165" s="11"/>
      <c r="I165" s="11"/>
      <c r="J165" s="20">
        <f t="shared" si="55"/>
        <v>100000</v>
      </c>
      <c r="K165" s="112">
        <v>0</v>
      </c>
      <c r="L165" s="3">
        <f t="shared" si="56"/>
        <v>100000</v>
      </c>
    </row>
    <row r="166" spans="1:12" x14ac:dyDescent="0.25">
      <c r="A166" s="258"/>
      <c r="B166" s="268"/>
      <c r="C166" s="10" t="s">
        <v>33</v>
      </c>
      <c r="D166" s="24">
        <v>100000</v>
      </c>
      <c r="E166" s="24">
        <v>100000</v>
      </c>
      <c r="F166" s="11"/>
      <c r="G166" s="11"/>
      <c r="H166" s="11"/>
      <c r="I166" s="11"/>
      <c r="J166" s="20">
        <f t="shared" si="55"/>
        <v>100000</v>
      </c>
      <c r="K166" s="112">
        <v>0</v>
      </c>
      <c r="L166" s="3">
        <f t="shared" si="56"/>
        <v>100000</v>
      </c>
    </row>
    <row r="167" spans="1:12" x14ac:dyDescent="0.25">
      <c r="A167" s="258"/>
      <c r="B167" s="268"/>
      <c r="C167" s="10" t="s">
        <v>34</v>
      </c>
      <c r="D167" s="24">
        <v>100000</v>
      </c>
      <c r="E167" s="24">
        <v>100000</v>
      </c>
      <c r="F167" s="11"/>
      <c r="G167" s="11"/>
      <c r="H167" s="11"/>
      <c r="I167" s="11"/>
      <c r="J167" s="20">
        <f t="shared" si="55"/>
        <v>100000</v>
      </c>
      <c r="K167" s="112">
        <v>0</v>
      </c>
      <c r="L167" s="3">
        <f t="shared" si="56"/>
        <v>100000</v>
      </c>
    </row>
    <row r="168" spans="1:12" x14ac:dyDescent="0.25">
      <c r="A168" s="258"/>
      <c r="B168" s="268"/>
      <c r="C168" s="10" t="s">
        <v>35</v>
      </c>
      <c r="D168" s="24">
        <v>50000</v>
      </c>
      <c r="E168" s="24">
        <v>50000</v>
      </c>
      <c r="F168" s="11"/>
      <c r="G168" s="11"/>
      <c r="H168" s="11"/>
      <c r="I168" s="11"/>
      <c r="J168" s="20">
        <f t="shared" si="55"/>
        <v>50000</v>
      </c>
      <c r="K168" s="112">
        <v>0</v>
      </c>
      <c r="L168" s="3">
        <f t="shared" si="56"/>
        <v>50000</v>
      </c>
    </row>
    <row r="169" spans="1:12" x14ac:dyDescent="0.25">
      <c r="A169" s="258"/>
      <c r="B169" s="268"/>
      <c r="C169" s="10" t="s">
        <v>38</v>
      </c>
      <c r="D169" s="24">
        <v>140000</v>
      </c>
      <c r="E169" s="24">
        <v>140000</v>
      </c>
      <c r="F169" s="11"/>
      <c r="G169" s="11"/>
      <c r="H169" s="11"/>
      <c r="I169" s="11"/>
      <c r="J169" s="20">
        <f t="shared" si="55"/>
        <v>140000</v>
      </c>
      <c r="K169" s="112">
        <v>26259</v>
      </c>
      <c r="L169" s="3">
        <f t="shared" si="56"/>
        <v>113741</v>
      </c>
    </row>
    <row r="170" spans="1:12" x14ac:dyDescent="0.25">
      <c r="A170" s="258"/>
      <c r="B170" s="268"/>
      <c r="C170" s="10" t="s">
        <v>40</v>
      </c>
      <c r="D170" s="24">
        <v>15000</v>
      </c>
      <c r="E170" s="24">
        <v>15000</v>
      </c>
      <c r="F170" s="11"/>
      <c r="G170" s="11"/>
      <c r="H170" s="11"/>
      <c r="I170" s="11"/>
      <c r="J170" s="20">
        <f t="shared" si="55"/>
        <v>15000</v>
      </c>
      <c r="K170" s="112">
        <v>2950</v>
      </c>
      <c r="L170" s="3">
        <f t="shared" si="56"/>
        <v>12050</v>
      </c>
    </row>
    <row r="171" spans="1:12" x14ac:dyDescent="0.25">
      <c r="A171" s="258"/>
      <c r="B171" s="268"/>
      <c r="C171" s="10" t="s">
        <v>41</v>
      </c>
      <c r="D171" s="24">
        <v>80000</v>
      </c>
      <c r="E171" s="24">
        <v>80000</v>
      </c>
      <c r="F171" s="11"/>
      <c r="G171" s="11"/>
      <c r="H171" s="11"/>
      <c r="I171" s="11"/>
      <c r="J171" s="20">
        <f t="shared" si="55"/>
        <v>80000</v>
      </c>
      <c r="K171" s="112">
        <v>30080</v>
      </c>
      <c r="L171" s="3">
        <f t="shared" si="56"/>
        <v>49920</v>
      </c>
    </row>
    <row r="172" spans="1:12" x14ac:dyDescent="0.25">
      <c r="A172" s="258"/>
      <c r="B172" s="268"/>
      <c r="C172" s="10" t="s">
        <v>42</v>
      </c>
      <c r="D172" s="24">
        <v>240000</v>
      </c>
      <c r="E172" s="24">
        <v>240000</v>
      </c>
      <c r="F172" s="11"/>
      <c r="G172" s="11"/>
      <c r="H172" s="11"/>
      <c r="I172" s="11"/>
      <c r="J172" s="20">
        <f t="shared" si="55"/>
        <v>240000</v>
      </c>
      <c r="K172" s="112">
        <v>108195</v>
      </c>
      <c r="L172" s="3">
        <f t="shared" si="56"/>
        <v>131805</v>
      </c>
    </row>
    <row r="173" spans="1:12" x14ac:dyDescent="0.25">
      <c r="A173" s="258"/>
      <c r="B173" s="268"/>
      <c r="C173" s="10" t="s">
        <v>44</v>
      </c>
      <c r="D173" s="24">
        <v>142900</v>
      </c>
      <c r="E173" s="24">
        <v>142900</v>
      </c>
      <c r="F173" s="11"/>
      <c r="G173" s="11"/>
      <c r="H173" s="11"/>
      <c r="I173" s="11"/>
      <c r="J173" s="20">
        <f t="shared" si="55"/>
        <v>142900</v>
      </c>
      <c r="K173" s="112">
        <v>15212</v>
      </c>
      <c r="L173" s="3">
        <f t="shared" si="56"/>
        <v>127688</v>
      </c>
    </row>
    <row r="174" spans="1:12" x14ac:dyDescent="0.25">
      <c r="A174" s="258"/>
      <c r="B174" s="268"/>
      <c r="C174" s="6" t="s">
        <v>49</v>
      </c>
      <c r="D174" s="7">
        <f>SUM(D165:D173)</f>
        <v>967900</v>
      </c>
      <c r="E174" s="7">
        <v>967900</v>
      </c>
      <c r="F174" s="7">
        <f t="shared" ref="F174:L174" si="57">SUM(F165:F173)</f>
        <v>0</v>
      </c>
      <c r="G174" s="7">
        <f t="shared" si="57"/>
        <v>0</v>
      </c>
      <c r="H174" s="7">
        <f t="shared" si="57"/>
        <v>0</v>
      </c>
      <c r="I174" s="7">
        <f t="shared" si="57"/>
        <v>0</v>
      </c>
      <c r="J174" s="7">
        <f t="shared" si="57"/>
        <v>967900</v>
      </c>
      <c r="K174" s="114">
        <f t="shared" si="57"/>
        <v>182696</v>
      </c>
      <c r="L174" s="7">
        <f t="shared" si="57"/>
        <v>785204</v>
      </c>
    </row>
    <row r="175" spans="1:12" x14ac:dyDescent="0.25">
      <c r="A175" s="255" t="s">
        <v>67</v>
      </c>
      <c r="B175" s="252" t="s">
        <v>23</v>
      </c>
      <c r="C175" s="25" t="s">
        <v>29</v>
      </c>
      <c r="D175" s="24">
        <v>157200</v>
      </c>
      <c r="E175" s="24">
        <v>157200</v>
      </c>
      <c r="F175" s="11"/>
      <c r="G175" s="11"/>
      <c r="H175" s="11"/>
      <c r="I175" s="11"/>
      <c r="J175" s="20">
        <f t="shared" ref="J175:J191" si="58">E175+F175+G175+H175+I175</f>
        <v>157200</v>
      </c>
      <c r="K175" s="112">
        <v>34300</v>
      </c>
      <c r="L175" s="3">
        <f t="shared" ref="L175:L191" si="59">J175-K175</f>
        <v>122900</v>
      </c>
    </row>
    <row r="176" spans="1:12" x14ac:dyDescent="0.25">
      <c r="A176" s="257"/>
      <c r="B176" s="254"/>
      <c r="C176" s="25" t="s">
        <v>31</v>
      </c>
      <c r="D176" s="24">
        <v>29213</v>
      </c>
      <c r="E176" s="24">
        <v>29213</v>
      </c>
      <c r="F176" s="11"/>
      <c r="G176" s="11"/>
      <c r="H176" s="11"/>
      <c r="I176" s="11"/>
      <c r="J176" s="20">
        <f t="shared" si="58"/>
        <v>29213</v>
      </c>
      <c r="K176" s="112">
        <v>6689</v>
      </c>
      <c r="L176" s="3">
        <f t="shared" si="59"/>
        <v>22524</v>
      </c>
    </row>
    <row r="177" spans="1:12" x14ac:dyDescent="0.25">
      <c r="A177" s="255" t="s">
        <v>75</v>
      </c>
      <c r="B177" s="252" t="s">
        <v>23</v>
      </c>
      <c r="C177" s="15" t="s">
        <v>24</v>
      </c>
      <c r="D177" s="24">
        <v>1604509</v>
      </c>
      <c r="E177" s="24">
        <v>1604509</v>
      </c>
      <c r="F177" s="11"/>
      <c r="G177" s="11"/>
      <c r="H177" s="11"/>
      <c r="I177" s="11"/>
      <c r="J177" s="20">
        <f t="shared" si="58"/>
        <v>1604509</v>
      </c>
      <c r="K177" s="112">
        <v>681832</v>
      </c>
      <c r="L177" s="3">
        <f t="shared" si="59"/>
        <v>922677</v>
      </c>
    </row>
    <row r="178" spans="1:12" x14ac:dyDescent="0.25">
      <c r="A178" s="257"/>
      <c r="B178" s="254"/>
      <c r="C178" s="15" t="s">
        <v>31</v>
      </c>
      <c r="D178" s="24">
        <v>299119</v>
      </c>
      <c r="E178" s="24">
        <v>299119</v>
      </c>
      <c r="F178" s="11"/>
      <c r="G178" s="11"/>
      <c r="H178" s="11"/>
      <c r="I178" s="11"/>
      <c r="J178" s="20">
        <f t="shared" si="58"/>
        <v>299119</v>
      </c>
      <c r="K178" s="112">
        <v>132959</v>
      </c>
      <c r="L178" s="3">
        <f t="shared" si="59"/>
        <v>166160</v>
      </c>
    </row>
    <row r="179" spans="1:12" x14ac:dyDescent="0.25">
      <c r="A179" s="310" t="s">
        <v>80</v>
      </c>
      <c r="B179" s="310"/>
      <c r="C179" s="310"/>
      <c r="D179" s="85">
        <f>SUM(D163+D164+D174+D175+D176+D177+D178)</f>
        <v>9772723</v>
      </c>
      <c r="E179" s="85">
        <v>9772723</v>
      </c>
      <c r="F179" s="85">
        <f t="shared" ref="F179:L179" si="60">SUM(F163+F164+F174+F175+F176+F177+F178)</f>
        <v>0</v>
      </c>
      <c r="G179" s="85">
        <f t="shared" si="60"/>
        <v>0</v>
      </c>
      <c r="H179" s="85">
        <f t="shared" si="60"/>
        <v>0</v>
      </c>
      <c r="I179" s="85">
        <f t="shared" si="60"/>
        <v>0</v>
      </c>
      <c r="J179" s="85">
        <f t="shared" si="60"/>
        <v>9772723</v>
      </c>
      <c r="K179" s="116">
        <f t="shared" si="60"/>
        <v>3760383</v>
      </c>
      <c r="L179" s="85">
        <f t="shared" si="60"/>
        <v>6012340</v>
      </c>
    </row>
    <row r="180" spans="1:12" x14ac:dyDescent="0.25">
      <c r="A180" s="258" t="s">
        <v>15</v>
      </c>
      <c r="B180" s="252" t="s">
        <v>23</v>
      </c>
      <c r="C180" s="43" t="s">
        <v>24</v>
      </c>
      <c r="D180" s="44">
        <v>11144060</v>
      </c>
      <c r="E180" s="44">
        <v>11144060</v>
      </c>
      <c r="F180" s="44"/>
      <c r="G180" s="44"/>
      <c r="H180" s="44"/>
      <c r="I180" s="44"/>
      <c r="J180" s="20">
        <f t="shared" si="58"/>
        <v>11144060</v>
      </c>
      <c r="K180" s="56">
        <v>960500</v>
      </c>
      <c r="L180" s="3">
        <f t="shared" si="59"/>
        <v>10183560</v>
      </c>
    </row>
    <row r="181" spans="1:12" x14ac:dyDescent="0.25">
      <c r="A181" s="258"/>
      <c r="B181" s="253"/>
      <c r="C181" s="43" t="s">
        <v>30</v>
      </c>
      <c r="D181" s="44">
        <v>0</v>
      </c>
      <c r="E181" s="44">
        <v>0</v>
      </c>
      <c r="F181" s="44">
        <v>10500000</v>
      </c>
      <c r="G181" s="44"/>
      <c r="H181" s="44"/>
      <c r="I181" s="44"/>
      <c r="J181" s="20">
        <f t="shared" si="58"/>
        <v>10500000</v>
      </c>
      <c r="K181" s="56">
        <v>0</v>
      </c>
      <c r="L181" s="3">
        <f t="shared" si="59"/>
        <v>10500000</v>
      </c>
    </row>
    <row r="182" spans="1:12" x14ac:dyDescent="0.25">
      <c r="A182" s="258"/>
      <c r="B182" s="253"/>
      <c r="C182" s="6" t="s">
        <v>53</v>
      </c>
      <c r="D182" s="7">
        <f>D180+D181</f>
        <v>11144060</v>
      </c>
      <c r="E182" s="7">
        <f>E180+E181</f>
        <v>11144060</v>
      </c>
      <c r="F182" s="7">
        <f t="shared" ref="F182:L182" si="61">F180+F181</f>
        <v>10500000</v>
      </c>
      <c r="G182" s="7">
        <f t="shared" si="61"/>
        <v>0</v>
      </c>
      <c r="H182" s="7">
        <f t="shared" si="61"/>
        <v>0</v>
      </c>
      <c r="I182" s="7">
        <f t="shared" si="61"/>
        <v>0</v>
      </c>
      <c r="J182" s="8">
        <f t="shared" si="58"/>
        <v>21644060</v>
      </c>
      <c r="K182" s="117">
        <f t="shared" si="61"/>
        <v>960500</v>
      </c>
      <c r="L182" s="7">
        <f t="shared" si="61"/>
        <v>20683560</v>
      </c>
    </row>
    <row r="183" spans="1:12" x14ac:dyDescent="0.25">
      <c r="A183" s="258"/>
      <c r="B183" s="253"/>
      <c r="C183" s="86" t="s">
        <v>31</v>
      </c>
      <c r="D183" s="87">
        <v>2295657</v>
      </c>
      <c r="E183" s="87">
        <v>2295657</v>
      </c>
      <c r="F183" s="87"/>
      <c r="G183" s="87"/>
      <c r="H183" s="87"/>
      <c r="I183" s="87"/>
      <c r="J183" s="89">
        <f t="shared" si="58"/>
        <v>2295657</v>
      </c>
      <c r="K183" s="115">
        <v>187298</v>
      </c>
      <c r="L183" s="89">
        <f t="shared" si="59"/>
        <v>2108359</v>
      </c>
    </row>
    <row r="184" spans="1:12" x14ac:dyDescent="0.25">
      <c r="A184" s="258"/>
      <c r="B184" s="253"/>
      <c r="C184" s="10" t="s">
        <v>33</v>
      </c>
      <c r="D184" s="3">
        <v>90000</v>
      </c>
      <c r="E184" s="3">
        <v>90000</v>
      </c>
      <c r="F184" s="3"/>
      <c r="G184" s="3"/>
      <c r="H184" s="3"/>
      <c r="I184" s="3"/>
      <c r="J184" s="3">
        <f t="shared" si="58"/>
        <v>90000</v>
      </c>
      <c r="K184" s="112">
        <v>0</v>
      </c>
      <c r="L184" s="3">
        <f t="shared" si="59"/>
        <v>90000</v>
      </c>
    </row>
    <row r="185" spans="1:12" x14ac:dyDescent="0.25">
      <c r="A185" s="258"/>
      <c r="B185" s="253"/>
      <c r="C185" s="10" t="s">
        <v>37</v>
      </c>
      <c r="D185" s="3">
        <v>230000</v>
      </c>
      <c r="E185" s="3">
        <v>230000</v>
      </c>
      <c r="F185" s="3"/>
      <c r="G185" s="3"/>
      <c r="H185" s="3"/>
      <c r="I185" s="3"/>
      <c r="J185" s="3">
        <f t="shared" si="58"/>
        <v>230000</v>
      </c>
      <c r="K185" s="112">
        <v>0</v>
      </c>
      <c r="L185" s="3">
        <f t="shared" si="59"/>
        <v>230000</v>
      </c>
    </row>
    <row r="186" spans="1:12" x14ac:dyDescent="0.25">
      <c r="A186" s="258"/>
      <c r="B186" s="253"/>
      <c r="C186" s="10" t="s">
        <v>40</v>
      </c>
      <c r="D186" s="3">
        <v>14850000</v>
      </c>
      <c r="E186" s="3">
        <v>14850000</v>
      </c>
      <c r="F186" s="3"/>
      <c r="G186" s="3"/>
      <c r="H186" s="3"/>
      <c r="I186" s="3"/>
      <c r="J186" s="3">
        <f t="shared" si="58"/>
        <v>14850000</v>
      </c>
      <c r="K186" s="112">
        <v>0</v>
      </c>
      <c r="L186" s="3">
        <f t="shared" si="59"/>
        <v>14850000</v>
      </c>
    </row>
    <row r="187" spans="1:12" x14ac:dyDescent="0.25">
      <c r="A187" s="258"/>
      <c r="B187" s="253"/>
      <c r="C187" s="10" t="s">
        <v>41</v>
      </c>
      <c r="D187" s="3">
        <v>25112271</v>
      </c>
      <c r="E187" s="3">
        <v>25112271</v>
      </c>
      <c r="F187" s="3">
        <f>-10500000-8267717</f>
        <v>-18767717</v>
      </c>
      <c r="G187" s="3"/>
      <c r="H187" s="3"/>
      <c r="I187" s="3"/>
      <c r="J187" s="3">
        <f t="shared" si="58"/>
        <v>6344554</v>
      </c>
      <c r="K187" s="112">
        <v>5250000</v>
      </c>
      <c r="L187" s="3">
        <f t="shared" si="59"/>
        <v>1094554</v>
      </c>
    </row>
    <row r="188" spans="1:12" x14ac:dyDescent="0.25">
      <c r="A188" s="258"/>
      <c r="B188" s="253"/>
      <c r="C188" s="10" t="s">
        <v>42</v>
      </c>
      <c r="D188" s="3">
        <v>230000</v>
      </c>
      <c r="E188" s="3">
        <v>230000</v>
      </c>
      <c r="F188" s="3"/>
      <c r="G188" s="3"/>
      <c r="H188" s="3"/>
      <c r="I188" s="3"/>
      <c r="J188" s="3">
        <f t="shared" si="58"/>
        <v>230000</v>
      </c>
      <c r="K188" s="112">
        <v>0</v>
      </c>
      <c r="L188" s="3">
        <f t="shared" si="59"/>
        <v>230000</v>
      </c>
    </row>
    <row r="189" spans="1:12" x14ac:dyDescent="0.25">
      <c r="A189" s="258"/>
      <c r="B189" s="253"/>
      <c r="C189" s="10" t="s">
        <v>43</v>
      </c>
      <c r="D189" s="3">
        <v>230000</v>
      </c>
      <c r="E189" s="3">
        <v>230000</v>
      </c>
      <c r="F189" s="3"/>
      <c r="G189" s="3"/>
      <c r="H189" s="3"/>
      <c r="I189" s="3"/>
      <c r="J189" s="3">
        <f t="shared" si="58"/>
        <v>230000</v>
      </c>
      <c r="K189" s="112">
        <v>0</v>
      </c>
      <c r="L189" s="3">
        <f t="shared" si="59"/>
        <v>230000</v>
      </c>
    </row>
    <row r="190" spans="1:12" x14ac:dyDescent="0.25">
      <c r="A190" s="258"/>
      <c r="B190" s="253"/>
      <c r="C190" s="10" t="s">
        <v>44</v>
      </c>
      <c r="D190" s="3">
        <v>5677830</v>
      </c>
      <c r="E190" s="3">
        <v>5677830</v>
      </c>
      <c r="F190" s="3">
        <v>-2232283</v>
      </c>
      <c r="G190" s="3"/>
      <c r="H190" s="3"/>
      <c r="I190" s="3"/>
      <c r="J190" s="3">
        <f t="shared" si="58"/>
        <v>3445547</v>
      </c>
      <c r="K190" s="112">
        <v>1417500</v>
      </c>
      <c r="L190" s="3">
        <f t="shared" si="59"/>
        <v>2028047</v>
      </c>
    </row>
    <row r="191" spans="1:12" x14ac:dyDescent="0.25">
      <c r="A191" s="258"/>
      <c r="B191" s="253"/>
      <c r="C191" s="10" t="s">
        <v>45</v>
      </c>
      <c r="D191" s="3">
        <v>229990</v>
      </c>
      <c r="E191" s="3">
        <v>229990</v>
      </c>
      <c r="F191" s="3"/>
      <c r="G191" s="3"/>
      <c r="H191" s="3"/>
      <c r="I191" s="3"/>
      <c r="J191" s="3">
        <f t="shared" si="58"/>
        <v>229990</v>
      </c>
      <c r="K191" s="112">
        <v>0</v>
      </c>
      <c r="L191" s="3">
        <f t="shared" si="59"/>
        <v>229990</v>
      </c>
    </row>
    <row r="192" spans="1:12" x14ac:dyDescent="0.25">
      <c r="A192" s="258"/>
      <c r="B192" s="253"/>
      <c r="C192" s="6" t="s">
        <v>49</v>
      </c>
      <c r="D192" s="7">
        <f>SUM(D184:D191)</f>
        <v>46650091</v>
      </c>
      <c r="E192" s="7">
        <v>46650091</v>
      </c>
      <c r="F192" s="7">
        <f t="shared" ref="F192:L192" si="62">SUM(F184:F191)</f>
        <v>-21000000</v>
      </c>
      <c r="G192" s="7">
        <f t="shared" si="62"/>
        <v>0</v>
      </c>
      <c r="H192" s="7">
        <f t="shared" si="62"/>
        <v>0</v>
      </c>
      <c r="I192" s="7">
        <f t="shared" si="62"/>
        <v>0</v>
      </c>
      <c r="J192" s="7">
        <f t="shared" si="62"/>
        <v>25650091</v>
      </c>
      <c r="K192" s="114">
        <f t="shared" si="62"/>
        <v>6667500</v>
      </c>
      <c r="L192" s="7">
        <f t="shared" si="62"/>
        <v>18982591</v>
      </c>
    </row>
    <row r="193" spans="1:12" x14ac:dyDescent="0.25">
      <c r="A193" s="258"/>
      <c r="B193" s="253"/>
      <c r="C193" s="10" t="s">
        <v>56</v>
      </c>
      <c r="D193" s="3">
        <v>0</v>
      </c>
      <c r="E193" s="3">
        <v>0</v>
      </c>
      <c r="F193" s="3"/>
      <c r="G193" s="3"/>
      <c r="H193" s="3"/>
      <c r="I193" s="3"/>
      <c r="J193" s="3">
        <f t="shared" ref="J193:J195" si="63">E193+F193+G193+H193+I193</f>
        <v>0</v>
      </c>
      <c r="K193" s="112">
        <v>0</v>
      </c>
      <c r="L193" s="3">
        <f t="shared" ref="L193:L195" si="64">J193-K193</f>
        <v>0</v>
      </c>
    </row>
    <row r="194" spans="1:12" x14ac:dyDescent="0.25">
      <c r="A194" s="258"/>
      <c r="B194" s="253"/>
      <c r="C194" s="10" t="s">
        <v>50</v>
      </c>
      <c r="D194" s="3">
        <v>3740</v>
      </c>
      <c r="E194" s="3">
        <v>3740</v>
      </c>
      <c r="F194" s="3"/>
      <c r="G194" s="3"/>
      <c r="H194" s="3"/>
      <c r="I194" s="3"/>
      <c r="J194" s="3">
        <f t="shared" si="63"/>
        <v>3740</v>
      </c>
      <c r="K194" s="112">
        <v>0</v>
      </c>
      <c r="L194" s="3">
        <f t="shared" si="64"/>
        <v>3740</v>
      </c>
    </row>
    <row r="195" spans="1:12" x14ac:dyDescent="0.25">
      <c r="A195" s="258"/>
      <c r="B195" s="253"/>
      <c r="C195" s="10" t="s">
        <v>51</v>
      </c>
      <c r="D195" s="3">
        <v>1010</v>
      </c>
      <c r="E195" s="3">
        <v>1010</v>
      </c>
      <c r="F195" s="3"/>
      <c r="G195" s="3"/>
      <c r="H195" s="3"/>
      <c r="I195" s="3"/>
      <c r="J195" s="3">
        <f t="shared" si="63"/>
        <v>1010</v>
      </c>
      <c r="K195" s="112">
        <v>0</v>
      </c>
      <c r="L195" s="3">
        <f t="shared" si="64"/>
        <v>1010</v>
      </c>
    </row>
    <row r="196" spans="1:12" x14ac:dyDescent="0.25">
      <c r="A196" s="258"/>
      <c r="B196" s="253"/>
      <c r="C196" s="6" t="s">
        <v>52</v>
      </c>
      <c r="D196" s="7">
        <f>SUM(D193:D195)</f>
        <v>4750</v>
      </c>
      <c r="E196" s="7">
        <v>4750</v>
      </c>
      <c r="F196" s="7">
        <f t="shared" ref="F196:L196" si="65">SUM(F193:F195)</f>
        <v>0</v>
      </c>
      <c r="G196" s="7">
        <f t="shared" si="65"/>
        <v>0</v>
      </c>
      <c r="H196" s="7">
        <f t="shared" si="65"/>
        <v>0</v>
      </c>
      <c r="I196" s="7">
        <f t="shared" si="65"/>
        <v>0</v>
      </c>
      <c r="J196" s="7">
        <f t="shared" si="65"/>
        <v>4750</v>
      </c>
      <c r="K196" s="114">
        <f t="shared" si="65"/>
        <v>0</v>
      </c>
      <c r="L196" s="7">
        <f t="shared" si="65"/>
        <v>4750</v>
      </c>
    </row>
    <row r="197" spans="1:12" x14ac:dyDescent="0.25">
      <c r="A197" s="258"/>
      <c r="B197" s="254"/>
      <c r="C197" s="10" t="s">
        <v>57</v>
      </c>
      <c r="D197" s="3">
        <v>0</v>
      </c>
      <c r="E197" s="3">
        <v>0</v>
      </c>
      <c r="F197" s="3">
        <v>10500000</v>
      </c>
      <c r="G197" s="3"/>
      <c r="H197" s="3"/>
      <c r="I197" s="3"/>
      <c r="J197" s="3">
        <f t="shared" ref="J197" si="66">E197+F197+G197+H197+I197</f>
        <v>10500000</v>
      </c>
      <c r="K197" s="112">
        <v>10500000</v>
      </c>
      <c r="L197" s="3">
        <f t="shared" ref="L197" si="67">J197-K197</f>
        <v>0</v>
      </c>
    </row>
    <row r="198" spans="1:12" x14ac:dyDescent="0.25">
      <c r="A198" s="304" t="s">
        <v>81</v>
      </c>
      <c r="B198" s="305"/>
      <c r="C198" s="306"/>
      <c r="D198" s="84">
        <f>SUM(D182+D183+D192+D196+D197)</f>
        <v>60094558</v>
      </c>
      <c r="E198" s="84">
        <v>60094558</v>
      </c>
      <c r="F198" s="84">
        <f t="shared" ref="F198:L198" si="68">SUM(F182+F183+F192+F196+F197)</f>
        <v>0</v>
      </c>
      <c r="G198" s="84">
        <f t="shared" si="68"/>
        <v>0</v>
      </c>
      <c r="H198" s="84">
        <f t="shared" si="68"/>
        <v>0</v>
      </c>
      <c r="I198" s="84">
        <f t="shared" si="68"/>
        <v>0</v>
      </c>
      <c r="J198" s="84">
        <f t="shared" si="68"/>
        <v>60094558</v>
      </c>
      <c r="K198" s="116">
        <f t="shared" si="68"/>
        <v>18315298</v>
      </c>
      <c r="L198" s="84">
        <f t="shared" si="68"/>
        <v>41779260</v>
      </c>
    </row>
    <row r="199" spans="1:12" x14ac:dyDescent="0.25">
      <c r="A199" s="256" t="s">
        <v>85</v>
      </c>
      <c r="B199" s="252" t="s">
        <v>46</v>
      </c>
      <c r="C199" s="12" t="s">
        <v>24</v>
      </c>
      <c r="D199" s="3">
        <v>9880165</v>
      </c>
      <c r="E199" s="3">
        <v>9662762</v>
      </c>
      <c r="F199" s="3"/>
      <c r="G199" s="3"/>
      <c r="H199" s="3"/>
      <c r="I199" s="3"/>
      <c r="J199" s="20">
        <f t="shared" ref="J199:J204" si="69">E199+F199+G199+H199+I199</f>
        <v>9662762</v>
      </c>
      <c r="K199" s="112">
        <v>3677887</v>
      </c>
      <c r="L199" s="3">
        <f t="shared" ref="L199:L204" si="70">J199-K199</f>
        <v>5984875</v>
      </c>
    </row>
    <row r="200" spans="1:12" x14ac:dyDescent="0.25">
      <c r="A200" s="256"/>
      <c r="B200" s="253"/>
      <c r="C200" s="12" t="s">
        <v>25</v>
      </c>
      <c r="D200" s="3">
        <v>400000</v>
      </c>
      <c r="E200" s="3">
        <v>400000</v>
      </c>
      <c r="F200" s="3"/>
      <c r="G200" s="3"/>
      <c r="H200" s="3"/>
      <c r="I200" s="3"/>
      <c r="J200" s="20">
        <f t="shared" si="69"/>
        <v>400000</v>
      </c>
      <c r="K200" s="112">
        <v>200000</v>
      </c>
      <c r="L200" s="3">
        <f t="shared" si="70"/>
        <v>200000</v>
      </c>
    </row>
    <row r="201" spans="1:12" x14ac:dyDescent="0.25">
      <c r="A201" s="256"/>
      <c r="B201" s="253"/>
      <c r="C201" s="12" t="s">
        <v>26</v>
      </c>
      <c r="D201" s="3">
        <v>20000</v>
      </c>
      <c r="E201" s="3">
        <v>20000</v>
      </c>
      <c r="F201" s="3"/>
      <c r="G201" s="3"/>
      <c r="H201" s="3"/>
      <c r="I201" s="3"/>
      <c r="J201" s="20">
        <f t="shared" si="69"/>
        <v>20000</v>
      </c>
      <c r="K201" s="112">
        <v>0</v>
      </c>
      <c r="L201" s="3">
        <f t="shared" si="70"/>
        <v>20000</v>
      </c>
    </row>
    <row r="202" spans="1:12" x14ac:dyDescent="0.25">
      <c r="A202" s="256"/>
      <c r="B202" s="253"/>
      <c r="C202" s="2" t="s">
        <v>27</v>
      </c>
      <c r="D202" s="3">
        <v>75000</v>
      </c>
      <c r="E202" s="3">
        <v>75000</v>
      </c>
      <c r="F202" s="3"/>
      <c r="G202" s="3"/>
      <c r="H202" s="3"/>
      <c r="I202" s="3"/>
      <c r="J202" s="20">
        <f t="shared" si="69"/>
        <v>75000</v>
      </c>
      <c r="K202" s="112">
        <v>0</v>
      </c>
      <c r="L202" s="3">
        <f t="shared" si="70"/>
        <v>75000</v>
      </c>
    </row>
    <row r="203" spans="1:12" x14ac:dyDescent="0.25">
      <c r="A203" s="256"/>
      <c r="B203" s="253"/>
      <c r="C203" s="2" t="s">
        <v>28</v>
      </c>
      <c r="D203" s="3">
        <v>48000</v>
      </c>
      <c r="E203" s="3">
        <v>48000</v>
      </c>
      <c r="F203" s="3"/>
      <c r="G203" s="3"/>
      <c r="H203" s="3"/>
      <c r="I203" s="3"/>
      <c r="J203" s="20">
        <f t="shared" si="69"/>
        <v>48000</v>
      </c>
      <c r="K203" s="112">
        <v>24000</v>
      </c>
      <c r="L203" s="3">
        <f t="shared" si="70"/>
        <v>24000</v>
      </c>
    </row>
    <row r="204" spans="1:12" x14ac:dyDescent="0.25">
      <c r="A204" s="256"/>
      <c r="B204" s="253"/>
      <c r="C204" s="2" t="s">
        <v>29</v>
      </c>
      <c r="D204" s="3">
        <v>264000</v>
      </c>
      <c r="E204" s="3">
        <v>481403</v>
      </c>
      <c r="F204" s="3"/>
      <c r="G204" s="3"/>
      <c r="H204" s="3"/>
      <c r="I204" s="3"/>
      <c r="J204" s="20">
        <f t="shared" si="69"/>
        <v>481403</v>
      </c>
      <c r="K204" s="112">
        <v>303643</v>
      </c>
      <c r="L204" s="3">
        <f t="shared" si="70"/>
        <v>177760</v>
      </c>
    </row>
    <row r="205" spans="1:12" x14ac:dyDescent="0.25">
      <c r="A205" s="256"/>
      <c r="B205" s="253"/>
      <c r="C205" s="26" t="s">
        <v>53</v>
      </c>
      <c r="D205" s="7">
        <f>SUM(D199:D204)</f>
        <v>10687165</v>
      </c>
      <c r="E205" s="7">
        <v>10687165</v>
      </c>
      <c r="F205" s="7">
        <f t="shared" ref="F205:L205" si="71">SUM(F199:F204)</f>
        <v>0</v>
      </c>
      <c r="G205" s="7">
        <f t="shared" si="71"/>
        <v>0</v>
      </c>
      <c r="H205" s="7">
        <f t="shared" si="71"/>
        <v>0</v>
      </c>
      <c r="I205" s="7">
        <f t="shared" si="71"/>
        <v>0</v>
      </c>
      <c r="J205" s="7">
        <f t="shared" si="71"/>
        <v>10687165</v>
      </c>
      <c r="K205" s="114">
        <f t="shared" si="71"/>
        <v>4205530</v>
      </c>
      <c r="L205" s="7">
        <f t="shared" si="71"/>
        <v>6481635</v>
      </c>
    </row>
    <row r="206" spans="1:12" x14ac:dyDescent="0.25">
      <c r="A206" s="256"/>
      <c r="B206" s="253"/>
      <c r="C206" s="90" t="s">
        <v>31</v>
      </c>
      <c r="D206" s="91">
        <v>2120857</v>
      </c>
      <c r="E206" s="91">
        <v>2120857</v>
      </c>
      <c r="F206" s="92"/>
      <c r="G206" s="92"/>
      <c r="H206" s="92"/>
      <c r="I206" s="92"/>
      <c r="J206" s="88">
        <f t="shared" ref="J206:J212" si="72">E206+F206+G206+H206+I206</f>
        <v>2120857</v>
      </c>
      <c r="K206" s="115">
        <v>841728</v>
      </c>
      <c r="L206" s="89">
        <f t="shared" ref="L206:L212" si="73">J206-K206</f>
        <v>1279129</v>
      </c>
    </row>
    <row r="207" spans="1:12" x14ac:dyDescent="0.25">
      <c r="A207" s="256"/>
      <c r="B207" s="253"/>
      <c r="C207" s="103" t="s">
        <v>33</v>
      </c>
      <c r="D207" s="104">
        <v>0</v>
      </c>
      <c r="E207" s="104">
        <v>0</v>
      </c>
      <c r="F207" s="104">
        <v>186928</v>
      </c>
      <c r="G207" s="104"/>
      <c r="H207" s="104"/>
      <c r="I207" s="104"/>
      <c r="J207" s="20">
        <f t="shared" si="72"/>
        <v>186928</v>
      </c>
      <c r="K207" s="118">
        <v>17981</v>
      </c>
      <c r="L207" s="3">
        <f t="shared" si="73"/>
        <v>168947</v>
      </c>
    </row>
    <row r="208" spans="1:12" x14ac:dyDescent="0.25">
      <c r="A208" s="256"/>
      <c r="B208" s="253"/>
      <c r="C208" s="46" t="s">
        <v>35</v>
      </c>
      <c r="D208" s="47">
        <v>0</v>
      </c>
      <c r="E208" s="47">
        <v>172800</v>
      </c>
      <c r="F208" s="47"/>
      <c r="G208" s="47"/>
      <c r="H208" s="47"/>
      <c r="I208" s="47"/>
      <c r="J208" s="20">
        <f t="shared" si="72"/>
        <v>172800</v>
      </c>
      <c r="K208" s="118">
        <v>19481</v>
      </c>
      <c r="L208" s="3">
        <f t="shared" si="73"/>
        <v>153319</v>
      </c>
    </row>
    <row r="209" spans="1:12" x14ac:dyDescent="0.25">
      <c r="A209" s="256"/>
      <c r="B209" s="253"/>
      <c r="C209" s="102" t="s">
        <v>38</v>
      </c>
      <c r="D209" s="47">
        <v>0</v>
      </c>
      <c r="E209" s="47">
        <v>0</v>
      </c>
      <c r="F209" s="47">
        <v>3500</v>
      </c>
      <c r="G209" s="47"/>
      <c r="H209" s="47"/>
      <c r="I209" s="47"/>
      <c r="J209" s="20">
        <f t="shared" si="72"/>
        <v>3500</v>
      </c>
      <c r="K209" s="118">
        <v>3500</v>
      </c>
      <c r="L209" s="3">
        <f t="shared" si="73"/>
        <v>0</v>
      </c>
    </row>
    <row r="210" spans="1:12" x14ac:dyDescent="0.25">
      <c r="A210" s="256"/>
      <c r="B210" s="253"/>
      <c r="C210" s="46" t="s">
        <v>42</v>
      </c>
      <c r="D210" s="47">
        <v>0</v>
      </c>
      <c r="E210" s="47">
        <v>56620</v>
      </c>
      <c r="F210" s="47">
        <v>7980</v>
      </c>
      <c r="G210" s="47"/>
      <c r="H210" s="47"/>
      <c r="I210" s="47"/>
      <c r="J210" s="20">
        <f t="shared" si="72"/>
        <v>64600</v>
      </c>
      <c r="K210" s="118">
        <v>64600</v>
      </c>
      <c r="L210" s="3">
        <f t="shared" si="73"/>
        <v>0</v>
      </c>
    </row>
    <row r="211" spans="1:12" x14ac:dyDescent="0.25">
      <c r="A211" s="256"/>
      <c r="B211" s="253"/>
      <c r="C211" s="46" t="s">
        <v>44</v>
      </c>
      <c r="D211" s="47">
        <v>0</v>
      </c>
      <c r="E211" s="47">
        <v>60140</v>
      </c>
      <c r="F211" s="47">
        <f>945+50471</f>
        <v>51416</v>
      </c>
      <c r="G211" s="47"/>
      <c r="H211" s="47"/>
      <c r="I211" s="47"/>
      <c r="J211" s="20">
        <f t="shared" si="72"/>
        <v>111556</v>
      </c>
      <c r="K211" s="118">
        <v>31051</v>
      </c>
      <c r="L211" s="3">
        <f t="shared" si="73"/>
        <v>80505</v>
      </c>
    </row>
    <row r="212" spans="1:12" x14ac:dyDescent="0.25">
      <c r="A212" s="256"/>
      <c r="B212" s="253"/>
      <c r="C212" s="46" t="s">
        <v>45</v>
      </c>
      <c r="D212" s="47">
        <v>0</v>
      </c>
      <c r="E212" s="47">
        <v>276854</v>
      </c>
      <c r="F212" s="47"/>
      <c r="G212" s="47"/>
      <c r="H212" s="47"/>
      <c r="I212" s="47"/>
      <c r="J212" s="20">
        <f t="shared" si="72"/>
        <v>276854</v>
      </c>
      <c r="K212" s="118">
        <v>184479</v>
      </c>
      <c r="L212" s="60">
        <f t="shared" si="73"/>
        <v>92375</v>
      </c>
    </row>
    <row r="213" spans="1:12" x14ac:dyDescent="0.25">
      <c r="A213" s="257"/>
      <c r="B213" s="254"/>
      <c r="C213" s="49" t="s">
        <v>49</v>
      </c>
      <c r="D213" s="50">
        <f>SUM(D207:D212)</f>
        <v>0</v>
      </c>
      <c r="E213" s="50">
        <f t="shared" ref="E213:L213" si="74">SUM(E207:E212)</f>
        <v>566414</v>
      </c>
      <c r="F213" s="50">
        <f t="shared" si="74"/>
        <v>249824</v>
      </c>
      <c r="G213" s="50">
        <f t="shared" si="74"/>
        <v>0</v>
      </c>
      <c r="H213" s="50">
        <f t="shared" si="74"/>
        <v>0</v>
      </c>
      <c r="I213" s="50">
        <f t="shared" si="74"/>
        <v>0</v>
      </c>
      <c r="J213" s="50">
        <f t="shared" si="74"/>
        <v>816238</v>
      </c>
      <c r="K213" s="119">
        <f t="shared" si="74"/>
        <v>321092</v>
      </c>
      <c r="L213" s="50">
        <f t="shared" si="74"/>
        <v>495146</v>
      </c>
    </row>
    <row r="214" spans="1:12" x14ac:dyDescent="0.25">
      <c r="A214" s="258" t="s">
        <v>68</v>
      </c>
      <c r="B214" s="267" t="s">
        <v>46</v>
      </c>
      <c r="C214" s="16" t="s">
        <v>24</v>
      </c>
      <c r="D214" s="17">
        <v>2501556</v>
      </c>
      <c r="E214" s="17">
        <v>2501556</v>
      </c>
      <c r="F214" s="17"/>
      <c r="G214" s="17"/>
      <c r="H214" s="17"/>
      <c r="I214" s="17"/>
      <c r="J214" s="20">
        <f>E214+F214+G214+H214+I214</f>
        <v>2501556</v>
      </c>
      <c r="K214" s="112">
        <v>1027065</v>
      </c>
      <c r="L214" s="3">
        <f t="shared" ref="L214:L215" si="75">J214-K214</f>
        <v>1474491</v>
      </c>
    </row>
    <row r="215" spans="1:12" x14ac:dyDescent="0.25">
      <c r="A215" s="255"/>
      <c r="B215" s="261"/>
      <c r="C215" s="18" t="s">
        <v>31</v>
      </c>
      <c r="D215" s="19">
        <v>466569</v>
      </c>
      <c r="E215" s="19">
        <v>466569</v>
      </c>
      <c r="F215" s="19"/>
      <c r="G215" s="19"/>
      <c r="H215" s="19"/>
      <c r="I215" s="19"/>
      <c r="J215" s="20">
        <f t="shared" ref="J215" si="76">E215+F215+G215+H215+I215</f>
        <v>466569</v>
      </c>
      <c r="K215" s="112">
        <v>200275</v>
      </c>
      <c r="L215" s="3">
        <f t="shared" si="75"/>
        <v>266294</v>
      </c>
    </row>
    <row r="216" spans="1:12" x14ac:dyDescent="0.25">
      <c r="A216" s="304" t="s">
        <v>82</v>
      </c>
      <c r="B216" s="305"/>
      <c r="C216" s="306"/>
      <c r="D216" s="82">
        <f>SUM(D205+D206+D214+D215+D213)</f>
        <v>15776147</v>
      </c>
      <c r="E216" s="82">
        <v>16312401</v>
      </c>
      <c r="F216" s="82">
        <f t="shared" ref="F216:I216" si="77">SUM(F205+F206+F214+F215+F213)</f>
        <v>249824</v>
      </c>
      <c r="G216" s="82">
        <f t="shared" si="77"/>
        <v>0</v>
      </c>
      <c r="H216" s="82">
        <f t="shared" si="77"/>
        <v>0</v>
      </c>
      <c r="I216" s="82">
        <f t="shared" si="77"/>
        <v>0</v>
      </c>
      <c r="J216" s="82">
        <f>SUM(J205+J206+J214+J215+J213)</f>
        <v>16592385</v>
      </c>
      <c r="K216" s="120">
        <f>SUM(K205+K206+K214+K215+K213)</f>
        <v>6595690</v>
      </c>
      <c r="L216" s="83">
        <f>SUM(L205+L206+L214+L215+L213)</f>
        <v>9996695</v>
      </c>
    </row>
    <row r="217" spans="1:12" ht="30.75" customHeight="1" x14ac:dyDescent="0.25">
      <c r="A217" s="307" t="s">
        <v>74</v>
      </c>
      <c r="B217" s="308"/>
      <c r="C217" s="309"/>
      <c r="D217" s="81">
        <f t="shared" ref="D217" si="78">SUM(D88+D113+D135+D156+D179+D198+D216)</f>
        <v>230443641</v>
      </c>
      <c r="E217" s="81">
        <v>230443641</v>
      </c>
      <c r="F217" s="81">
        <f t="shared" ref="F217:K217" si="79">SUM(F88+F113+F135+F156+F179+F198+F216)</f>
        <v>0</v>
      </c>
      <c r="G217" s="81">
        <f t="shared" si="79"/>
        <v>12000</v>
      </c>
      <c r="H217" s="81">
        <f t="shared" si="79"/>
        <v>66208</v>
      </c>
      <c r="I217" s="81">
        <f t="shared" si="79"/>
        <v>0</v>
      </c>
      <c r="J217" s="81">
        <f t="shared" si="79"/>
        <v>230521849</v>
      </c>
      <c r="K217" s="113">
        <f t="shared" si="79"/>
        <v>81431680</v>
      </c>
      <c r="L217" s="81">
        <f>SUM(L88+L113+L135+L156+L179+L198+L216)</f>
        <v>149090169</v>
      </c>
    </row>
    <row r="218" spans="1:12" x14ac:dyDescent="0.25">
      <c r="B218" s="5"/>
      <c r="E218" s="4"/>
      <c r="F218" s="4"/>
      <c r="G218" s="4"/>
      <c r="H218" s="4"/>
      <c r="I218" s="4"/>
      <c r="J218" s="4"/>
      <c r="K218" s="111"/>
    </row>
    <row r="219" spans="1:12" x14ac:dyDescent="0.25">
      <c r="B219" s="5"/>
      <c r="E219" s="4"/>
      <c r="F219" s="4"/>
      <c r="G219" s="4"/>
      <c r="H219" s="4"/>
      <c r="I219" s="4"/>
      <c r="J219" s="4"/>
      <c r="K219" s="111"/>
    </row>
    <row r="220" spans="1:12" x14ac:dyDescent="0.25">
      <c r="B220" s="5"/>
      <c r="E220" s="4"/>
      <c r="F220" s="4"/>
      <c r="G220" s="4"/>
      <c r="H220" s="4"/>
      <c r="I220" s="4"/>
      <c r="J220" s="4"/>
      <c r="K220" s="111"/>
    </row>
    <row r="221" spans="1:12" x14ac:dyDescent="0.25">
      <c r="B221" s="5"/>
      <c r="E221" s="4"/>
      <c r="F221" s="4"/>
      <c r="G221" s="4"/>
      <c r="H221" s="4"/>
      <c r="I221" s="4"/>
      <c r="J221" s="4"/>
      <c r="K221" s="111"/>
    </row>
    <row r="222" spans="1:12" x14ac:dyDescent="0.25">
      <c r="B222" s="5"/>
      <c r="E222" s="4"/>
      <c r="F222" s="4"/>
      <c r="G222" s="4"/>
      <c r="H222" s="4"/>
      <c r="I222" s="4"/>
      <c r="J222" s="4"/>
      <c r="K222" s="111"/>
    </row>
    <row r="223" spans="1:12" ht="15.75" thickBot="1" x14ac:dyDescent="0.3">
      <c r="B223" s="5"/>
      <c r="E223" s="4"/>
      <c r="F223" s="4"/>
      <c r="G223" s="4"/>
      <c r="H223" s="4"/>
      <c r="I223" s="4"/>
      <c r="J223" s="4"/>
      <c r="K223" s="111"/>
    </row>
    <row r="224" spans="1:12" ht="15.75" thickTop="1" x14ac:dyDescent="0.25">
      <c r="A224" s="250" t="s">
        <v>83</v>
      </c>
      <c r="B224" s="250"/>
      <c r="C224" s="250"/>
      <c r="D224" s="250"/>
      <c r="E224" s="250"/>
      <c r="F224" s="250"/>
      <c r="G224" s="250"/>
      <c r="H224" s="250"/>
      <c r="I224" s="250"/>
      <c r="J224" s="250"/>
      <c r="K224" s="250"/>
    </row>
    <row r="225" spans="1:11" s="79" customFormat="1" ht="33.75" customHeight="1" x14ac:dyDescent="0.25">
      <c r="A225" s="298" t="s">
        <v>0</v>
      </c>
      <c r="B225" s="299"/>
      <c r="C225" s="75" t="s">
        <v>3</v>
      </c>
      <c r="D225" s="75" t="s">
        <v>4</v>
      </c>
      <c r="E225" s="77" t="s">
        <v>90</v>
      </c>
      <c r="F225" s="76" t="s">
        <v>70</v>
      </c>
      <c r="G225" s="109" t="s">
        <v>103</v>
      </c>
      <c r="H225" s="110" t="s">
        <v>101</v>
      </c>
      <c r="I225" s="77" t="s">
        <v>71</v>
      </c>
      <c r="J225" s="77" t="s">
        <v>96</v>
      </c>
      <c r="K225" s="78" t="s">
        <v>95</v>
      </c>
    </row>
    <row r="226" spans="1:11" x14ac:dyDescent="0.25">
      <c r="A226" s="300"/>
      <c r="B226" s="301"/>
      <c r="C226" s="33" t="s">
        <v>16</v>
      </c>
      <c r="D226" s="61">
        <f t="shared" ref="D226:K227" si="80">D5+D14+D16+D18+D20+D22</f>
        <v>117230959</v>
      </c>
      <c r="E226" s="61">
        <f t="shared" si="80"/>
        <v>117230959</v>
      </c>
      <c r="F226" s="61">
        <f t="shared" si="80"/>
        <v>0</v>
      </c>
      <c r="G226" s="61">
        <f t="shared" si="80"/>
        <v>0</v>
      </c>
      <c r="H226" s="61">
        <f t="shared" si="80"/>
        <v>66208</v>
      </c>
      <c r="I226" s="61">
        <f t="shared" si="80"/>
        <v>0</v>
      </c>
      <c r="J226" s="61">
        <f t="shared" si="80"/>
        <v>117297167</v>
      </c>
      <c r="K226" s="61">
        <f t="shared" si="80"/>
        <v>37352830</v>
      </c>
    </row>
    <row r="227" spans="1:11" x14ac:dyDescent="0.25">
      <c r="A227" s="300"/>
      <c r="B227" s="301"/>
      <c r="C227" s="33" t="s">
        <v>17</v>
      </c>
      <c r="D227" s="61">
        <f t="shared" si="80"/>
        <v>16012810</v>
      </c>
      <c r="E227" s="61">
        <f t="shared" si="80"/>
        <v>16012810</v>
      </c>
      <c r="F227" s="61">
        <f t="shared" si="80"/>
        <v>0</v>
      </c>
      <c r="G227" s="61">
        <f t="shared" si="80"/>
        <v>0</v>
      </c>
      <c r="H227" s="61">
        <f t="shared" si="80"/>
        <v>0</v>
      </c>
      <c r="I227" s="61">
        <f t="shared" si="80"/>
        <v>0</v>
      </c>
      <c r="J227" s="61">
        <f t="shared" si="80"/>
        <v>16012810</v>
      </c>
      <c r="K227" s="61">
        <f t="shared" si="80"/>
        <v>16012810</v>
      </c>
    </row>
    <row r="228" spans="1:11" x14ac:dyDescent="0.25">
      <c r="A228" s="300"/>
      <c r="B228" s="301"/>
      <c r="C228" s="33" t="s">
        <v>18</v>
      </c>
      <c r="D228" s="61">
        <f t="shared" ref="D228:K230" si="81">D7</f>
        <v>96985672</v>
      </c>
      <c r="E228" s="61">
        <f t="shared" si="81"/>
        <v>96985672</v>
      </c>
      <c r="F228" s="61">
        <f t="shared" si="81"/>
        <v>0</v>
      </c>
      <c r="G228" s="61">
        <f t="shared" si="81"/>
        <v>0</v>
      </c>
      <c r="H228" s="61">
        <f t="shared" si="81"/>
        <v>0</v>
      </c>
      <c r="I228" s="61">
        <f t="shared" si="81"/>
        <v>0</v>
      </c>
      <c r="J228" s="61">
        <f t="shared" si="81"/>
        <v>96985672</v>
      </c>
      <c r="K228" s="61">
        <f t="shared" si="81"/>
        <v>41271953</v>
      </c>
    </row>
    <row r="229" spans="1:11" x14ac:dyDescent="0.25">
      <c r="A229" s="300"/>
      <c r="B229" s="301"/>
      <c r="C229" s="35" t="s">
        <v>22</v>
      </c>
      <c r="D229" s="61">
        <f t="shared" si="81"/>
        <v>200000</v>
      </c>
      <c r="E229" s="61">
        <f t="shared" si="81"/>
        <v>200000</v>
      </c>
      <c r="F229" s="61">
        <f t="shared" si="81"/>
        <v>0</v>
      </c>
      <c r="G229" s="61">
        <f t="shared" si="81"/>
        <v>0</v>
      </c>
      <c r="H229" s="61">
        <f t="shared" si="81"/>
        <v>0</v>
      </c>
      <c r="I229" s="61">
        <f t="shared" si="81"/>
        <v>0</v>
      </c>
      <c r="J229" s="61">
        <f t="shared" si="81"/>
        <v>200000</v>
      </c>
      <c r="K229" s="61">
        <f t="shared" si="81"/>
        <v>0</v>
      </c>
    </row>
    <row r="230" spans="1:11" x14ac:dyDescent="0.25">
      <c r="A230" s="300"/>
      <c r="B230" s="301"/>
      <c r="C230" s="35" t="s">
        <v>19</v>
      </c>
      <c r="D230" s="61">
        <f t="shared" si="81"/>
        <v>13200</v>
      </c>
      <c r="E230" s="61">
        <f t="shared" si="81"/>
        <v>11540</v>
      </c>
      <c r="F230" s="61">
        <f t="shared" si="81"/>
        <v>0</v>
      </c>
      <c r="G230" s="61">
        <f t="shared" si="81"/>
        <v>5000</v>
      </c>
      <c r="H230" s="61">
        <f t="shared" si="81"/>
        <v>0</v>
      </c>
      <c r="I230" s="61">
        <f t="shared" si="81"/>
        <v>0</v>
      </c>
      <c r="J230" s="61">
        <f t="shared" si="81"/>
        <v>16540</v>
      </c>
      <c r="K230" s="61">
        <f t="shared" si="81"/>
        <v>5379</v>
      </c>
    </row>
    <row r="231" spans="1:11" x14ac:dyDescent="0.25">
      <c r="A231" s="300"/>
      <c r="B231" s="301"/>
      <c r="C231" s="35" t="s">
        <v>84</v>
      </c>
      <c r="D231" s="61">
        <f>D13+D11</f>
        <v>0</v>
      </c>
      <c r="E231" s="61">
        <f>E13+E11</f>
        <v>2539</v>
      </c>
      <c r="F231" s="61">
        <f t="shared" ref="F231:K231" si="82">F13+F11</f>
        <v>-300</v>
      </c>
      <c r="G231" s="61">
        <f t="shared" si="82"/>
        <v>7000</v>
      </c>
      <c r="H231" s="61">
        <f t="shared" si="82"/>
        <v>0</v>
      </c>
      <c r="I231" s="61">
        <f t="shared" si="82"/>
        <v>0</v>
      </c>
      <c r="J231" s="61">
        <f>J13+J11</f>
        <v>9239</v>
      </c>
      <c r="K231" s="61">
        <f t="shared" si="82"/>
        <v>3235</v>
      </c>
    </row>
    <row r="232" spans="1:11" x14ac:dyDescent="0.25">
      <c r="A232" s="300"/>
      <c r="B232" s="301"/>
      <c r="C232" s="33" t="s">
        <v>20</v>
      </c>
      <c r="D232" s="61">
        <f>D10+D12</f>
        <v>1000</v>
      </c>
      <c r="E232" s="61">
        <f>E10+E12</f>
        <v>121</v>
      </c>
      <c r="F232" s="61">
        <f t="shared" ref="F232:K232" si="83">F10+F12</f>
        <v>300</v>
      </c>
      <c r="G232" s="61">
        <f t="shared" si="83"/>
        <v>0</v>
      </c>
      <c r="H232" s="61">
        <f t="shared" si="83"/>
        <v>0</v>
      </c>
      <c r="I232" s="61">
        <f t="shared" si="83"/>
        <v>0</v>
      </c>
      <c r="J232" s="61">
        <f t="shared" si="83"/>
        <v>421</v>
      </c>
      <c r="K232" s="61">
        <f t="shared" si="83"/>
        <v>173</v>
      </c>
    </row>
    <row r="233" spans="1:11" x14ac:dyDescent="0.25">
      <c r="A233" s="300"/>
      <c r="B233" s="301"/>
      <c r="C233" s="65" t="s">
        <v>86</v>
      </c>
      <c r="D233" s="66">
        <f>D13+D12+D11+D10+D9</f>
        <v>14200</v>
      </c>
      <c r="E233" s="66">
        <f>E13+E12+E11+E10+E9</f>
        <v>14200</v>
      </c>
      <c r="F233" s="66">
        <f t="shared" ref="F233:K233" si="84">F13+F12+F11+F10+F9</f>
        <v>0</v>
      </c>
      <c r="G233" s="66">
        <f t="shared" si="84"/>
        <v>12000</v>
      </c>
      <c r="H233" s="66">
        <f t="shared" si="84"/>
        <v>0</v>
      </c>
      <c r="I233" s="66">
        <f t="shared" si="84"/>
        <v>0</v>
      </c>
      <c r="J233" s="66">
        <f t="shared" si="84"/>
        <v>26200</v>
      </c>
      <c r="K233" s="66">
        <f t="shared" si="84"/>
        <v>8787</v>
      </c>
    </row>
    <row r="234" spans="1:11" x14ac:dyDescent="0.25">
      <c r="A234" s="300"/>
      <c r="B234" s="301"/>
      <c r="C234" s="65" t="s">
        <v>87</v>
      </c>
      <c r="D234" s="66">
        <f>D23+D21+D19+D17+D15+D7+D6</f>
        <v>112998482</v>
      </c>
      <c r="E234" s="66">
        <f>E23+E21+E19+E17+E15+E7+E6</f>
        <v>112998482</v>
      </c>
      <c r="F234" s="66">
        <f t="shared" ref="F234:K234" si="85">F23+F21+F19+F17+F15+F7+F6</f>
        <v>0</v>
      </c>
      <c r="G234" s="66">
        <f t="shared" si="85"/>
        <v>0</v>
      </c>
      <c r="H234" s="66">
        <f t="shared" si="85"/>
        <v>0</v>
      </c>
      <c r="I234" s="66">
        <f t="shared" si="85"/>
        <v>0</v>
      </c>
      <c r="J234" s="66">
        <f t="shared" si="85"/>
        <v>112998482</v>
      </c>
      <c r="K234" s="66">
        <f t="shared" si="85"/>
        <v>57284763</v>
      </c>
    </row>
    <row r="235" spans="1:11" x14ac:dyDescent="0.25">
      <c r="A235" s="300"/>
      <c r="B235" s="301"/>
      <c r="C235" s="65" t="s">
        <v>94</v>
      </c>
      <c r="D235" s="66">
        <f>D5+D6+D7+D8+D9+D10+D11+D12+D13+D14+D15+D16+D17+D18+D19+D20+D21+D22+D23</f>
        <v>230443641</v>
      </c>
      <c r="E235" s="66">
        <f t="shared" ref="E235:K235" si="86">E5+E6+E7+E8+E9+E10+E11+E12+E13+E14+E15+E16+E17+E18+E19+E20+E21+E22+E23</f>
        <v>230443641</v>
      </c>
      <c r="F235" s="66">
        <f t="shared" si="86"/>
        <v>0</v>
      </c>
      <c r="G235" s="66">
        <f t="shared" si="86"/>
        <v>12000</v>
      </c>
      <c r="H235" s="66">
        <f t="shared" si="86"/>
        <v>66208</v>
      </c>
      <c r="I235" s="66">
        <f t="shared" si="86"/>
        <v>0</v>
      </c>
      <c r="J235" s="66">
        <f t="shared" si="86"/>
        <v>230521849</v>
      </c>
      <c r="K235" s="66">
        <f t="shared" si="86"/>
        <v>94646380</v>
      </c>
    </row>
    <row r="236" spans="1:11" x14ac:dyDescent="0.25">
      <c r="A236" s="300"/>
      <c r="B236" s="301"/>
      <c r="C236" s="33" t="s">
        <v>24</v>
      </c>
      <c r="D236" s="34">
        <f>D89+D111+D114+D133+D136+D154+D157+D177+D199+D214+D180+D86+D84+D52+D25</f>
        <v>128356144</v>
      </c>
      <c r="E236" s="34">
        <f>E89+E111+E114+E133+E136+E154+E157+E177+E199+E214+E180+E86+E84+E52+E25</f>
        <v>127969044</v>
      </c>
      <c r="F236" s="34">
        <f t="shared" ref="F236:J236" si="87">F89+F111+F114+F133+F136+F154+F157+F177+F199+F214+F180+F86+F84+F52+F25</f>
        <v>-86770</v>
      </c>
      <c r="G236" s="34">
        <f t="shared" si="87"/>
        <v>0</v>
      </c>
      <c r="H236" s="34">
        <f t="shared" si="87"/>
        <v>55404</v>
      </c>
      <c r="I236" s="34">
        <f t="shared" si="87"/>
        <v>0</v>
      </c>
      <c r="J236" s="34">
        <f t="shared" si="87"/>
        <v>127937678</v>
      </c>
      <c r="K236" s="61">
        <f>K214+K199+K180+K177+K157+K154+K136+K133+K114+K111+K89+K86+K84+K52+K25</f>
        <v>45581612</v>
      </c>
    </row>
    <row r="237" spans="1:11" x14ac:dyDescent="0.25">
      <c r="A237" s="300"/>
      <c r="B237" s="301"/>
      <c r="C237" s="33" t="s">
        <v>47</v>
      </c>
      <c r="D237" s="34">
        <f t="shared" ref="D237:K238" si="88">D53</f>
        <v>2040480</v>
      </c>
      <c r="E237" s="34">
        <f t="shared" si="88"/>
        <v>2040480</v>
      </c>
      <c r="F237" s="34">
        <f t="shared" si="88"/>
        <v>0</v>
      </c>
      <c r="G237" s="34">
        <f t="shared" si="88"/>
        <v>0</v>
      </c>
      <c r="H237" s="34">
        <f t="shared" si="88"/>
        <v>0</v>
      </c>
      <c r="I237" s="34">
        <f t="shared" si="88"/>
        <v>0</v>
      </c>
      <c r="J237" s="34">
        <f t="shared" si="88"/>
        <v>2040480</v>
      </c>
      <c r="K237" s="41">
        <f t="shared" si="88"/>
        <v>785829</v>
      </c>
    </row>
    <row r="238" spans="1:11" x14ac:dyDescent="0.25">
      <c r="A238" s="300"/>
      <c r="B238" s="301"/>
      <c r="C238" s="33" t="s">
        <v>48</v>
      </c>
      <c r="D238" s="34">
        <f t="shared" si="88"/>
        <v>0</v>
      </c>
      <c r="E238" s="34">
        <f t="shared" si="88"/>
        <v>0</v>
      </c>
      <c r="F238" s="34">
        <f t="shared" si="88"/>
        <v>0</v>
      </c>
      <c r="G238" s="34">
        <f t="shared" si="88"/>
        <v>0</v>
      </c>
      <c r="H238" s="34">
        <f t="shared" si="88"/>
        <v>0</v>
      </c>
      <c r="I238" s="34">
        <f t="shared" si="88"/>
        <v>0</v>
      </c>
      <c r="J238" s="34">
        <f t="shared" si="88"/>
        <v>0</v>
      </c>
      <c r="K238" s="34">
        <f t="shared" si="88"/>
        <v>0</v>
      </c>
    </row>
    <row r="239" spans="1:11" x14ac:dyDescent="0.25">
      <c r="A239" s="300"/>
      <c r="B239" s="301"/>
      <c r="C239" s="35" t="s">
        <v>25</v>
      </c>
      <c r="D239" s="34">
        <f t="shared" ref="D239:K240" si="89">D200+D158+D137+D115+D90+D55+D26</f>
        <v>3992000</v>
      </c>
      <c r="E239" s="34">
        <f t="shared" si="89"/>
        <v>3992000</v>
      </c>
      <c r="F239" s="34">
        <f t="shared" si="89"/>
        <v>0</v>
      </c>
      <c r="G239" s="34">
        <f t="shared" si="89"/>
        <v>0</v>
      </c>
      <c r="H239" s="34">
        <f t="shared" si="89"/>
        <v>0</v>
      </c>
      <c r="I239" s="34">
        <f t="shared" si="89"/>
        <v>0</v>
      </c>
      <c r="J239" s="34">
        <f t="shared" si="89"/>
        <v>3992000</v>
      </c>
      <c r="K239" s="34">
        <f t="shared" si="89"/>
        <v>1887500</v>
      </c>
    </row>
    <row r="240" spans="1:11" x14ac:dyDescent="0.25">
      <c r="A240" s="300"/>
      <c r="B240" s="301"/>
      <c r="C240" s="35" t="s">
        <v>26</v>
      </c>
      <c r="D240" s="34">
        <f t="shared" si="89"/>
        <v>200000</v>
      </c>
      <c r="E240" s="34">
        <f t="shared" si="89"/>
        <v>200000</v>
      </c>
      <c r="F240" s="34">
        <f t="shared" si="89"/>
        <v>0</v>
      </c>
      <c r="G240" s="34">
        <f t="shared" si="89"/>
        <v>0</v>
      </c>
      <c r="H240" s="34">
        <f t="shared" si="89"/>
        <v>0</v>
      </c>
      <c r="I240" s="34">
        <f t="shared" si="89"/>
        <v>0</v>
      </c>
      <c r="J240" s="34">
        <f t="shared" si="89"/>
        <v>200000</v>
      </c>
      <c r="K240" s="34">
        <f t="shared" si="89"/>
        <v>0</v>
      </c>
    </row>
    <row r="241" spans="1:12" x14ac:dyDescent="0.25">
      <c r="A241" s="300"/>
      <c r="B241" s="301"/>
      <c r="C241" s="33" t="s">
        <v>27</v>
      </c>
      <c r="D241" s="34">
        <f>D202+D139+D92+D57+D28</f>
        <v>1661400</v>
      </c>
      <c r="E241" s="34">
        <f>E202+E139+E92+E57+E28</f>
        <v>1661400</v>
      </c>
      <c r="F241" s="34">
        <f t="shared" ref="F241:J241" si="90">F202+F139+F92+F57+F28</f>
        <v>0</v>
      </c>
      <c r="G241" s="34">
        <f t="shared" si="90"/>
        <v>0</v>
      </c>
      <c r="H241" s="34">
        <f t="shared" si="90"/>
        <v>0</v>
      </c>
      <c r="I241" s="34">
        <f t="shared" si="90"/>
        <v>0</v>
      </c>
      <c r="J241" s="34">
        <f t="shared" si="90"/>
        <v>1661400</v>
      </c>
      <c r="K241" s="34">
        <f>K202+K139+K92+K57+K28</f>
        <v>435776</v>
      </c>
    </row>
    <row r="242" spans="1:12" x14ac:dyDescent="0.25">
      <c r="A242" s="300"/>
      <c r="B242" s="301"/>
      <c r="C242" s="35" t="s">
        <v>28</v>
      </c>
      <c r="D242" s="34">
        <f>D203+D160+D140+D117+D58+D29+D93</f>
        <v>481000</v>
      </c>
      <c r="E242" s="34">
        <f>E203+E160+E140+E117+E58+E29+E93</f>
        <v>481000</v>
      </c>
      <c r="F242" s="34">
        <f t="shared" ref="F242:J242" si="91">F203+F160+F140+F117+F58+F29+F93</f>
        <v>0</v>
      </c>
      <c r="G242" s="34">
        <f t="shared" si="91"/>
        <v>0</v>
      </c>
      <c r="H242" s="34">
        <f t="shared" si="91"/>
        <v>0</v>
      </c>
      <c r="I242" s="34">
        <f t="shared" si="91"/>
        <v>0</v>
      </c>
      <c r="J242" s="34">
        <f t="shared" si="91"/>
        <v>481000</v>
      </c>
      <c r="K242" s="34">
        <f>K203+K160+K140+K117+K58+K29+K93</f>
        <v>222000</v>
      </c>
    </row>
    <row r="243" spans="1:12" x14ac:dyDescent="0.25">
      <c r="A243" s="300"/>
      <c r="B243" s="301"/>
      <c r="C243" s="33" t="s">
        <v>29</v>
      </c>
      <c r="D243" s="34">
        <f>D204+D175+D161+D141+D118+D109+D94+D82+D80+D59+D30+D131</f>
        <v>3451400</v>
      </c>
      <c r="E243" s="34">
        <f>E204+E175+E161+E141+E118+E109+E94+E82+E80+E59+E30+E131</f>
        <v>3838500</v>
      </c>
      <c r="F243" s="34">
        <f t="shared" ref="F243:J243" si="92">F204+F175+F161+F141+F118+F109+F94+F82+F80+F59+F30+F131</f>
        <v>86770</v>
      </c>
      <c r="G243" s="34">
        <f t="shared" si="92"/>
        <v>0</v>
      </c>
      <c r="H243" s="34">
        <f t="shared" si="92"/>
        <v>0</v>
      </c>
      <c r="I243" s="34">
        <f t="shared" si="92"/>
        <v>0</v>
      </c>
      <c r="J243" s="34">
        <f t="shared" si="92"/>
        <v>3925270</v>
      </c>
      <c r="K243" s="34">
        <f>K204+K175+K161+K141+K118+K109+K94+K82+K80+K59+K30+K131</f>
        <v>1284740</v>
      </c>
    </row>
    <row r="244" spans="1:12" x14ac:dyDescent="0.25">
      <c r="A244" s="300"/>
      <c r="B244" s="301"/>
      <c r="C244" s="35" t="s">
        <v>30</v>
      </c>
      <c r="D244" s="34">
        <f>D162+D142+D119+D60+D31+D181</f>
        <v>200000</v>
      </c>
      <c r="E244" s="34">
        <f t="shared" ref="E244:K244" si="93">E162+E142+E119+E60+E31+E181</f>
        <v>200000</v>
      </c>
      <c r="F244" s="34">
        <f t="shared" si="93"/>
        <v>10500000</v>
      </c>
      <c r="G244" s="34">
        <f t="shared" si="93"/>
        <v>0</v>
      </c>
      <c r="H244" s="34">
        <f t="shared" si="93"/>
        <v>0</v>
      </c>
      <c r="I244" s="34">
        <f t="shared" si="93"/>
        <v>0</v>
      </c>
      <c r="J244" s="34">
        <f t="shared" si="93"/>
        <v>10700000</v>
      </c>
      <c r="K244" s="34">
        <f t="shared" si="93"/>
        <v>3000</v>
      </c>
    </row>
    <row r="245" spans="1:12" x14ac:dyDescent="0.25">
      <c r="A245" s="300"/>
      <c r="B245" s="301"/>
      <c r="C245" s="65" t="s">
        <v>53</v>
      </c>
      <c r="D245" s="66">
        <f>D205+D182+D163+D143+D214+D177+D154+D133+D131+D175+D120+D111+D109+D96+D86+D84+D82+D80+D61+D32</f>
        <v>140382424</v>
      </c>
      <c r="E245" s="66">
        <f t="shared" ref="E245:K245" si="94">E205+E182+E163+E143+E214+E177+E154+E133+E131+E175+E120+E111+E109+E96+E86+E84+E82+E80+E61+E32</f>
        <v>140382424</v>
      </c>
      <c r="F245" s="66">
        <f t="shared" si="94"/>
        <v>10500000</v>
      </c>
      <c r="G245" s="66">
        <f t="shared" si="94"/>
        <v>0</v>
      </c>
      <c r="H245" s="66">
        <f t="shared" si="94"/>
        <v>55404</v>
      </c>
      <c r="I245" s="66">
        <f t="shared" si="94"/>
        <v>0</v>
      </c>
      <c r="J245" s="66">
        <f t="shared" si="94"/>
        <v>150937828</v>
      </c>
      <c r="K245" s="66">
        <f t="shared" si="94"/>
        <v>50200457</v>
      </c>
    </row>
    <row r="246" spans="1:12" x14ac:dyDescent="0.25">
      <c r="A246" s="300"/>
      <c r="B246" s="301"/>
      <c r="C246" s="67" t="s">
        <v>31</v>
      </c>
      <c r="D246" s="66">
        <f>D206+D183+D178+D176+D215+D164+D155+D144+D134+D132+D121+D112+D110+D97+D87+D85+D83+D81+D62+D33</f>
        <v>27536677</v>
      </c>
      <c r="E246" s="66">
        <f>E206+E183+E178+E176+E215+E164+E155+E144+E134+E132+E121+E112+E110+E97+E87+E85+E83+E81+E62+E33</f>
        <v>27536677</v>
      </c>
      <c r="F246" s="66">
        <f t="shared" ref="F246:K246" si="95">F206+F183+F178+F176+F215+F164+F155+F144+F134+F132+F121+F112+F110+F97+F87+F85+F83+F81+F62+F33</f>
        <v>0</v>
      </c>
      <c r="G246" s="66">
        <f t="shared" si="95"/>
        <v>0</v>
      </c>
      <c r="H246" s="66">
        <f t="shared" si="95"/>
        <v>10804</v>
      </c>
      <c r="I246" s="66">
        <f t="shared" si="95"/>
        <v>0</v>
      </c>
      <c r="J246" s="66">
        <f t="shared" si="95"/>
        <v>27547481</v>
      </c>
      <c r="K246" s="66">
        <f t="shared" si="95"/>
        <v>10355450</v>
      </c>
    </row>
    <row r="247" spans="1:12" x14ac:dyDescent="0.25">
      <c r="A247" s="300"/>
      <c r="B247" s="301"/>
      <c r="C247" s="33" t="s">
        <v>32</v>
      </c>
      <c r="D247" s="34">
        <f>D165+D145+D122+D98+D63+D34</f>
        <v>540000</v>
      </c>
      <c r="E247" s="34">
        <f>E165+E145+E122+E98+E63+E34</f>
        <v>540000</v>
      </c>
      <c r="F247" s="34">
        <f t="shared" ref="F247:K247" si="96">F165+F145+F122+F98+F63+F34</f>
        <v>0</v>
      </c>
      <c r="G247" s="34">
        <f t="shared" si="96"/>
        <v>0</v>
      </c>
      <c r="H247" s="34">
        <f t="shared" si="96"/>
        <v>0</v>
      </c>
      <c r="I247" s="34">
        <f t="shared" si="96"/>
        <v>0</v>
      </c>
      <c r="J247" s="34">
        <f t="shared" si="96"/>
        <v>540000</v>
      </c>
      <c r="K247" s="34">
        <f t="shared" si="96"/>
        <v>35559</v>
      </c>
    </row>
    <row r="248" spans="1:12" x14ac:dyDescent="0.25">
      <c r="A248" s="300"/>
      <c r="B248" s="301"/>
      <c r="C248" s="35" t="s">
        <v>33</v>
      </c>
      <c r="D248" s="34">
        <f>D184+D166+D146+D123+D99+D64+D35+D207</f>
        <v>1700000</v>
      </c>
      <c r="E248" s="34">
        <f t="shared" ref="E248:K248" si="97">E184+E166+E146+E123+E99+E64+E35+E207</f>
        <v>1700000</v>
      </c>
      <c r="F248" s="34">
        <f t="shared" si="97"/>
        <v>186928</v>
      </c>
      <c r="G248" s="34">
        <f t="shared" si="97"/>
        <v>0</v>
      </c>
      <c r="H248" s="34">
        <f t="shared" si="97"/>
        <v>0</v>
      </c>
      <c r="I248" s="34">
        <f t="shared" si="97"/>
        <v>0</v>
      </c>
      <c r="J248" s="34">
        <f t="shared" si="97"/>
        <v>1886928</v>
      </c>
      <c r="K248" s="34">
        <f t="shared" si="97"/>
        <v>31053</v>
      </c>
    </row>
    <row r="249" spans="1:12" x14ac:dyDescent="0.25">
      <c r="A249" s="300"/>
      <c r="B249" s="301"/>
      <c r="C249" s="33" t="s">
        <v>34</v>
      </c>
      <c r="D249" s="34">
        <f>D167+D147+D124+D100+D65+D36</f>
        <v>1036000</v>
      </c>
      <c r="E249" s="34">
        <f>E167+E147+E124+E100+E65+E36</f>
        <v>988000</v>
      </c>
      <c r="F249" s="34">
        <f t="shared" ref="F249:K249" si="98">F167+F147+F124+F100+F65+F36</f>
        <v>0</v>
      </c>
      <c r="G249" s="34">
        <f t="shared" si="98"/>
        <v>0</v>
      </c>
      <c r="H249" s="34">
        <f t="shared" si="98"/>
        <v>0</v>
      </c>
      <c r="I249" s="34">
        <f t="shared" si="98"/>
        <v>0</v>
      </c>
      <c r="J249" s="34">
        <f t="shared" si="98"/>
        <v>988000</v>
      </c>
      <c r="K249" s="34">
        <f t="shared" si="98"/>
        <v>104987</v>
      </c>
    </row>
    <row r="250" spans="1:12" x14ac:dyDescent="0.25">
      <c r="A250" s="300"/>
      <c r="B250" s="301"/>
      <c r="C250" s="33" t="s">
        <v>35</v>
      </c>
      <c r="D250" s="34">
        <f>D208+D168+D101+D66+D37</f>
        <v>610000</v>
      </c>
      <c r="E250" s="34">
        <f>E208+E168+E101+E66+E37</f>
        <v>610000</v>
      </c>
      <c r="F250" s="34">
        <f t="shared" ref="F250:K250" si="99">F208+F168+F101+F66+F37</f>
        <v>0</v>
      </c>
      <c r="G250" s="34">
        <f t="shared" si="99"/>
        <v>7000</v>
      </c>
      <c r="H250" s="34">
        <f t="shared" si="99"/>
        <v>0</v>
      </c>
      <c r="I250" s="34">
        <f t="shared" si="99"/>
        <v>0</v>
      </c>
      <c r="J250" s="34">
        <f t="shared" si="99"/>
        <v>617000</v>
      </c>
      <c r="K250" s="34">
        <f t="shared" si="99"/>
        <v>93140</v>
      </c>
    </row>
    <row r="251" spans="1:12" x14ac:dyDescent="0.25">
      <c r="A251" s="300"/>
      <c r="B251" s="301"/>
      <c r="C251" s="33" t="s">
        <v>36</v>
      </c>
      <c r="D251" s="34">
        <f>D102+D67+D38</f>
        <v>1739080</v>
      </c>
      <c r="E251" s="34">
        <f>E102+E67+E38</f>
        <v>1739080</v>
      </c>
      <c r="F251" s="34">
        <f t="shared" ref="F251:K251" si="100">F102+F67+F38</f>
        <v>0</v>
      </c>
      <c r="G251" s="34">
        <f t="shared" si="100"/>
        <v>0</v>
      </c>
      <c r="H251" s="34">
        <f t="shared" si="100"/>
        <v>0</v>
      </c>
      <c r="I251" s="34">
        <f t="shared" si="100"/>
        <v>0</v>
      </c>
      <c r="J251" s="34">
        <f t="shared" si="100"/>
        <v>1739080</v>
      </c>
      <c r="K251" s="34">
        <f t="shared" si="100"/>
        <v>921169</v>
      </c>
    </row>
    <row r="252" spans="1:12" x14ac:dyDescent="0.25">
      <c r="A252" s="300"/>
      <c r="B252" s="301"/>
      <c r="C252" s="73" t="s">
        <v>37</v>
      </c>
      <c r="D252" s="61">
        <f>D185+D68+D39</f>
        <v>356000</v>
      </c>
      <c r="E252" s="61">
        <f>E185+E68+E39</f>
        <v>356000</v>
      </c>
      <c r="F252" s="61">
        <f t="shared" ref="F252:J252" si="101">F185+F68+F39</f>
        <v>0</v>
      </c>
      <c r="G252" s="61">
        <f t="shared" si="101"/>
        <v>0</v>
      </c>
      <c r="H252" s="61">
        <f t="shared" si="101"/>
        <v>0</v>
      </c>
      <c r="I252" s="61">
        <f t="shared" si="101"/>
        <v>0</v>
      </c>
      <c r="J252" s="61">
        <f t="shared" si="101"/>
        <v>356000</v>
      </c>
      <c r="K252" s="61">
        <f>K185+K68+K39</f>
        <v>0</v>
      </c>
      <c r="L252" s="74"/>
    </row>
    <row r="253" spans="1:12" x14ac:dyDescent="0.25">
      <c r="A253" s="300"/>
      <c r="B253" s="301"/>
      <c r="C253" s="33" t="s">
        <v>38</v>
      </c>
      <c r="D253" s="34">
        <f>D169+D148+D125+D103+D69+D40+D209</f>
        <v>1394000</v>
      </c>
      <c r="E253" s="34">
        <f>E169+E148+E125+E103+E69+E40+E209</f>
        <v>1394000</v>
      </c>
      <c r="F253" s="34">
        <f t="shared" ref="F253:K253" si="102">F169+F148+F125+F103+F69+F40+F209</f>
        <v>0</v>
      </c>
      <c r="G253" s="34">
        <f t="shared" si="102"/>
        <v>0</v>
      </c>
      <c r="H253" s="34">
        <f t="shared" si="102"/>
        <v>0</v>
      </c>
      <c r="I253" s="34">
        <f t="shared" si="102"/>
        <v>0</v>
      </c>
      <c r="J253" s="34">
        <f t="shared" si="102"/>
        <v>1394000</v>
      </c>
      <c r="K253" s="34">
        <f t="shared" si="102"/>
        <v>207584</v>
      </c>
    </row>
    <row r="254" spans="1:12" x14ac:dyDescent="0.25">
      <c r="A254" s="300"/>
      <c r="B254" s="301"/>
      <c r="C254" s="33" t="s">
        <v>39</v>
      </c>
      <c r="D254" s="34">
        <f>D41</f>
        <v>13200</v>
      </c>
      <c r="E254" s="34">
        <f>E41</f>
        <v>11540</v>
      </c>
      <c r="F254" s="34">
        <f t="shared" ref="F254:K254" si="103">F41</f>
        <v>0</v>
      </c>
      <c r="G254" s="34">
        <f t="shared" si="103"/>
        <v>5000</v>
      </c>
      <c r="H254" s="34">
        <f t="shared" si="103"/>
        <v>0</v>
      </c>
      <c r="I254" s="34">
        <f t="shared" si="103"/>
        <v>0</v>
      </c>
      <c r="J254" s="34">
        <f t="shared" si="103"/>
        <v>16540</v>
      </c>
      <c r="K254" s="34">
        <f t="shared" si="103"/>
        <v>5379</v>
      </c>
    </row>
    <row r="255" spans="1:12" x14ac:dyDescent="0.25">
      <c r="A255" s="300"/>
      <c r="B255" s="301"/>
      <c r="C255" s="36" t="s">
        <v>40</v>
      </c>
      <c r="D255" s="34">
        <f t="shared" ref="D255:K256" si="104">D186+D170+D149+D126+D104+D70+D42</f>
        <v>16415104</v>
      </c>
      <c r="E255" s="34">
        <f t="shared" si="104"/>
        <v>16415104</v>
      </c>
      <c r="F255" s="34">
        <f t="shared" si="104"/>
        <v>0</v>
      </c>
      <c r="G255" s="34">
        <f t="shared" si="104"/>
        <v>0</v>
      </c>
      <c r="H255" s="34">
        <f t="shared" si="104"/>
        <v>0</v>
      </c>
      <c r="I255" s="34">
        <f t="shared" si="104"/>
        <v>0</v>
      </c>
      <c r="J255" s="34">
        <f t="shared" si="104"/>
        <v>16415104</v>
      </c>
      <c r="K255" s="34">
        <f t="shared" si="104"/>
        <v>311518</v>
      </c>
    </row>
    <row r="256" spans="1:12" x14ac:dyDescent="0.25">
      <c r="A256" s="300"/>
      <c r="B256" s="301"/>
      <c r="C256" s="33" t="s">
        <v>41</v>
      </c>
      <c r="D256" s="34">
        <f t="shared" si="104"/>
        <v>26876743</v>
      </c>
      <c r="E256" s="34">
        <f t="shared" si="104"/>
        <v>26926403</v>
      </c>
      <c r="F256" s="34">
        <f t="shared" si="104"/>
        <v>-18767717</v>
      </c>
      <c r="G256" s="34">
        <f t="shared" si="104"/>
        <v>0</v>
      </c>
      <c r="H256" s="34">
        <f t="shared" si="104"/>
        <v>0</v>
      </c>
      <c r="I256" s="34">
        <f t="shared" si="104"/>
        <v>0</v>
      </c>
      <c r="J256" s="34">
        <f t="shared" si="104"/>
        <v>8158686</v>
      </c>
      <c r="K256" s="34">
        <f t="shared" si="104"/>
        <v>6024163</v>
      </c>
    </row>
    <row r="257" spans="1:11" x14ac:dyDescent="0.25">
      <c r="A257" s="300"/>
      <c r="B257" s="301"/>
      <c r="C257" s="35" t="s">
        <v>42</v>
      </c>
      <c r="D257" s="34">
        <f>D210+D188+D172+D151+D128+D106+D72+D44</f>
        <v>2852000</v>
      </c>
      <c r="E257" s="34">
        <f>E210+E188+E172+E151+E128+E106+E72+E44</f>
        <v>2852000</v>
      </c>
      <c r="F257" s="34">
        <f t="shared" ref="F257:K257" si="105">F210+F188+F172+F151+F128+F106+F72+F44</f>
        <v>0</v>
      </c>
      <c r="G257" s="34">
        <f t="shared" si="105"/>
        <v>0</v>
      </c>
      <c r="H257" s="34">
        <f t="shared" si="105"/>
        <v>0</v>
      </c>
      <c r="I257" s="34">
        <f t="shared" si="105"/>
        <v>0</v>
      </c>
      <c r="J257" s="34">
        <f t="shared" si="105"/>
        <v>2852000</v>
      </c>
      <c r="K257" s="34">
        <f t="shared" si="105"/>
        <v>692170</v>
      </c>
    </row>
    <row r="258" spans="1:11" x14ac:dyDescent="0.25">
      <c r="A258" s="300"/>
      <c r="B258" s="301"/>
      <c r="C258" s="35" t="s">
        <v>43</v>
      </c>
      <c r="D258" s="34">
        <f>D45+D73+D189</f>
        <v>290000</v>
      </c>
      <c r="E258" s="34">
        <f>E45+E73+E189</f>
        <v>290000</v>
      </c>
      <c r="F258" s="34">
        <f t="shared" ref="F258:K258" si="106">F45+F73+F189</f>
        <v>0</v>
      </c>
      <c r="G258" s="34">
        <f t="shared" si="106"/>
        <v>0</v>
      </c>
      <c r="H258" s="34">
        <f t="shared" si="106"/>
        <v>0</v>
      </c>
      <c r="I258" s="34">
        <f t="shared" si="106"/>
        <v>0</v>
      </c>
      <c r="J258" s="34">
        <f t="shared" si="106"/>
        <v>290000</v>
      </c>
      <c r="K258" s="34">
        <f t="shared" si="106"/>
        <v>0</v>
      </c>
    </row>
    <row r="259" spans="1:11" x14ac:dyDescent="0.25">
      <c r="A259" s="300"/>
      <c r="B259" s="301"/>
      <c r="C259" s="33" t="s">
        <v>44</v>
      </c>
      <c r="D259" s="34">
        <f>D211+D190+D173+D152+D129+D107+D74+D46</f>
        <v>7754652</v>
      </c>
      <c r="E259" s="34">
        <f>E211+E190+E173+E152+E129+E107+E74+E46</f>
        <v>7754652</v>
      </c>
      <c r="F259" s="34">
        <f t="shared" ref="F259:K259" si="107">F211+F190+F173+F152+F129+F107+F74+F46</f>
        <v>-2419211</v>
      </c>
      <c r="G259" s="34">
        <f t="shared" si="107"/>
        <v>0</v>
      </c>
      <c r="H259" s="34">
        <f t="shared" si="107"/>
        <v>0</v>
      </c>
      <c r="I259" s="34">
        <f t="shared" si="107"/>
        <v>0</v>
      </c>
      <c r="J259" s="34">
        <f t="shared" si="107"/>
        <v>5335441</v>
      </c>
      <c r="K259" s="34">
        <f t="shared" si="107"/>
        <v>1732052</v>
      </c>
    </row>
    <row r="260" spans="1:11" x14ac:dyDescent="0.25">
      <c r="A260" s="300"/>
      <c r="B260" s="301"/>
      <c r="C260" s="37" t="s">
        <v>45</v>
      </c>
      <c r="D260" s="34">
        <f>D212+D191+D75+D47</f>
        <v>743011</v>
      </c>
      <c r="E260" s="34">
        <f>E212+E191+E75+E47</f>
        <v>743011</v>
      </c>
      <c r="F260" s="34">
        <f t="shared" ref="F260:K260" si="108">F212+F191+F75+F47</f>
        <v>0</v>
      </c>
      <c r="G260" s="34">
        <f t="shared" si="108"/>
        <v>0</v>
      </c>
      <c r="H260" s="34">
        <f t="shared" si="108"/>
        <v>0</v>
      </c>
      <c r="I260" s="34">
        <f t="shared" si="108"/>
        <v>0</v>
      </c>
      <c r="J260" s="34">
        <f t="shared" si="108"/>
        <v>743011</v>
      </c>
      <c r="K260" s="34">
        <f t="shared" si="108"/>
        <v>216999</v>
      </c>
    </row>
    <row r="261" spans="1:11" x14ac:dyDescent="0.25">
      <c r="A261" s="300"/>
      <c r="B261" s="301"/>
      <c r="C261" s="65" t="s">
        <v>49</v>
      </c>
      <c r="D261" s="66">
        <f>D213+D192+D174+D153+D130+D108+D76+D48</f>
        <v>62319790</v>
      </c>
      <c r="E261" s="66">
        <f>E213+E192+E174+E153+E130+E108+E76+E48</f>
        <v>62349950</v>
      </c>
      <c r="F261" s="66">
        <f t="shared" ref="F261:K261" si="109">F213+F192+F174+F153+F130+F108+F76+F48</f>
        <v>-21000000</v>
      </c>
      <c r="G261" s="66">
        <f t="shared" si="109"/>
        <v>12000</v>
      </c>
      <c r="H261" s="66">
        <f t="shared" si="109"/>
        <v>0</v>
      </c>
      <c r="I261" s="66">
        <f t="shared" si="109"/>
        <v>0</v>
      </c>
      <c r="J261" s="66">
        <f t="shared" si="109"/>
        <v>41331790</v>
      </c>
      <c r="K261" s="66">
        <f t="shared" si="109"/>
        <v>10375773</v>
      </c>
    </row>
    <row r="262" spans="1:11" x14ac:dyDescent="0.25">
      <c r="A262" s="300"/>
      <c r="B262" s="301"/>
      <c r="C262" s="65" t="s">
        <v>100</v>
      </c>
      <c r="D262" s="66">
        <f>D197</f>
        <v>0</v>
      </c>
      <c r="E262" s="66">
        <f t="shared" ref="E262:K262" si="110">E197</f>
        <v>0</v>
      </c>
      <c r="F262" s="66">
        <f t="shared" si="110"/>
        <v>10500000</v>
      </c>
      <c r="G262" s="66">
        <f t="shared" si="110"/>
        <v>0</v>
      </c>
      <c r="H262" s="66">
        <f t="shared" si="110"/>
        <v>0</v>
      </c>
      <c r="I262" s="66">
        <f t="shared" si="110"/>
        <v>0</v>
      </c>
      <c r="J262" s="66">
        <f t="shared" si="110"/>
        <v>10500000</v>
      </c>
      <c r="K262" s="66">
        <f t="shared" si="110"/>
        <v>10500000</v>
      </c>
    </row>
    <row r="263" spans="1:11" x14ac:dyDescent="0.25">
      <c r="A263" s="300"/>
      <c r="B263" s="301"/>
      <c r="C263" s="38" t="s">
        <v>50</v>
      </c>
      <c r="D263" s="34">
        <f t="shared" ref="D263:K265" si="111">D194+D77+D49</f>
        <v>161220</v>
      </c>
      <c r="E263" s="34">
        <f t="shared" si="111"/>
        <v>161220</v>
      </c>
      <c r="F263" s="34">
        <f t="shared" si="111"/>
        <v>0</v>
      </c>
      <c r="G263" s="34">
        <f t="shared" si="111"/>
        <v>0</v>
      </c>
      <c r="H263" s="34">
        <f t="shared" si="111"/>
        <v>0</v>
      </c>
      <c r="I263" s="34">
        <f t="shared" si="111"/>
        <v>0</v>
      </c>
      <c r="J263" s="34">
        <f t="shared" si="111"/>
        <v>161220</v>
      </c>
      <c r="K263" s="34">
        <f t="shared" si="111"/>
        <v>0</v>
      </c>
    </row>
    <row r="264" spans="1:11" x14ac:dyDescent="0.25">
      <c r="A264" s="300"/>
      <c r="B264" s="301"/>
      <c r="C264" s="37" t="s">
        <v>51</v>
      </c>
      <c r="D264" s="34">
        <f t="shared" si="111"/>
        <v>43530</v>
      </c>
      <c r="E264" s="34">
        <f t="shared" si="111"/>
        <v>43530</v>
      </c>
      <c r="F264" s="34">
        <f t="shared" si="111"/>
        <v>0</v>
      </c>
      <c r="G264" s="34">
        <f t="shared" si="111"/>
        <v>0</v>
      </c>
      <c r="H264" s="34">
        <f t="shared" si="111"/>
        <v>0</v>
      </c>
      <c r="I264" s="34">
        <f t="shared" si="111"/>
        <v>0</v>
      </c>
      <c r="J264" s="34">
        <f t="shared" si="111"/>
        <v>43530</v>
      </c>
      <c r="K264" s="34">
        <f t="shared" si="111"/>
        <v>0</v>
      </c>
    </row>
    <row r="265" spans="1:11" x14ac:dyDescent="0.25">
      <c r="A265" s="300"/>
      <c r="B265" s="301"/>
      <c r="C265" s="65" t="s">
        <v>52</v>
      </c>
      <c r="D265" s="68">
        <f t="shared" si="111"/>
        <v>204750</v>
      </c>
      <c r="E265" s="68">
        <f t="shared" si="111"/>
        <v>204750</v>
      </c>
      <c r="F265" s="68">
        <f t="shared" si="111"/>
        <v>0</v>
      </c>
      <c r="G265" s="68">
        <f t="shared" si="111"/>
        <v>0</v>
      </c>
      <c r="H265" s="68">
        <f t="shared" si="111"/>
        <v>0</v>
      </c>
      <c r="I265" s="68">
        <f t="shared" si="111"/>
        <v>0</v>
      </c>
      <c r="J265" s="68">
        <f t="shared" si="111"/>
        <v>204750</v>
      </c>
      <c r="K265" s="66">
        <f t="shared" si="111"/>
        <v>0</v>
      </c>
    </row>
    <row r="266" spans="1:11" x14ac:dyDescent="0.25">
      <c r="A266" s="302"/>
      <c r="B266" s="303"/>
      <c r="C266" s="69" t="s">
        <v>88</v>
      </c>
      <c r="D266" s="70">
        <f t="shared" ref="D266:E266" si="112">D265+D261+D246+D245+D262</f>
        <v>230443641</v>
      </c>
      <c r="E266" s="70">
        <f t="shared" si="112"/>
        <v>230473801</v>
      </c>
      <c r="F266" s="70">
        <f>F265+F261+F246+F245+F262</f>
        <v>0</v>
      </c>
      <c r="G266" s="70">
        <f t="shared" ref="G266:K266" si="113">G265+G261+G246+G245+G262</f>
        <v>12000</v>
      </c>
      <c r="H266" s="70">
        <f t="shared" si="113"/>
        <v>66208</v>
      </c>
      <c r="I266" s="70">
        <f t="shared" si="113"/>
        <v>0</v>
      </c>
      <c r="J266" s="70">
        <f t="shared" si="113"/>
        <v>230521849</v>
      </c>
      <c r="K266" s="121">
        <f t="shared" si="113"/>
        <v>81431680</v>
      </c>
    </row>
    <row r="267" spans="1:11" x14ac:dyDescent="0.25">
      <c r="B267" s="5"/>
      <c r="E267" s="4"/>
      <c r="F267" s="4"/>
      <c r="G267" s="4"/>
      <c r="H267" s="4"/>
      <c r="I267" s="4"/>
      <c r="J267" s="4"/>
      <c r="K267" s="111"/>
    </row>
    <row r="268" spans="1:11" x14ac:dyDescent="0.25">
      <c r="B268" s="5"/>
      <c r="E268" s="4"/>
      <c r="F268" s="4"/>
      <c r="G268" s="4"/>
      <c r="H268" s="4"/>
      <c r="I268" s="4"/>
      <c r="J268" s="4"/>
      <c r="K268" s="111"/>
    </row>
  </sheetData>
  <mergeCells count="74">
    <mergeCell ref="A1:L1"/>
    <mergeCell ref="A3:A4"/>
    <mergeCell ref="B3:B4"/>
    <mergeCell ref="C3:C4"/>
    <mergeCell ref="D3:D4"/>
    <mergeCell ref="E3:E4"/>
    <mergeCell ref="F3:I3"/>
    <mergeCell ref="J3:J4"/>
    <mergeCell ref="K3:K4"/>
    <mergeCell ref="L3:L4"/>
    <mergeCell ref="A5:A13"/>
    <mergeCell ref="B5:B7"/>
    <mergeCell ref="B8:B11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C24"/>
    <mergeCell ref="A25:A79"/>
    <mergeCell ref="B25:B51"/>
    <mergeCell ref="B52:B79"/>
    <mergeCell ref="A80:A81"/>
    <mergeCell ref="B80:B81"/>
    <mergeCell ref="A82:A83"/>
    <mergeCell ref="B82:B83"/>
    <mergeCell ref="A84:A85"/>
    <mergeCell ref="B84:B85"/>
    <mergeCell ref="A131:A132"/>
    <mergeCell ref="B131:B132"/>
    <mergeCell ref="A86:A87"/>
    <mergeCell ref="B86:B87"/>
    <mergeCell ref="A88:C88"/>
    <mergeCell ref="A89:A108"/>
    <mergeCell ref="B89:B108"/>
    <mergeCell ref="A109:A110"/>
    <mergeCell ref="B109:B110"/>
    <mergeCell ref="A111:A112"/>
    <mergeCell ref="B111:B112"/>
    <mergeCell ref="A113:C113"/>
    <mergeCell ref="A114:A130"/>
    <mergeCell ref="B114:B130"/>
    <mergeCell ref="A177:A178"/>
    <mergeCell ref="B177:B178"/>
    <mergeCell ref="A133:A134"/>
    <mergeCell ref="B133:B134"/>
    <mergeCell ref="A135:C135"/>
    <mergeCell ref="A136:A153"/>
    <mergeCell ref="B136:B153"/>
    <mergeCell ref="A154:A155"/>
    <mergeCell ref="B154:B155"/>
    <mergeCell ref="A156:C156"/>
    <mergeCell ref="A157:A174"/>
    <mergeCell ref="B157:B174"/>
    <mergeCell ref="A175:A176"/>
    <mergeCell ref="B175:B176"/>
    <mergeCell ref="A179:C179"/>
    <mergeCell ref="A180:A197"/>
    <mergeCell ref="B180:B197"/>
    <mergeCell ref="A198:C198"/>
    <mergeCell ref="A199:A213"/>
    <mergeCell ref="B199:B213"/>
    <mergeCell ref="A225:B266"/>
    <mergeCell ref="A224:K224"/>
    <mergeCell ref="A214:A215"/>
    <mergeCell ref="B214:B215"/>
    <mergeCell ref="A216:C216"/>
    <mergeCell ref="A217:C217"/>
  </mergeCells>
  <pageMargins left="0.70866141732283472" right="0.70866141732283472" top="0.74803149606299213" bottom="0.74803149606299213" header="0.31496062992125984" footer="0.31496062992125984"/>
  <pageSetup paperSize="8" scale="65" orientation="portrait" r:id="rId1"/>
  <rowBreaks count="2" manualBreakCount="2">
    <brk id="88" max="16383" man="1"/>
    <brk id="19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68"/>
  <sheetViews>
    <sheetView workbookViewId="0">
      <selection activeCell="D8" sqref="D8"/>
    </sheetView>
  </sheetViews>
  <sheetFormatPr defaultRowHeight="15" x14ac:dyDescent="0.25"/>
  <cols>
    <col min="1" max="1" width="49.140625" customWidth="1"/>
    <col min="2" max="2" width="10.42578125" customWidth="1"/>
    <col min="3" max="3" width="9.140625" customWidth="1"/>
    <col min="4" max="4" width="15.28515625" customWidth="1"/>
    <col min="5" max="8" width="13.28515625" customWidth="1"/>
    <col min="9" max="9" width="14.7109375" customWidth="1"/>
    <col min="10" max="10" width="13.7109375" customWidth="1"/>
  </cols>
  <sheetData>
    <row r="1" spans="1:10" s="74" customFormat="1" ht="21" x14ac:dyDescent="0.25">
      <c r="A1" s="333" t="s">
        <v>0</v>
      </c>
      <c r="B1" s="333"/>
      <c r="C1" s="333"/>
      <c r="D1" s="333"/>
      <c r="E1" s="333"/>
      <c r="F1" s="333"/>
      <c r="G1" s="333"/>
      <c r="H1" s="333"/>
      <c r="I1" s="333"/>
      <c r="J1" s="333"/>
    </row>
    <row r="2" spans="1:10" x14ac:dyDescent="0.25">
      <c r="B2" s="5"/>
      <c r="E2" s="4"/>
      <c r="F2" s="4"/>
      <c r="G2" s="4"/>
      <c r="H2" s="4"/>
      <c r="I2" s="4"/>
    </row>
    <row r="3" spans="1:10" ht="15" customHeight="1" x14ac:dyDescent="0.25">
      <c r="A3" s="334" t="s">
        <v>1</v>
      </c>
      <c r="B3" s="336" t="s">
        <v>2</v>
      </c>
      <c r="C3" s="334" t="s">
        <v>3</v>
      </c>
      <c r="D3" s="334" t="s">
        <v>4</v>
      </c>
      <c r="E3" s="338" t="s">
        <v>97</v>
      </c>
      <c r="F3" s="339"/>
      <c r="G3" s="339"/>
      <c r="H3" s="340"/>
      <c r="I3" s="332" t="s">
        <v>96</v>
      </c>
      <c r="J3" s="332" t="s">
        <v>99</v>
      </c>
    </row>
    <row r="4" spans="1:10" ht="27" customHeight="1" x14ac:dyDescent="0.25">
      <c r="A4" s="335"/>
      <c r="B4" s="337"/>
      <c r="C4" s="335"/>
      <c r="D4" s="335"/>
      <c r="E4" s="93" t="s">
        <v>70</v>
      </c>
      <c r="F4" s="106" t="s">
        <v>102</v>
      </c>
      <c r="G4" s="107" t="s">
        <v>101</v>
      </c>
      <c r="H4" s="93" t="s">
        <v>71</v>
      </c>
      <c r="I4" s="332"/>
      <c r="J4" s="332"/>
    </row>
    <row r="5" spans="1:10" x14ac:dyDescent="0.25">
      <c r="A5" s="255" t="s">
        <v>6</v>
      </c>
      <c r="B5" s="268" t="s">
        <v>21</v>
      </c>
      <c r="C5" s="2" t="s">
        <v>16</v>
      </c>
      <c r="D5" s="3">
        <v>54810810</v>
      </c>
      <c r="E5" s="3">
        <f>I5-D5-F5-G5-H5</f>
        <v>0</v>
      </c>
      <c r="F5" s="3">
        <f>'2019.05.31.'!G5</f>
        <v>0</v>
      </c>
      <c r="G5" s="3">
        <f>'2019.05.31.'!H5</f>
        <v>38009</v>
      </c>
      <c r="H5" s="3">
        <f>'2019.05.31.'!I5</f>
        <v>0</v>
      </c>
      <c r="I5" s="3">
        <f>'2019.05.31.'!J5</f>
        <v>54848819</v>
      </c>
      <c r="J5" s="3">
        <f>'2019.05.31.'!K5</f>
        <v>18320271</v>
      </c>
    </row>
    <row r="6" spans="1:10" x14ac:dyDescent="0.25">
      <c r="A6" s="256"/>
      <c r="B6" s="268"/>
      <c r="C6" s="2" t="s">
        <v>17</v>
      </c>
      <c r="D6" s="3">
        <v>7273070</v>
      </c>
      <c r="E6" s="3">
        <f t="shared" ref="E6:E23" si="0">I6-D6-F6-G6-H6</f>
        <v>0</v>
      </c>
      <c r="F6" s="3">
        <f>'2019.05.31.'!G6</f>
        <v>0</v>
      </c>
      <c r="G6" s="3">
        <f>'2019.05.31.'!H6</f>
        <v>0</v>
      </c>
      <c r="H6" s="3">
        <f>'2019.05.31.'!I6</f>
        <v>0</v>
      </c>
      <c r="I6" s="3">
        <f>'2019.05.31.'!J6</f>
        <v>7273070</v>
      </c>
      <c r="J6" s="3">
        <f>'2019.05.31.'!K6</f>
        <v>7273070</v>
      </c>
    </row>
    <row r="7" spans="1:10" x14ac:dyDescent="0.25">
      <c r="A7" s="256"/>
      <c r="B7" s="268"/>
      <c r="C7" s="2" t="s">
        <v>18</v>
      </c>
      <c r="D7" s="3">
        <v>96985672</v>
      </c>
      <c r="E7" s="3">
        <f t="shared" si="0"/>
        <v>0</v>
      </c>
      <c r="F7" s="3">
        <f>'2019.05.31.'!G7</f>
        <v>0</v>
      </c>
      <c r="G7" s="3">
        <f>'2019.05.31.'!H7</f>
        <v>0</v>
      </c>
      <c r="H7" s="3">
        <f>'2019.05.31.'!I7</f>
        <v>0</v>
      </c>
      <c r="I7" s="3">
        <f>'2019.05.31.'!J7</f>
        <v>96985672</v>
      </c>
      <c r="J7" s="3">
        <f>'2019.05.31.'!K7</f>
        <v>41271953</v>
      </c>
    </row>
    <row r="8" spans="1:10" x14ac:dyDescent="0.25">
      <c r="A8" s="256"/>
      <c r="B8" s="252">
        <v>104042</v>
      </c>
      <c r="C8" s="2" t="s">
        <v>22</v>
      </c>
      <c r="D8" s="3">
        <v>200000</v>
      </c>
      <c r="E8" s="3">
        <f t="shared" si="0"/>
        <v>0</v>
      </c>
      <c r="F8" s="3">
        <f>'2019.05.31.'!G8</f>
        <v>0</v>
      </c>
      <c r="G8" s="3">
        <f>'2019.05.31.'!H8</f>
        <v>0</v>
      </c>
      <c r="H8" s="3">
        <f>'2019.05.31.'!I8</f>
        <v>0</v>
      </c>
      <c r="I8" s="3">
        <f>'2019.05.31.'!J8</f>
        <v>200000</v>
      </c>
      <c r="J8" s="3">
        <f>'2019.05.31.'!K8</f>
        <v>0</v>
      </c>
    </row>
    <row r="9" spans="1:10" x14ac:dyDescent="0.25">
      <c r="A9" s="256"/>
      <c r="B9" s="253"/>
      <c r="C9" s="2" t="s">
        <v>19</v>
      </c>
      <c r="D9" s="3">
        <v>13200</v>
      </c>
      <c r="E9" s="3">
        <f t="shared" si="0"/>
        <v>-1660</v>
      </c>
      <c r="F9" s="3">
        <f>'2019.05.31.'!G9</f>
        <v>5000</v>
      </c>
      <c r="G9" s="3">
        <f>'2019.05.31.'!H9</f>
        <v>0</v>
      </c>
      <c r="H9" s="3">
        <f>'2019.05.31.'!I9</f>
        <v>0</v>
      </c>
      <c r="I9" s="3">
        <f>'2019.05.31.'!J9</f>
        <v>16540</v>
      </c>
      <c r="J9" s="3">
        <f>'2019.05.31.'!K9</f>
        <v>5379</v>
      </c>
    </row>
    <row r="10" spans="1:10" x14ac:dyDescent="0.25">
      <c r="A10" s="256"/>
      <c r="B10" s="253"/>
      <c r="C10" s="2" t="s">
        <v>20</v>
      </c>
      <c r="D10" s="3">
        <v>500</v>
      </c>
      <c r="E10" s="3">
        <f t="shared" si="0"/>
        <v>-289</v>
      </c>
      <c r="F10" s="3">
        <f>'2019.05.31.'!G10</f>
        <v>0</v>
      </c>
      <c r="G10" s="3">
        <f>'2019.05.31.'!H10</f>
        <v>0</v>
      </c>
      <c r="H10" s="3">
        <f>'2019.05.31.'!I10</f>
        <v>0</v>
      </c>
      <c r="I10" s="3">
        <f>'2019.05.31.'!J10</f>
        <v>211</v>
      </c>
      <c r="J10" s="3">
        <f>'2019.05.31.'!K10</f>
        <v>87</v>
      </c>
    </row>
    <row r="11" spans="1:10" x14ac:dyDescent="0.25">
      <c r="A11" s="256"/>
      <c r="B11" s="254"/>
      <c r="C11" s="2" t="s">
        <v>84</v>
      </c>
      <c r="D11" s="3">
        <v>0</v>
      </c>
      <c r="E11" s="3">
        <f t="shared" si="0"/>
        <v>2238</v>
      </c>
      <c r="F11" s="3">
        <f>'2019.05.31.'!G11</f>
        <v>7000</v>
      </c>
      <c r="G11" s="3">
        <f>'2019.05.31.'!H11</f>
        <v>0</v>
      </c>
      <c r="H11" s="3">
        <f>'2019.05.31.'!I11</f>
        <v>0</v>
      </c>
      <c r="I11" s="3">
        <f>'2019.05.31.'!J11</f>
        <v>9238</v>
      </c>
      <c r="J11" s="3">
        <f>'2019.05.31.'!K11</f>
        <v>3234</v>
      </c>
    </row>
    <row r="12" spans="1:10" x14ac:dyDescent="0.25">
      <c r="A12" s="256"/>
      <c r="B12" s="252">
        <v>104043</v>
      </c>
      <c r="C12" s="2" t="s">
        <v>20</v>
      </c>
      <c r="D12" s="3">
        <v>500</v>
      </c>
      <c r="E12" s="3">
        <f t="shared" si="0"/>
        <v>-290</v>
      </c>
      <c r="F12" s="3">
        <f>'2019.05.31.'!G12</f>
        <v>0</v>
      </c>
      <c r="G12" s="3">
        <f>'2019.05.31.'!H12</f>
        <v>0</v>
      </c>
      <c r="H12" s="3">
        <f>'2019.05.31.'!I12</f>
        <v>0</v>
      </c>
      <c r="I12" s="3">
        <f>'2019.05.31.'!J12</f>
        <v>210</v>
      </c>
      <c r="J12" s="3">
        <f>'2019.05.31.'!K12</f>
        <v>86</v>
      </c>
    </row>
    <row r="13" spans="1:10" x14ac:dyDescent="0.25">
      <c r="A13" s="257"/>
      <c r="B13" s="254"/>
      <c r="C13" s="2" t="s">
        <v>84</v>
      </c>
      <c r="D13" s="3">
        <v>0</v>
      </c>
      <c r="E13" s="3">
        <f t="shared" si="0"/>
        <v>1</v>
      </c>
      <c r="F13" s="3">
        <f>'2019.05.31.'!G13</f>
        <v>0</v>
      </c>
      <c r="G13" s="3">
        <f>'2019.05.31.'!H13</f>
        <v>0</v>
      </c>
      <c r="H13" s="3">
        <f>'2019.05.31.'!I13</f>
        <v>0</v>
      </c>
      <c r="I13" s="3">
        <f>'2019.05.31.'!J13</f>
        <v>1</v>
      </c>
      <c r="J13" s="3">
        <f>'2019.05.31.'!K13</f>
        <v>1</v>
      </c>
    </row>
    <row r="14" spans="1:10" x14ac:dyDescent="0.25">
      <c r="A14" s="258" t="s">
        <v>7</v>
      </c>
      <c r="B14" s="268" t="s">
        <v>21</v>
      </c>
      <c r="C14" s="2" t="s">
        <v>16</v>
      </c>
      <c r="D14" s="3">
        <v>245982</v>
      </c>
      <c r="E14" s="3">
        <f t="shared" si="0"/>
        <v>0</v>
      </c>
      <c r="F14" s="3">
        <f>'2019.05.31.'!G14</f>
        <v>0</v>
      </c>
      <c r="G14" s="3">
        <f>'2019.05.31.'!H14</f>
        <v>0</v>
      </c>
      <c r="H14" s="3">
        <f>'2019.05.31.'!I14</f>
        <v>0</v>
      </c>
      <c r="I14" s="3">
        <f>'2019.05.31.'!J14</f>
        <v>245982</v>
      </c>
      <c r="J14" s="3">
        <f>'2019.05.31.'!K14</f>
        <v>74405</v>
      </c>
    </row>
    <row r="15" spans="1:10" x14ac:dyDescent="0.25">
      <c r="A15" s="258"/>
      <c r="B15" s="268"/>
      <c r="C15" s="2" t="s">
        <v>17</v>
      </c>
      <c r="D15" s="3">
        <v>1005557</v>
      </c>
      <c r="E15" s="3">
        <f t="shared" si="0"/>
        <v>0</v>
      </c>
      <c r="F15" s="3">
        <f>'2019.05.31.'!G15</f>
        <v>0</v>
      </c>
      <c r="G15" s="3">
        <f>'2019.05.31.'!H15</f>
        <v>0</v>
      </c>
      <c r="H15" s="3">
        <f>'2019.05.31.'!I15</f>
        <v>0</v>
      </c>
      <c r="I15" s="3">
        <f>'2019.05.31.'!J15</f>
        <v>1005557</v>
      </c>
      <c r="J15" s="3">
        <f>'2019.05.31.'!K15</f>
        <v>1005557</v>
      </c>
    </row>
    <row r="16" spans="1:10" x14ac:dyDescent="0.25">
      <c r="A16" s="258" t="s">
        <v>8</v>
      </c>
      <c r="B16" s="268" t="s">
        <v>21</v>
      </c>
      <c r="C16" s="2" t="s">
        <v>16</v>
      </c>
      <c r="D16" s="3">
        <v>3086953</v>
      </c>
      <c r="E16" s="3">
        <f t="shared" si="0"/>
        <v>0</v>
      </c>
      <c r="F16" s="3">
        <f>'2019.05.31.'!G16</f>
        <v>0</v>
      </c>
      <c r="G16" s="3">
        <f>'2019.05.31.'!H16</f>
        <v>16751</v>
      </c>
      <c r="H16" s="3">
        <f>'2019.05.31.'!I16</f>
        <v>0</v>
      </c>
      <c r="I16" s="3">
        <f>'2019.05.31.'!J16</f>
        <v>3103704</v>
      </c>
      <c r="J16" s="3">
        <f>'2019.05.31.'!K16</f>
        <v>771738</v>
      </c>
    </row>
    <row r="17" spans="1:10" x14ac:dyDescent="0.25">
      <c r="A17" s="258"/>
      <c r="B17" s="268"/>
      <c r="C17" s="2" t="s">
        <v>17</v>
      </c>
      <c r="D17" s="3">
        <v>440959</v>
      </c>
      <c r="E17" s="3">
        <f t="shared" si="0"/>
        <v>0</v>
      </c>
      <c r="F17" s="3">
        <f>'2019.05.31.'!G17</f>
        <v>0</v>
      </c>
      <c r="G17" s="3">
        <f>'2019.05.31.'!H17</f>
        <v>0</v>
      </c>
      <c r="H17" s="3">
        <f>'2019.05.31.'!I17</f>
        <v>0</v>
      </c>
      <c r="I17" s="3">
        <f>'2019.05.31.'!J17</f>
        <v>440959</v>
      </c>
      <c r="J17" s="3">
        <f>'2019.05.31.'!K17</f>
        <v>440959</v>
      </c>
    </row>
    <row r="18" spans="1:10" x14ac:dyDescent="0.25">
      <c r="A18" s="258" t="s">
        <v>9</v>
      </c>
      <c r="B18" s="268" t="s">
        <v>21</v>
      </c>
      <c r="C18" s="2" t="s">
        <v>16</v>
      </c>
      <c r="D18" s="3">
        <v>1403439</v>
      </c>
      <c r="E18" s="3">
        <f t="shared" si="0"/>
        <v>0</v>
      </c>
      <c r="F18" s="3">
        <f>'2019.05.31.'!G18</f>
        <v>0</v>
      </c>
      <c r="G18" s="3">
        <f>'2019.05.31.'!H18</f>
        <v>11448</v>
      </c>
      <c r="H18" s="3">
        <f>'2019.05.31.'!I18</f>
        <v>0</v>
      </c>
      <c r="I18" s="3">
        <f>'2019.05.31.'!J18</f>
        <v>1414887</v>
      </c>
      <c r="J18" s="3">
        <f>'2019.05.31.'!K18</f>
        <v>362308</v>
      </c>
    </row>
    <row r="19" spans="1:10" x14ac:dyDescent="0.25">
      <c r="A19" s="258"/>
      <c r="B19" s="268"/>
      <c r="C19" s="2" t="s">
        <v>17</v>
      </c>
      <c r="D19" s="3">
        <v>599759</v>
      </c>
      <c r="E19" s="3">
        <f t="shared" si="0"/>
        <v>0</v>
      </c>
      <c r="F19" s="3">
        <f>'2019.05.31.'!G19</f>
        <v>0</v>
      </c>
      <c r="G19" s="3">
        <f>'2019.05.31.'!H19</f>
        <v>0</v>
      </c>
      <c r="H19" s="3">
        <f>'2019.05.31.'!I19</f>
        <v>0</v>
      </c>
      <c r="I19" s="3">
        <f>'2019.05.31.'!J19</f>
        <v>599759</v>
      </c>
      <c r="J19" s="3">
        <f>'2019.05.31.'!K19</f>
        <v>599759</v>
      </c>
    </row>
    <row r="20" spans="1:10" x14ac:dyDescent="0.25">
      <c r="A20" s="255" t="s">
        <v>54</v>
      </c>
      <c r="B20" s="252" t="s">
        <v>21</v>
      </c>
      <c r="C20" s="2" t="s">
        <v>16</v>
      </c>
      <c r="D20" s="3">
        <v>4056383</v>
      </c>
      <c r="E20" s="3">
        <f t="shared" si="0"/>
        <v>0</v>
      </c>
      <c r="F20" s="3">
        <f>'2019.05.31.'!G20</f>
        <v>0</v>
      </c>
      <c r="G20" s="3">
        <f>'2019.05.31.'!H20</f>
        <v>0</v>
      </c>
      <c r="H20" s="3">
        <f>'2019.05.31.'!I20</f>
        <v>0</v>
      </c>
      <c r="I20" s="3">
        <f>'2019.05.31.'!J20</f>
        <v>4056383</v>
      </c>
      <c r="J20" s="3">
        <f>'2019.05.31.'!K20</f>
        <v>1014096</v>
      </c>
    </row>
    <row r="21" spans="1:10" x14ac:dyDescent="0.25">
      <c r="A21" s="257"/>
      <c r="B21" s="254"/>
      <c r="C21" s="2" t="s">
        <v>17</v>
      </c>
      <c r="D21" s="3">
        <v>226299</v>
      </c>
      <c r="E21" s="3">
        <f t="shared" si="0"/>
        <v>0</v>
      </c>
      <c r="F21" s="3">
        <f>'2019.05.31.'!G21</f>
        <v>0</v>
      </c>
      <c r="G21" s="3">
        <f>'2019.05.31.'!H21</f>
        <v>0</v>
      </c>
      <c r="H21" s="3">
        <f>'2019.05.31.'!I21</f>
        <v>0</v>
      </c>
      <c r="I21" s="3">
        <f>'2019.05.31.'!J21</f>
        <v>226299</v>
      </c>
      <c r="J21" s="3">
        <f>'2019.05.31.'!K21</f>
        <v>226299</v>
      </c>
    </row>
    <row r="22" spans="1:10" x14ac:dyDescent="0.25">
      <c r="A22" s="258" t="s">
        <v>10</v>
      </c>
      <c r="B22" s="268" t="s">
        <v>21</v>
      </c>
      <c r="C22" s="2" t="s">
        <v>16</v>
      </c>
      <c r="D22" s="3">
        <v>53627392</v>
      </c>
      <c r="E22" s="3">
        <f t="shared" si="0"/>
        <v>0</v>
      </c>
      <c r="F22" s="3">
        <f>'2019.05.31.'!G22</f>
        <v>0</v>
      </c>
      <c r="G22" s="3">
        <f>'2019.05.31.'!H22</f>
        <v>0</v>
      </c>
      <c r="H22" s="3">
        <f>'2019.05.31.'!I22</f>
        <v>0</v>
      </c>
      <c r="I22" s="3">
        <f>'2019.05.31.'!J22</f>
        <v>53627392</v>
      </c>
      <c r="J22" s="3">
        <f>'2019.05.31.'!K22</f>
        <v>16810012</v>
      </c>
    </row>
    <row r="23" spans="1:10" x14ac:dyDescent="0.25">
      <c r="A23" s="258"/>
      <c r="B23" s="268"/>
      <c r="C23" s="2" t="s">
        <v>17</v>
      </c>
      <c r="D23" s="3">
        <v>6467166</v>
      </c>
      <c r="E23" s="3">
        <f t="shared" si="0"/>
        <v>0</v>
      </c>
      <c r="F23" s="3">
        <f>'2019.05.31.'!G23</f>
        <v>0</v>
      </c>
      <c r="G23" s="3">
        <f>'2019.05.31.'!H23</f>
        <v>0</v>
      </c>
      <c r="H23" s="3">
        <f>'2019.05.31.'!I23</f>
        <v>0</v>
      </c>
      <c r="I23" s="3">
        <f>'2019.05.31.'!J23</f>
        <v>6467166</v>
      </c>
      <c r="J23" s="3">
        <f>'2019.05.31.'!K23</f>
        <v>6467166</v>
      </c>
    </row>
    <row r="24" spans="1:10" ht="20.25" customHeight="1" x14ac:dyDescent="0.25">
      <c r="A24" s="328" t="s">
        <v>73</v>
      </c>
      <c r="B24" s="329"/>
      <c r="C24" s="330"/>
      <c r="D24" s="94">
        <f t="shared" ref="D24:I24" si="1">SUM(D5:D23)</f>
        <v>230443641</v>
      </c>
      <c r="E24" s="94">
        <f t="shared" si="1"/>
        <v>0</v>
      </c>
      <c r="F24" s="94">
        <f t="shared" si="1"/>
        <v>12000</v>
      </c>
      <c r="G24" s="94">
        <f t="shared" si="1"/>
        <v>66208</v>
      </c>
      <c r="H24" s="94">
        <f t="shared" si="1"/>
        <v>0</v>
      </c>
      <c r="I24" s="94">
        <f t="shared" si="1"/>
        <v>230521849</v>
      </c>
      <c r="J24" s="94">
        <f t="shared" ref="J24" si="2">SUM(J5:J23)</f>
        <v>94646380</v>
      </c>
    </row>
    <row r="25" spans="1:10" x14ac:dyDescent="0.25">
      <c r="A25" s="258" t="s">
        <v>11</v>
      </c>
      <c r="B25" s="252" t="s">
        <v>23</v>
      </c>
      <c r="C25" s="2" t="s">
        <v>24</v>
      </c>
      <c r="D25" s="3">
        <v>35883092</v>
      </c>
      <c r="E25" s="3">
        <f t="shared" ref="E25:E31" si="3">I25-D25-F25-G25-H25</f>
        <v>-178678</v>
      </c>
      <c r="F25" s="3">
        <f>'2019.05.31.'!G25</f>
        <v>0</v>
      </c>
      <c r="G25" s="3">
        <f>'2019.05.31.'!H25</f>
        <v>11870</v>
      </c>
      <c r="H25" s="3">
        <f>'2019.05.31.'!I25</f>
        <v>0</v>
      </c>
      <c r="I25" s="3">
        <f>'2019.05.31.'!J25</f>
        <v>35716284</v>
      </c>
      <c r="J25" s="3">
        <f>'2019.05.31.'!K25</f>
        <v>13037510</v>
      </c>
    </row>
    <row r="26" spans="1:10" x14ac:dyDescent="0.25">
      <c r="A26" s="258"/>
      <c r="B26" s="253"/>
      <c r="C26" s="2" t="s">
        <v>25</v>
      </c>
      <c r="D26" s="3">
        <v>1542000</v>
      </c>
      <c r="E26" s="3">
        <f t="shared" si="3"/>
        <v>0</v>
      </c>
      <c r="F26" s="3">
        <f>'2019.05.31.'!G26</f>
        <v>0</v>
      </c>
      <c r="G26" s="3">
        <f>'2019.05.31.'!H26</f>
        <v>0</v>
      </c>
      <c r="H26" s="3">
        <f>'2019.05.31.'!I26</f>
        <v>0</v>
      </c>
      <c r="I26" s="3">
        <f>'2019.05.31.'!J26</f>
        <v>1542000</v>
      </c>
      <c r="J26" s="3">
        <f>'2019.05.31.'!K26</f>
        <v>725000</v>
      </c>
    </row>
    <row r="27" spans="1:10" x14ac:dyDescent="0.25">
      <c r="A27" s="258"/>
      <c r="B27" s="253"/>
      <c r="C27" s="2" t="s">
        <v>26</v>
      </c>
      <c r="D27" s="3">
        <v>80000</v>
      </c>
      <c r="E27" s="3">
        <f t="shared" si="3"/>
        <v>0</v>
      </c>
      <c r="F27" s="3">
        <f>'2019.05.31.'!G27</f>
        <v>0</v>
      </c>
      <c r="G27" s="3">
        <f>'2019.05.31.'!H27</f>
        <v>0</v>
      </c>
      <c r="H27" s="3">
        <f>'2019.05.31.'!I27</f>
        <v>0</v>
      </c>
      <c r="I27" s="3">
        <f>'2019.05.31.'!J27</f>
        <v>80000</v>
      </c>
      <c r="J27" s="3">
        <f>'2019.05.31.'!K27</f>
        <v>0</v>
      </c>
    </row>
    <row r="28" spans="1:10" x14ac:dyDescent="0.25">
      <c r="A28" s="258"/>
      <c r="B28" s="253"/>
      <c r="C28" s="2" t="s">
        <v>27</v>
      </c>
      <c r="D28" s="3">
        <v>893400</v>
      </c>
      <c r="E28" s="3">
        <f t="shared" si="3"/>
        <v>0</v>
      </c>
      <c r="F28" s="3">
        <f>'2019.05.31.'!G28</f>
        <v>0</v>
      </c>
      <c r="G28" s="3">
        <f>'2019.05.31.'!H28</f>
        <v>0</v>
      </c>
      <c r="H28" s="3">
        <f>'2019.05.31.'!I28</f>
        <v>0</v>
      </c>
      <c r="I28" s="3">
        <f>'2019.05.31.'!J28</f>
        <v>893400</v>
      </c>
      <c r="J28" s="3">
        <f>'2019.05.31.'!K28</f>
        <v>260830</v>
      </c>
    </row>
    <row r="29" spans="1:10" x14ac:dyDescent="0.25">
      <c r="A29" s="258"/>
      <c r="B29" s="253"/>
      <c r="C29" s="2" t="s">
        <v>28</v>
      </c>
      <c r="D29" s="3">
        <v>190000</v>
      </c>
      <c r="E29" s="3">
        <f t="shared" si="3"/>
        <v>0</v>
      </c>
      <c r="F29" s="3">
        <f>'2019.05.31.'!G29</f>
        <v>0</v>
      </c>
      <c r="G29" s="3">
        <f>'2019.05.31.'!H29</f>
        <v>0</v>
      </c>
      <c r="H29" s="3">
        <f>'2019.05.31.'!I29</f>
        <v>0</v>
      </c>
      <c r="I29" s="3">
        <f>'2019.05.31.'!J29</f>
        <v>190000</v>
      </c>
      <c r="J29" s="3">
        <f>'2019.05.31.'!K29</f>
        <v>93000</v>
      </c>
    </row>
    <row r="30" spans="1:10" x14ac:dyDescent="0.25">
      <c r="A30" s="258"/>
      <c r="B30" s="253"/>
      <c r="C30" s="2" t="s">
        <v>29</v>
      </c>
      <c r="D30" s="3">
        <v>1086500</v>
      </c>
      <c r="E30" s="3">
        <f t="shared" si="3"/>
        <v>178678</v>
      </c>
      <c r="F30" s="3">
        <f>'2019.05.31.'!G30</f>
        <v>0</v>
      </c>
      <c r="G30" s="3">
        <f>'2019.05.31.'!H30</f>
        <v>0</v>
      </c>
      <c r="H30" s="3">
        <f>'2019.05.31.'!I30</f>
        <v>0</v>
      </c>
      <c r="I30" s="3">
        <f>'2019.05.31.'!J30</f>
        <v>1265178</v>
      </c>
      <c r="J30" s="3">
        <f>'2019.05.31.'!K30</f>
        <v>314491</v>
      </c>
    </row>
    <row r="31" spans="1:10" x14ac:dyDescent="0.25">
      <c r="A31" s="258"/>
      <c r="B31" s="253"/>
      <c r="C31" s="2" t="s">
        <v>30</v>
      </c>
      <c r="D31" s="3">
        <v>100000</v>
      </c>
      <c r="E31" s="3">
        <f t="shared" si="3"/>
        <v>0</v>
      </c>
      <c r="F31" s="3">
        <f>'2019.05.31.'!G31</f>
        <v>0</v>
      </c>
      <c r="G31" s="3">
        <f>'2019.05.31.'!H31</f>
        <v>0</v>
      </c>
      <c r="H31" s="3">
        <f>'2019.05.31.'!I31</f>
        <v>0</v>
      </c>
      <c r="I31" s="3">
        <f>'2019.05.31.'!J31</f>
        <v>100000</v>
      </c>
      <c r="J31" s="3">
        <f>'2019.05.31.'!K31</f>
        <v>1500</v>
      </c>
    </row>
    <row r="32" spans="1:10" x14ac:dyDescent="0.25">
      <c r="A32" s="258"/>
      <c r="B32" s="253"/>
      <c r="C32" s="6" t="s">
        <v>53</v>
      </c>
      <c r="D32" s="7">
        <f>SUM(D25:D31)</f>
        <v>39774992</v>
      </c>
      <c r="E32" s="7">
        <f t="shared" ref="E32:H32" si="4">SUM(E25:E31)</f>
        <v>0</v>
      </c>
      <c r="F32" s="7">
        <f t="shared" si="4"/>
        <v>0</v>
      </c>
      <c r="G32" s="7">
        <f t="shared" si="4"/>
        <v>11870</v>
      </c>
      <c r="H32" s="7">
        <f t="shared" si="4"/>
        <v>0</v>
      </c>
      <c r="I32" s="7">
        <f>SUM(I25:I31)</f>
        <v>39786862</v>
      </c>
      <c r="J32" s="7">
        <f>SUM(J25:J31)</f>
        <v>14432331</v>
      </c>
    </row>
    <row r="33" spans="1:10" s="74" customFormat="1" x14ac:dyDescent="0.25">
      <c r="A33" s="258"/>
      <c r="B33" s="253"/>
      <c r="C33" s="100" t="s">
        <v>31</v>
      </c>
      <c r="D33" s="87">
        <v>7793417</v>
      </c>
      <c r="E33" s="89">
        <f t="shared" ref="E33:E47" si="5">I33-D33-F33-G33-H33</f>
        <v>0</v>
      </c>
      <c r="F33" s="87">
        <f>'2019.05.31.'!G33</f>
        <v>0</v>
      </c>
      <c r="G33" s="87">
        <f>'2019.05.31.'!H33</f>
        <v>2315</v>
      </c>
      <c r="H33" s="87">
        <f>'2019.05.31.'!I33</f>
        <v>0</v>
      </c>
      <c r="I33" s="89">
        <f>'2019.05.31.'!J33</f>
        <v>7795732</v>
      </c>
      <c r="J33" s="89">
        <f>'2019.05.31.'!K33</f>
        <v>2986891</v>
      </c>
    </row>
    <row r="34" spans="1:10" x14ac:dyDescent="0.25">
      <c r="A34" s="258"/>
      <c r="B34" s="253"/>
      <c r="C34" s="2" t="s">
        <v>32</v>
      </c>
      <c r="D34" s="3">
        <v>105000</v>
      </c>
      <c r="E34" s="3">
        <f t="shared" si="5"/>
        <v>0</v>
      </c>
      <c r="F34" s="3">
        <f>'2019.05.31.'!G34</f>
        <v>0</v>
      </c>
      <c r="G34" s="3">
        <f>'2019.05.31.'!H34</f>
        <v>0</v>
      </c>
      <c r="H34" s="3">
        <f>'2019.05.31.'!I34</f>
        <v>0</v>
      </c>
      <c r="I34" s="3">
        <f>'2019.05.31.'!J34</f>
        <v>105000</v>
      </c>
      <c r="J34" s="3">
        <f>'2019.05.31.'!K34</f>
        <v>17779</v>
      </c>
    </row>
    <row r="35" spans="1:10" x14ac:dyDescent="0.25">
      <c r="A35" s="258"/>
      <c r="B35" s="253"/>
      <c r="C35" s="2" t="s">
        <v>33</v>
      </c>
      <c r="D35" s="3">
        <v>500000</v>
      </c>
      <c r="E35" s="3">
        <f t="shared" si="5"/>
        <v>0</v>
      </c>
      <c r="F35" s="3">
        <f>'2019.05.31.'!G35</f>
        <v>0</v>
      </c>
      <c r="G35" s="3">
        <f>'2019.05.31.'!H35</f>
        <v>0</v>
      </c>
      <c r="H35" s="3">
        <f>'2019.05.31.'!I35</f>
        <v>0</v>
      </c>
      <c r="I35" s="3">
        <f>'2019.05.31.'!J35</f>
        <v>500000</v>
      </c>
      <c r="J35" s="3">
        <f>'2019.05.31.'!K35</f>
        <v>0</v>
      </c>
    </row>
    <row r="36" spans="1:10" x14ac:dyDescent="0.25">
      <c r="A36" s="258"/>
      <c r="B36" s="253"/>
      <c r="C36" s="2" t="s">
        <v>34</v>
      </c>
      <c r="D36" s="3">
        <v>213000</v>
      </c>
      <c r="E36" s="3">
        <f t="shared" si="5"/>
        <v>0</v>
      </c>
      <c r="F36" s="3">
        <f>'2019.05.31.'!G36</f>
        <v>0</v>
      </c>
      <c r="G36" s="3">
        <f>'2019.05.31.'!H36</f>
        <v>0</v>
      </c>
      <c r="H36" s="3">
        <f>'2019.05.31.'!I36</f>
        <v>0</v>
      </c>
      <c r="I36" s="3">
        <f>'2019.05.31.'!J36</f>
        <v>213000</v>
      </c>
      <c r="J36" s="3">
        <f>'2019.05.31.'!K36</f>
        <v>52493</v>
      </c>
    </row>
    <row r="37" spans="1:10" x14ac:dyDescent="0.25">
      <c r="A37" s="258"/>
      <c r="B37" s="253"/>
      <c r="C37" s="2" t="s">
        <v>35</v>
      </c>
      <c r="D37" s="3">
        <v>162000</v>
      </c>
      <c r="E37" s="3">
        <f t="shared" si="5"/>
        <v>0</v>
      </c>
      <c r="F37" s="3">
        <f>'2019.05.31.'!G37</f>
        <v>0</v>
      </c>
      <c r="G37" s="3">
        <f>'2019.05.31.'!H37</f>
        <v>0</v>
      </c>
      <c r="H37" s="3">
        <f>'2019.05.31.'!I37</f>
        <v>0</v>
      </c>
      <c r="I37" s="3">
        <f>'2019.05.31.'!J37</f>
        <v>162000</v>
      </c>
      <c r="J37" s="3">
        <f>'2019.05.31.'!K37</f>
        <v>27395</v>
      </c>
    </row>
    <row r="38" spans="1:10" x14ac:dyDescent="0.25">
      <c r="A38" s="258"/>
      <c r="B38" s="253"/>
      <c r="C38" s="2" t="s">
        <v>36</v>
      </c>
      <c r="D38" s="3">
        <v>569540</v>
      </c>
      <c r="E38" s="3">
        <f t="shared" si="5"/>
        <v>0</v>
      </c>
      <c r="F38" s="3">
        <f>'2019.05.31.'!G38</f>
        <v>0</v>
      </c>
      <c r="G38" s="3">
        <f>'2019.05.31.'!H38</f>
        <v>0</v>
      </c>
      <c r="H38" s="3">
        <f>'2019.05.31.'!I38</f>
        <v>0</v>
      </c>
      <c r="I38" s="3">
        <f>'2019.05.31.'!J38</f>
        <v>569540</v>
      </c>
      <c r="J38" s="3">
        <f>'2019.05.31.'!K38</f>
        <v>292784</v>
      </c>
    </row>
    <row r="39" spans="1:10" x14ac:dyDescent="0.25">
      <c r="A39" s="258"/>
      <c r="B39" s="253"/>
      <c r="C39" s="2" t="s">
        <v>37</v>
      </c>
      <c r="D39" s="3">
        <v>3000</v>
      </c>
      <c r="E39" s="3">
        <f t="shared" si="5"/>
        <v>0</v>
      </c>
      <c r="F39" s="3">
        <f>'2019.05.31.'!G39</f>
        <v>0</v>
      </c>
      <c r="G39" s="3">
        <f>'2019.05.31.'!H39</f>
        <v>0</v>
      </c>
      <c r="H39" s="3">
        <f>'2019.05.31.'!I39</f>
        <v>0</v>
      </c>
      <c r="I39" s="3">
        <f>'2019.05.31.'!J39</f>
        <v>3000</v>
      </c>
      <c r="J39" s="3">
        <f>'2019.05.31.'!K39</f>
        <v>0</v>
      </c>
    </row>
    <row r="40" spans="1:10" x14ac:dyDescent="0.25">
      <c r="A40" s="258"/>
      <c r="B40" s="253"/>
      <c r="C40" s="2" t="s">
        <v>38</v>
      </c>
      <c r="D40" s="3">
        <v>460000</v>
      </c>
      <c r="E40" s="3">
        <f t="shared" si="5"/>
        <v>-3500</v>
      </c>
      <c r="F40" s="3">
        <f>'2019.05.31.'!G40</f>
        <v>0</v>
      </c>
      <c r="G40" s="3">
        <f>'2019.05.31.'!H40</f>
        <v>0</v>
      </c>
      <c r="H40" s="3">
        <f>'2019.05.31.'!I40</f>
        <v>0</v>
      </c>
      <c r="I40" s="3">
        <f>'2019.05.31.'!J40</f>
        <v>456500</v>
      </c>
      <c r="J40" s="3">
        <f>'2019.05.31.'!K40</f>
        <v>88911</v>
      </c>
    </row>
    <row r="41" spans="1:10" x14ac:dyDescent="0.25">
      <c r="A41" s="258"/>
      <c r="B41" s="253"/>
      <c r="C41" s="2" t="s">
        <v>39</v>
      </c>
      <c r="D41" s="3">
        <v>13200</v>
      </c>
      <c r="E41" s="3">
        <f t="shared" si="5"/>
        <v>-1660</v>
      </c>
      <c r="F41" s="3">
        <f>'2019.05.31.'!G41</f>
        <v>5000</v>
      </c>
      <c r="G41" s="3">
        <f>'2019.05.31.'!H41</f>
        <v>0</v>
      </c>
      <c r="H41" s="3">
        <f>'2019.05.31.'!I41</f>
        <v>0</v>
      </c>
      <c r="I41" s="3">
        <f>'2019.05.31.'!J41</f>
        <v>16540</v>
      </c>
      <c r="J41" s="3">
        <f>'2019.05.31.'!K41</f>
        <v>5379</v>
      </c>
    </row>
    <row r="42" spans="1:10" x14ac:dyDescent="0.25">
      <c r="A42" s="258"/>
      <c r="B42" s="253"/>
      <c r="C42" s="2" t="s">
        <v>40</v>
      </c>
      <c r="D42" s="3">
        <v>137800</v>
      </c>
      <c r="E42" s="3">
        <f t="shared" si="5"/>
        <v>0</v>
      </c>
      <c r="F42" s="3">
        <f>'2019.05.31.'!G42</f>
        <v>0</v>
      </c>
      <c r="G42" s="3">
        <f>'2019.05.31.'!H42</f>
        <v>0</v>
      </c>
      <c r="H42" s="3">
        <f>'2019.05.31.'!I42</f>
        <v>0</v>
      </c>
      <c r="I42" s="3">
        <f>'2019.05.31.'!J42</f>
        <v>137800</v>
      </c>
      <c r="J42" s="3">
        <f>'2019.05.31.'!K42</f>
        <v>26300</v>
      </c>
    </row>
    <row r="43" spans="1:10" x14ac:dyDescent="0.25">
      <c r="A43" s="258"/>
      <c r="B43" s="253"/>
      <c r="C43" s="2" t="s">
        <v>41</v>
      </c>
      <c r="D43" s="3">
        <v>582236</v>
      </c>
      <c r="E43" s="3">
        <f t="shared" si="5"/>
        <v>1660</v>
      </c>
      <c r="F43" s="3">
        <f>'2019.05.31.'!G43</f>
        <v>0</v>
      </c>
      <c r="G43" s="3">
        <f>'2019.05.31.'!H43</f>
        <v>0</v>
      </c>
      <c r="H43" s="3">
        <f>'2019.05.31.'!I43</f>
        <v>0</v>
      </c>
      <c r="I43" s="3">
        <f>'2019.05.31.'!J43</f>
        <v>583896</v>
      </c>
      <c r="J43" s="3">
        <f>'2019.05.31.'!K43</f>
        <v>311964</v>
      </c>
    </row>
    <row r="44" spans="1:10" x14ac:dyDescent="0.25">
      <c r="A44" s="258"/>
      <c r="B44" s="253"/>
      <c r="C44" s="2" t="s">
        <v>42</v>
      </c>
      <c r="D44" s="3">
        <v>552000</v>
      </c>
      <c r="E44" s="3">
        <f t="shared" si="5"/>
        <v>-12560</v>
      </c>
      <c r="F44" s="3">
        <f>'2019.05.31.'!G44</f>
        <v>0</v>
      </c>
      <c r="G44" s="3">
        <f>'2019.05.31.'!H44</f>
        <v>0</v>
      </c>
      <c r="H44" s="3">
        <f>'2019.05.31.'!I44</f>
        <v>0</v>
      </c>
      <c r="I44" s="3">
        <f>'2019.05.31.'!J44</f>
        <v>539440</v>
      </c>
      <c r="J44" s="3">
        <f>'2019.05.31.'!K44</f>
        <v>170570</v>
      </c>
    </row>
    <row r="45" spans="1:10" x14ac:dyDescent="0.25">
      <c r="A45" s="258"/>
      <c r="B45" s="253"/>
      <c r="C45" s="2" t="s">
        <v>43</v>
      </c>
      <c r="D45" s="3">
        <v>30000</v>
      </c>
      <c r="E45" s="3">
        <f t="shared" si="5"/>
        <v>0</v>
      </c>
      <c r="F45" s="3">
        <f>'2019.05.31.'!G45</f>
        <v>0</v>
      </c>
      <c r="G45" s="3">
        <f>'2019.05.31.'!H45</f>
        <v>0</v>
      </c>
      <c r="H45" s="3">
        <f>'2019.05.31.'!I45</f>
        <v>0</v>
      </c>
      <c r="I45" s="3">
        <f>'2019.05.31.'!J45</f>
        <v>30000</v>
      </c>
      <c r="J45" s="3">
        <f>'2019.05.31.'!K45</f>
        <v>0</v>
      </c>
    </row>
    <row r="46" spans="1:10" x14ac:dyDescent="0.25">
      <c r="A46" s="258"/>
      <c r="B46" s="253"/>
      <c r="C46" s="2" t="s">
        <v>44</v>
      </c>
      <c r="D46" s="3">
        <v>455834</v>
      </c>
      <c r="E46" s="3">
        <f t="shared" si="5"/>
        <v>-237399</v>
      </c>
      <c r="F46" s="3">
        <f>'2019.05.31.'!G46</f>
        <v>0</v>
      </c>
      <c r="G46" s="3">
        <f>'2019.05.31.'!H46</f>
        <v>0</v>
      </c>
      <c r="H46" s="3">
        <f>'2019.05.31.'!I46</f>
        <v>0</v>
      </c>
      <c r="I46" s="3">
        <f>'2019.05.31.'!J46</f>
        <v>218435</v>
      </c>
      <c r="J46" s="3">
        <f>'2019.05.31.'!K46</f>
        <v>80394</v>
      </c>
    </row>
    <row r="47" spans="1:10" x14ac:dyDescent="0.25">
      <c r="A47" s="258"/>
      <c r="B47" s="253"/>
      <c r="C47" s="2" t="s">
        <v>45</v>
      </c>
      <c r="D47" s="3">
        <v>80000</v>
      </c>
      <c r="E47" s="3">
        <f t="shared" si="5"/>
        <v>-4236</v>
      </c>
      <c r="F47" s="3">
        <f>'2019.05.31.'!G47</f>
        <v>0</v>
      </c>
      <c r="G47" s="3">
        <f>'2019.05.31.'!H47</f>
        <v>0</v>
      </c>
      <c r="H47" s="3">
        <f>'2019.05.31.'!I47</f>
        <v>0</v>
      </c>
      <c r="I47" s="3">
        <f>'2019.05.31.'!J47</f>
        <v>75764</v>
      </c>
      <c r="J47" s="3">
        <f>'2019.05.31.'!K47</f>
        <v>32520</v>
      </c>
    </row>
    <row r="48" spans="1:10" x14ac:dyDescent="0.25">
      <c r="A48" s="258"/>
      <c r="B48" s="253"/>
      <c r="C48" s="6" t="s">
        <v>49</v>
      </c>
      <c r="D48" s="7">
        <f>SUM(D34:D47)</f>
        <v>3863610</v>
      </c>
      <c r="E48" s="7">
        <f t="shared" ref="E48:I48" si="6">SUM(E34:E47)</f>
        <v>-257695</v>
      </c>
      <c r="F48" s="7">
        <f t="shared" si="6"/>
        <v>5000</v>
      </c>
      <c r="G48" s="7">
        <f t="shared" si="6"/>
        <v>0</v>
      </c>
      <c r="H48" s="7">
        <f t="shared" si="6"/>
        <v>0</v>
      </c>
      <c r="I48" s="7">
        <f t="shared" si="6"/>
        <v>3610915</v>
      </c>
      <c r="J48" s="7">
        <f t="shared" ref="J48" si="7">SUM(J34:J47)</f>
        <v>1106489</v>
      </c>
    </row>
    <row r="49" spans="1:10" x14ac:dyDescent="0.25">
      <c r="A49" s="258"/>
      <c r="B49" s="253"/>
      <c r="C49" s="2" t="s">
        <v>50</v>
      </c>
      <c r="D49" s="3">
        <v>78740</v>
      </c>
      <c r="E49" s="3">
        <f t="shared" ref="E49:E50" si="8">I49-D49-F49-G49-H49</f>
        <v>0</v>
      </c>
      <c r="F49" s="3">
        <f>'2019.05.31.'!G49</f>
        <v>0</v>
      </c>
      <c r="G49" s="3">
        <f>'2019.05.31.'!H49</f>
        <v>0</v>
      </c>
      <c r="H49" s="3">
        <f>'2019.05.31.'!I49</f>
        <v>0</v>
      </c>
      <c r="I49" s="3">
        <f>'2019.05.31.'!J49</f>
        <v>78740</v>
      </c>
      <c r="J49" s="3">
        <f>'2019.05.31.'!K49</f>
        <v>0</v>
      </c>
    </row>
    <row r="50" spans="1:10" x14ac:dyDescent="0.25">
      <c r="A50" s="258"/>
      <c r="B50" s="253"/>
      <c r="C50" s="2" t="s">
        <v>51</v>
      </c>
      <c r="D50" s="3">
        <v>21260</v>
      </c>
      <c r="E50" s="3">
        <f t="shared" si="8"/>
        <v>0</v>
      </c>
      <c r="F50" s="3">
        <f>'2019.05.31.'!G50</f>
        <v>0</v>
      </c>
      <c r="G50" s="3">
        <f>'2019.05.31.'!H50</f>
        <v>0</v>
      </c>
      <c r="H50" s="3">
        <f>'2019.05.31.'!I50</f>
        <v>0</v>
      </c>
      <c r="I50" s="3">
        <f>'2019.05.31.'!J50</f>
        <v>21260</v>
      </c>
      <c r="J50" s="3">
        <f>'2019.05.31.'!K50</f>
        <v>0</v>
      </c>
    </row>
    <row r="51" spans="1:10" x14ac:dyDescent="0.25">
      <c r="A51" s="258"/>
      <c r="B51" s="254"/>
      <c r="C51" s="6" t="s">
        <v>52</v>
      </c>
      <c r="D51" s="7">
        <f>SUM(D49:D50)</f>
        <v>100000</v>
      </c>
      <c r="E51" s="7">
        <f t="shared" ref="E51:I51" si="9">SUM(E49:E50)</f>
        <v>0</v>
      </c>
      <c r="F51" s="7">
        <f t="shared" si="9"/>
        <v>0</v>
      </c>
      <c r="G51" s="7">
        <f t="shared" si="9"/>
        <v>0</v>
      </c>
      <c r="H51" s="7">
        <f t="shared" si="9"/>
        <v>0</v>
      </c>
      <c r="I51" s="7">
        <f t="shared" si="9"/>
        <v>100000</v>
      </c>
      <c r="J51" s="7">
        <f t="shared" ref="J51" si="10">SUM(J49:J50)</f>
        <v>0</v>
      </c>
    </row>
    <row r="52" spans="1:10" x14ac:dyDescent="0.25">
      <c r="A52" s="258"/>
      <c r="B52" s="268" t="s">
        <v>46</v>
      </c>
      <c r="C52" s="2" t="s">
        <v>24</v>
      </c>
      <c r="D52" s="3">
        <v>25123345</v>
      </c>
      <c r="E52" s="3">
        <f t="shared" ref="E52:E60" si="11">I52-D52-F52-G52-H52</f>
        <v>0</v>
      </c>
      <c r="F52" s="3">
        <f>'2019.05.31.'!G52</f>
        <v>0</v>
      </c>
      <c r="G52" s="3">
        <f>'2019.05.31.'!H52</f>
        <v>19936</v>
      </c>
      <c r="H52" s="3">
        <f>'2019.05.31.'!I52</f>
        <v>0</v>
      </c>
      <c r="I52" s="3">
        <f>'2019.05.31.'!J52</f>
        <v>25143281</v>
      </c>
      <c r="J52" s="3">
        <f>'2019.05.31.'!K52</f>
        <v>9499281</v>
      </c>
    </row>
    <row r="53" spans="1:10" x14ac:dyDescent="0.25">
      <c r="A53" s="258"/>
      <c r="B53" s="268"/>
      <c r="C53" s="2" t="s">
        <v>47</v>
      </c>
      <c r="D53" s="3">
        <v>2040480</v>
      </c>
      <c r="E53" s="3">
        <f t="shared" si="11"/>
        <v>0</v>
      </c>
      <c r="F53" s="3">
        <f>'2019.05.31.'!G53</f>
        <v>0</v>
      </c>
      <c r="G53" s="3">
        <f>'2019.05.31.'!H53</f>
        <v>0</v>
      </c>
      <c r="H53" s="3">
        <f>'2019.05.31.'!I53</f>
        <v>0</v>
      </c>
      <c r="I53" s="3">
        <f>'2019.05.31.'!J53</f>
        <v>2040480</v>
      </c>
      <c r="J53" s="3">
        <f>'2019.05.31.'!K53</f>
        <v>785829</v>
      </c>
    </row>
    <row r="54" spans="1:10" x14ac:dyDescent="0.25">
      <c r="A54" s="258"/>
      <c r="B54" s="268"/>
      <c r="C54" s="2" t="s">
        <v>48</v>
      </c>
      <c r="D54" s="3">
        <v>0</v>
      </c>
      <c r="E54" s="3">
        <f t="shared" si="11"/>
        <v>0</v>
      </c>
      <c r="F54" s="3">
        <f>'2019.05.31.'!G54</f>
        <v>0</v>
      </c>
      <c r="G54" s="3">
        <f>'2019.05.31.'!H54</f>
        <v>0</v>
      </c>
      <c r="H54" s="3">
        <f>'2019.05.31.'!I54</f>
        <v>0</v>
      </c>
      <c r="I54" s="3">
        <f>'2019.05.31.'!J54</f>
        <v>0</v>
      </c>
      <c r="J54" s="3">
        <f>'2019.05.31.'!K54</f>
        <v>0</v>
      </c>
    </row>
    <row r="55" spans="1:10" x14ac:dyDescent="0.25">
      <c r="A55" s="258"/>
      <c r="B55" s="268"/>
      <c r="C55" s="2" t="s">
        <v>25</v>
      </c>
      <c r="D55" s="3">
        <v>1025000</v>
      </c>
      <c r="E55" s="3">
        <f t="shared" si="11"/>
        <v>0</v>
      </c>
      <c r="F55" s="3">
        <f>'2019.05.31.'!G55</f>
        <v>0</v>
      </c>
      <c r="G55" s="3">
        <f>'2019.05.31.'!H55</f>
        <v>0</v>
      </c>
      <c r="H55" s="3">
        <f>'2019.05.31.'!I55</f>
        <v>0</v>
      </c>
      <c r="I55" s="3">
        <f>'2019.05.31.'!J55</f>
        <v>1025000</v>
      </c>
      <c r="J55" s="3">
        <f>'2019.05.31.'!K55</f>
        <v>450000</v>
      </c>
    </row>
    <row r="56" spans="1:10" x14ac:dyDescent="0.25">
      <c r="A56" s="258"/>
      <c r="B56" s="268"/>
      <c r="C56" s="2" t="s">
        <v>26</v>
      </c>
      <c r="D56" s="3">
        <v>60000</v>
      </c>
      <c r="E56" s="3">
        <f t="shared" si="11"/>
        <v>0</v>
      </c>
      <c r="F56" s="3">
        <f>'2019.05.31.'!G56</f>
        <v>0</v>
      </c>
      <c r="G56" s="3">
        <f>'2019.05.31.'!H56</f>
        <v>0</v>
      </c>
      <c r="H56" s="3">
        <f>'2019.05.31.'!I56</f>
        <v>0</v>
      </c>
      <c r="I56" s="3">
        <f>'2019.05.31.'!J56</f>
        <v>60000</v>
      </c>
      <c r="J56" s="3">
        <f>'2019.05.31.'!K56</f>
        <v>0</v>
      </c>
    </row>
    <row r="57" spans="1:10" x14ac:dyDescent="0.25">
      <c r="A57" s="258"/>
      <c r="B57" s="268"/>
      <c r="C57" s="2" t="s">
        <v>27</v>
      </c>
      <c r="D57" s="3">
        <v>240000</v>
      </c>
      <c r="E57" s="3">
        <f t="shared" si="11"/>
        <v>0</v>
      </c>
      <c r="F57" s="3">
        <f>'2019.05.31.'!G57</f>
        <v>0</v>
      </c>
      <c r="G57" s="3">
        <f>'2019.05.31.'!H57</f>
        <v>0</v>
      </c>
      <c r="H57" s="3">
        <f>'2019.05.31.'!I57</f>
        <v>0</v>
      </c>
      <c r="I57" s="3">
        <f>'2019.05.31.'!J57</f>
        <v>240000</v>
      </c>
      <c r="J57" s="3">
        <f>'2019.05.31.'!K57</f>
        <v>57870</v>
      </c>
    </row>
    <row r="58" spans="1:10" x14ac:dyDescent="0.25">
      <c r="A58" s="258"/>
      <c r="B58" s="268"/>
      <c r="C58" s="2" t="s">
        <v>28</v>
      </c>
      <c r="D58" s="3">
        <v>147000</v>
      </c>
      <c r="E58" s="3">
        <f t="shared" si="11"/>
        <v>0</v>
      </c>
      <c r="F58" s="3">
        <f>'2019.05.31.'!G58</f>
        <v>0</v>
      </c>
      <c r="G58" s="3">
        <f>'2019.05.31.'!H58</f>
        <v>0</v>
      </c>
      <c r="H58" s="3">
        <f>'2019.05.31.'!I58</f>
        <v>0</v>
      </c>
      <c r="I58" s="3">
        <f>'2019.05.31.'!J58</f>
        <v>147000</v>
      </c>
      <c r="J58" s="3">
        <f>'2019.05.31.'!K58</f>
        <v>57000</v>
      </c>
    </row>
    <row r="59" spans="1:10" x14ac:dyDescent="0.25">
      <c r="A59" s="258"/>
      <c r="B59" s="268"/>
      <c r="C59" s="2" t="s">
        <v>29</v>
      </c>
      <c r="D59" s="3">
        <v>553500</v>
      </c>
      <c r="E59" s="3">
        <f t="shared" si="11"/>
        <v>0</v>
      </c>
      <c r="F59" s="3">
        <f>'2019.05.31.'!G59</f>
        <v>0</v>
      </c>
      <c r="G59" s="3">
        <f>'2019.05.31.'!H59</f>
        <v>0</v>
      </c>
      <c r="H59" s="3">
        <f>'2019.05.31.'!I59</f>
        <v>0</v>
      </c>
      <c r="I59" s="3">
        <f>'2019.05.31.'!J59</f>
        <v>553500</v>
      </c>
      <c r="J59" s="3">
        <f>'2019.05.31.'!K59</f>
        <v>173817</v>
      </c>
    </row>
    <row r="60" spans="1:10" x14ac:dyDescent="0.25">
      <c r="A60" s="258"/>
      <c r="B60" s="268"/>
      <c r="C60" s="2" t="s">
        <v>30</v>
      </c>
      <c r="D60" s="3">
        <v>100000</v>
      </c>
      <c r="E60" s="3">
        <f t="shared" si="11"/>
        <v>0</v>
      </c>
      <c r="F60" s="3">
        <f>'2019.05.31.'!G60</f>
        <v>0</v>
      </c>
      <c r="G60" s="3">
        <f>'2019.05.31.'!H60</f>
        <v>0</v>
      </c>
      <c r="H60" s="3">
        <f>'2019.05.31.'!I60</f>
        <v>0</v>
      </c>
      <c r="I60" s="3">
        <f>'2019.05.31.'!J60</f>
        <v>100000</v>
      </c>
      <c r="J60" s="3">
        <f>'2019.05.31.'!K60</f>
        <v>1500</v>
      </c>
    </row>
    <row r="61" spans="1:10" x14ac:dyDescent="0.25">
      <c r="A61" s="258"/>
      <c r="B61" s="268"/>
      <c r="C61" s="6" t="s">
        <v>53</v>
      </c>
      <c r="D61" s="7">
        <f>SUM(D52:D60)</f>
        <v>29289325</v>
      </c>
      <c r="E61" s="7">
        <f t="shared" ref="E61:I61" si="12">SUM(E52:E60)</f>
        <v>0</v>
      </c>
      <c r="F61" s="7">
        <f t="shared" si="12"/>
        <v>0</v>
      </c>
      <c r="G61" s="7">
        <f t="shared" si="12"/>
        <v>19936</v>
      </c>
      <c r="H61" s="7">
        <f t="shared" si="12"/>
        <v>0</v>
      </c>
      <c r="I61" s="7">
        <f t="shared" si="12"/>
        <v>29309261</v>
      </c>
      <c r="J61" s="7">
        <f t="shared" ref="J61" si="13">SUM(J52:J60)</f>
        <v>11025297</v>
      </c>
    </row>
    <row r="62" spans="1:10" s="74" customFormat="1" x14ac:dyDescent="0.25">
      <c r="A62" s="258"/>
      <c r="B62" s="268"/>
      <c r="C62" s="100" t="s">
        <v>31</v>
      </c>
      <c r="D62" s="87">
        <v>5849797</v>
      </c>
      <c r="E62" s="89">
        <f t="shared" ref="E62:E75" si="14">I62-D62-F62-G62-H62</f>
        <v>0</v>
      </c>
      <c r="F62" s="87">
        <f>'2019.05.31.'!G62</f>
        <v>0</v>
      </c>
      <c r="G62" s="87">
        <f>'2019.05.31.'!H62</f>
        <v>3888</v>
      </c>
      <c r="H62" s="87">
        <f>'2019.05.31.'!I62</f>
        <v>0</v>
      </c>
      <c r="I62" s="89">
        <f>'2019.05.31.'!J62</f>
        <v>5853685</v>
      </c>
      <c r="J62" s="89">
        <f>'2019.05.31.'!K62</f>
        <v>2390718</v>
      </c>
    </row>
    <row r="63" spans="1:10" x14ac:dyDescent="0.25">
      <c r="A63" s="258"/>
      <c r="B63" s="268"/>
      <c r="C63" s="2" t="s">
        <v>32</v>
      </c>
      <c r="D63" s="3">
        <v>105000</v>
      </c>
      <c r="E63" s="3">
        <f t="shared" si="14"/>
        <v>0</v>
      </c>
      <c r="F63" s="3">
        <f>'2019.05.31.'!G63</f>
        <v>0</v>
      </c>
      <c r="G63" s="3">
        <f>'2019.05.31.'!H63</f>
        <v>0</v>
      </c>
      <c r="H63" s="3">
        <f>'2019.05.31.'!I63</f>
        <v>0</v>
      </c>
      <c r="I63" s="3">
        <f>'2019.05.31.'!J63</f>
        <v>105000</v>
      </c>
      <c r="J63" s="3">
        <f>'2019.05.31.'!K63</f>
        <v>17780</v>
      </c>
    </row>
    <row r="64" spans="1:10" x14ac:dyDescent="0.25">
      <c r="A64" s="258"/>
      <c r="B64" s="268"/>
      <c r="C64" s="2" t="s">
        <v>33</v>
      </c>
      <c r="D64" s="3">
        <v>700000</v>
      </c>
      <c r="E64" s="3">
        <f t="shared" si="14"/>
        <v>0</v>
      </c>
      <c r="F64" s="3">
        <f>'2019.05.31.'!G64</f>
        <v>0</v>
      </c>
      <c r="G64" s="3">
        <f>'2019.05.31.'!H64</f>
        <v>0</v>
      </c>
      <c r="H64" s="3">
        <f>'2019.05.31.'!I64</f>
        <v>0</v>
      </c>
      <c r="I64" s="3">
        <f>'2019.05.31.'!J64</f>
        <v>700000</v>
      </c>
      <c r="J64" s="3">
        <f>'2019.05.31.'!K64</f>
        <v>13072</v>
      </c>
    </row>
    <row r="65" spans="1:10" x14ac:dyDescent="0.25">
      <c r="A65" s="258"/>
      <c r="B65" s="268"/>
      <c r="C65" s="2" t="s">
        <v>34</v>
      </c>
      <c r="D65" s="3">
        <v>213000</v>
      </c>
      <c r="E65" s="3">
        <f t="shared" si="14"/>
        <v>0</v>
      </c>
      <c r="F65" s="3">
        <f>'2019.05.31.'!G65</f>
        <v>0</v>
      </c>
      <c r="G65" s="3">
        <f>'2019.05.31.'!H65</f>
        <v>0</v>
      </c>
      <c r="H65" s="3">
        <f>'2019.05.31.'!I65</f>
        <v>0</v>
      </c>
      <c r="I65" s="3">
        <f>'2019.05.31.'!J65</f>
        <v>213000</v>
      </c>
      <c r="J65" s="3">
        <f>'2019.05.31.'!K65</f>
        <v>52494</v>
      </c>
    </row>
    <row r="66" spans="1:10" x14ac:dyDescent="0.25">
      <c r="A66" s="258"/>
      <c r="B66" s="268"/>
      <c r="C66" s="2" t="s">
        <v>35</v>
      </c>
      <c r="D66" s="3">
        <v>288000</v>
      </c>
      <c r="E66" s="3">
        <f t="shared" si="14"/>
        <v>-172800</v>
      </c>
      <c r="F66" s="3">
        <f>'2019.05.31.'!G66</f>
        <v>7000</v>
      </c>
      <c r="G66" s="3">
        <f>'2019.05.31.'!H66</f>
        <v>0</v>
      </c>
      <c r="H66" s="3">
        <f>'2019.05.31.'!I66</f>
        <v>0</v>
      </c>
      <c r="I66" s="3">
        <f>'2019.05.31.'!J66</f>
        <v>122200</v>
      </c>
      <c r="J66" s="3">
        <f>'2019.05.31.'!K66</f>
        <v>46264</v>
      </c>
    </row>
    <row r="67" spans="1:10" x14ac:dyDescent="0.25">
      <c r="A67" s="258"/>
      <c r="B67" s="268"/>
      <c r="C67" s="2" t="s">
        <v>36</v>
      </c>
      <c r="D67" s="3">
        <v>669540</v>
      </c>
      <c r="E67" s="3">
        <f t="shared" si="14"/>
        <v>0</v>
      </c>
      <c r="F67" s="3">
        <f>'2019.05.31.'!G67</f>
        <v>0</v>
      </c>
      <c r="G67" s="3">
        <f>'2019.05.31.'!H67</f>
        <v>0</v>
      </c>
      <c r="H67" s="3">
        <f>'2019.05.31.'!I67</f>
        <v>0</v>
      </c>
      <c r="I67" s="3">
        <f>'2019.05.31.'!J67</f>
        <v>669540</v>
      </c>
      <c r="J67" s="3">
        <f>'2019.05.31.'!K67</f>
        <v>354606</v>
      </c>
    </row>
    <row r="68" spans="1:10" x14ac:dyDescent="0.25">
      <c r="A68" s="258"/>
      <c r="B68" s="268"/>
      <c r="C68" s="2" t="s">
        <v>37</v>
      </c>
      <c r="D68" s="3">
        <v>123000</v>
      </c>
      <c r="E68" s="3">
        <f t="shared" si="14"/>
        <v>0</v>
      </c>
      <c r="F68" s="3">
        <f>'2019.05.31.'!G68</f>
        <v>0</v>
      </c>
      <c r="G68" s="3">
        <f>'2019.05.31.'!H68</f>
        <v>0</v>
      </c>
      <c r="H68" s="3">
        <f>'2019.05.31.'!I68</f>
        <v>0</v>
      </c>
      <c r="I68" s="3">
        <f>'2019.05.31.'!J68</f>
        <v>123000</v>
      </c>
      <c r="J68" s="3">
        <f>'2019.05.31.'!K68</f>
        <v>0</v>
      </c>
    </row>
    <row r="69" spans="1:10" x14ac:dyDescent="0.25">
      <c r="A69" s="258"/>
      <c r="B69" s="268"/>
      <c r="C69" s="2" t="s">
        <v>38</v>
      </c>
      <c r="D69" s="3">
        <v>460000</v>
      </c>
      <c r="E69" s="3">
        <f t="shared" si="14"/>
        <v>0</v>
      </c>
      <c r="F69" s="3">
        <f>'2019.05.31.'!G69</f>
        <v>0</v>
      </c>
      <c r="G69" s="3">
        <f>'2019.05.31.'!H69</f>
        <v>0</v>
      </c>
      <c r="H69" s="3">
        <f>'2019.05.31.'!I69</f>
        <v>0</v>
      </c>
      <c r="I69" s="3">
        <f>'2019.05.31.'!J69</f>
        <v>460000</v>
      </c>
      <c r="J69" s="3">
        <f>'2019.05.31.'!K69</f>
        <v>88914</v>
      </c>
    </row>
    <row r="70" spans="1:10" x14ac:dyDescent="0.25">
      <c r="A70" s="258"/>
      <c r="B70" s="268"/>
      <c r="C70" s="2" t="s">
        <v>40</v>
      </c>
      <c r="D70" s="3">
        <v>1361904</v>
      </c>
      <c r="E70" s="3">
        <f t="shared" si="14"/>
        <v>0</v>
      </c>
      <c r="F70" s="3">
        <f>'2019.05.31.'!G70</f>
        <v>0</v>
      </c>
      <c r="G70" s="3">
        <f>'2019.05.31.'!H70</f>
        <v>0</v>
      </c>
      <c r="H70" s="3">
        <f>'2019.05.31.'!I70</f>
        <v>0</v>
      </c>
      <c r="I70" s="3">
        <f>'2019.05.31.'!J70</f>
        <v>1361904</v>
      </c>
      <c r="J70" s="3">
        <f>'2019.05.31.'!K70</f>
        <v>272068</v>
      </c>
    </row>
    <row r="71" spans="1:10" x14ac:dyDescent="0.25">
      <c r="A71" s="258"/>
      <c r="B71" s="268"/>
      <c r="C71" s="2" t="s">
        <v>41</v>
      </c>
      <c r="D71" s="3">
        <v>982236</v>
      </c>
      <c r="E71" s="3">
        <f t="shared" si="14"/>
        <v>0</v>
      </c>
      <c r="F71" s="3">
        <f>'2019.05.31.'!G71</f>
        <v>0</v>
      </c>
      <c r="G71" s="3">
        <f>'2019.05.31.'!H71</f>
        <v>0</v>
      </c>
      <c r="H71" s="3">
        <f>'2019.05.31.'!I71</f>
        <v>0</v>
      </c>
      <c r="I71" s="3">
        <f>'2019.05.31.'!J71</f>
        <v>982236</v>
      </c>
      <c r="J71" s="3">
        <f>'2019.05.31.'!K71</f>
        <v>321879</v>
      </c>
    </row>
    <row r="72" spans="1:10" x14ac:dyDescent="0.25">
      <c r="A72" s="258"/>
      <c r="B72" s="268"/>
      <c r="C72" s="2" t="s">
        <v>42</v>
      </c>
      <c r="D72" s="3">
        <v>1200000</v>
      </c>
      <c r="E72" s="3">
        <f t="shared" si="14"/>
        <v>-52040</v>
      </c>
      <c r="F72" s="3">
        <f>'2019.05.31.'!G72</f>
        <v>0</v>
      </c>
      <c r="G72" s="3">
        <f>'2019.05.31.'!H72</f>
        <v>0</v>
      </c>
      <c r="H72" s="3">
        <f>'2019.05.31.'!I72</f>
        <v>0</v>
      </c>
      <c r="I72" s="3">
        <f>'2019.05.31.'!J72</f>
        <v>1147960</v>
      </c>
      <c r="J72" s="3">
        <f>'2019.05.31.'!K72</f>
        <v>164335</v>
      </c>
    </row>
    <row r="73" spans="1:10" x14ac:dyDescent="0.25">
      <c r="A73" s="258"/>
      <c r="B73" s="268"/>
      <c r="C73" s="2" t="s">
        <v>43</v>
      </c>
      <c r="D73" s="3">
        <v>30000</v>
      </c>
      <c r="E73" s="3">
        <f t="shared" si="14"/>
        <v>0</v>
      </c>
      <c r="F73" s="3">
        <f>'2019.05.31.'!G73</f>
        <v>0</v>
      </c>
      <c r="G73" s="3">
        <f>'2019.05.31.'!H73</f>
        <v>0</v>
      </c>
      <c r="H73" s="3">
        <f>'2019.05.31.'!I73</f>
        <v>0</v>
      </c>
      <c r="I73" s="3">
        <f>'2019.05.31.'!J73</f>
        <v>30000</v>
      </c>
      <c r="J73" s="3">
        <f>'2019.05.31.'!K73</f>
        <v>0</v>
      </c>
    </row>
    <row r="74" spans="1:10" x14ac:dyDescent="0.25">
      <c r="A74" s="258"/>
      <c r="B74" s="268"/>
      <c r="C74" s="2" t="s">
        <v>44</v>
      </c>
      <c r="D74" s="3">
        <v>1041508</v>
      </c>
      <c r="E74" s="3">
        <f t="shared" si="14"/>
        <v>-61085</v>
      </c>
      <c r="F74" s="3">
        <f>'2019.05.31.'!G74</f>
        <v>0</v>
      </c>
      <c r="G74" s="3">
        <f>'2019.05.31.'!H74</f>
        <v>0</v>
      </c>
      <c r="H74" s="3">
        <f>'2019.05.31.'!I74</f>
        <v>0</v>
      </c>
      <c r="I74" s="3">
        <f>'2019.05.31.'!J74</f>
        <v>980423</v>
      </c>
      <c r="J74" s="3">
        <f>'2019.05.31.'!K74</f>
        <v>149842</v>
      </c>
    </row>
    <row r="75" spans="1:10" x14ac:dyDescent="0.25">
      <c r="A75" s="258"/>
      <c r="B75" s="268"/>
      <c r="C75" s="2" t="s">
        <v>45</v>
      </c>
      <c r="D75" s="3">
        <v>433021</v>
      </c>
      <c r="E75" s="3">
        <f t="shared" si="14"/>
        <v>-272618</v>
      </c>
      <c r="F75" s="3">
        <f>'2019.05.31.'!G75</f>
        <v>0</v>
      </c>
      <c r="G75" s="3">
        <f>'2019.05.31.'!H75</f>
        <v>0</v>
      </c>
      <c r="H75" s="3">
        <f>'2019.05.31.'!I75</f>
        <v>0</v>
      </c>
      <c r="I75" s="3">
        <f>'2019.05.31.'!J75</f>
        <v>160403</v>
      </c>
      <c r="J75" s="3">
        <f>'2019.05.31.'!K75</f>
        <v>0</v>
      </c>
    </row>
    <row r="76" spans="1:10" x14ac:dyDescent="0.25">
      <c r="A76" s="258"/>
      <c r="B76" s="268"/>
      <c r="C76" s="6" t="s">
        <v>49</v>
      </c>
      <c r="D76" s="7">
        <f>SUM(D63:D75)</f>
        <v>7607209</v>
      </c>
      <c r="E76" s="7">
        <f t="shared" ref="E76:I76" si="15">SUM(E63:E75)</f>
        <v>-558543</v>
      </c>
      <c r="F76" s="7">
        <f t="shared" si="15"/>
        <v>7000</v>
      </c>
      <c r="G76" s="7">
        <f t="shared" si="15"/>
        <v>0</v>
      </c>
      <c r="H76" s="7">
        <f t="shared" si="15"/>
        <v>0</v>
      </c>
      <c r="I76" s="7">
        <f t="shared" si="15"/>
        <v>7055666</v>
      </c>
      <c r="J76" s="7">
        <f t="shared" ref="J76" si="16">SUM(J63:J75)</f>
        <v>1481254</v>
      </c>
    </row>
    <row r="77" spans="1:10" x14ac:dyDescent="0.25">
      <c r="A77" s="258"/>
      <c r="B77" s="268"/>
      <c r="C77" s="2" t="s">
        <v>50</v>
      </c>
      <c r="D77" s="3">
        <v>78740</v>
      </c>
      <c r="E77" s="3">
        <f t="shared" ref="E77:E78" si="17">I77-D77-F77-G77-H77</f>
        <v>0</v>
      </c>
      <c r="F77" s="3">
        <f>'2019.05.31.'!G77</f>
        <v>0</v>
      </c>
      <c r="G77" s="3">
        <f>'2019.05.31.'!H77</f>
        <v>0</v>
      </c>
      <c r="H77" s="3">
        <f>'2019.05.31.'!I77</f>
        <v>0</v>
      </c>
      <c r="I77" s="3">
        <f>'2019.05.31.'!J77</f>
        <v>78740</v>
      </c>
      <c r="J77" s="3">
        <f>'2019.05.31.'!K77</f>
        <v>0</v>
      </c>
    </row>
    <row r="78" spans="1:10" x14ac:dyDescent="0.25">
      <c r="A78" s="258"/>
      <c r="B78" s="268"/>
      <c r="C78" s="2" t="s">
        <v>51</v>
      </c>
      <c r="D78" s="3">
        <v>21260</v>
      </c>
      <c r="E78" s="3">
        <f t="shared" si="17"/>
        <v>0</v>
      </c>
      <c r="F78" s="3">
        <f>'2019.05.31.'!G78</f>
        <v>0</v>
      </c>
      <c r="G78" s="3">
        <f>'2019.05.31.'!H78</f>
        <v>0</v>
      </c>
      <c r="H78" s="3">
        <f>'2019.05.31.'!I78</f>
        <v>0</v>
      </c>
      <c r="I78" s="3">
        <f>'2019.05.31.'!J78</f>
        <v>21260</v>
      </c>
      <c r="J78" s="3">
        <f>'2019.05.31.'!K78</f>
        <v>0</v>
      </c>
    </row>
    <row r="79" spans="1:10" x14ac:dyDescent="0.25">
      <c r="A79" s="258"/>
      <c r="B79" s="268"/>
      <c r="C79" s="6" t="s">
        <v>52</v>
      </c>
      <c r="D79" s="7">
        <f>SUM(D77:D78)</f>
        <v>100000</v>
      </c>
      <c r="E79" s="7">
        <f t="shared" ref="E79:I79" si="18">SUM(E77:E78)</f>
        <v>0</v>
      </c>
      <c r="F79" s="7">
        <f t="shared" si="18"/>
        <v>0</v>
      </c>
      <c r="G79" s="7">
        <f t="shared" si="18"/>
        <v>0</v>
      </c>
      <c r="H79" s="7">
        <f t="shared" si="18"/>
        <v>0</v>
      </c>
      <c r="I79" s="7">
        <f t="shared" si="18"/>
        <v>100000</v>
      </c>
      <c r="J79" s="7">
        <f t="shared" ref="J79" si="19">SUM(J77:J78)</f>
        <v>0</v>
      </c>
    </row>
    <row r="80" spans="1:10" x14ac:dyDescent="0.25">
      <c r="A80" s="259" t="s">
        <v>58</v>
      </c>
      <c r="B80" s="261" t="s">
        <v>46</v>
      </c>
      <c r="C80" s="15" t="s">
        <v>29</v>
      </c>
      <c r="D80" s="24">
        <v>410400</v>
      </c>
      <c r="E80" s="3">
        <f t="shared" ref="E80:E87" si="20">I80-D80-F80-G80-H80</f>
        <v>0</v>
      </c>
      <c r="F80" s="11">
        <f>'2019.05.31.'!G80</f>
        <v>0</v>
      </c>
      <c r="G80" s="11">
        <f>'2019.05.31.'!H80</f>
        <v>0</v>
      </c>
      <c r="H80" s="11">
        <f>'2019.05.31.'!I80</f>
        <v>0</v>
      </c>
      <c r="I80" s="3">
        <f>'2019.05.31.'!J80</f>
        <v>410400</v>
      </c>
      <c r="J80" s="3">
        <f>'2019.05.31.'!K80</f>
        <v>177400</v>
      </c>
    </row>
    <row r="81" spans="1:10" x14ac:dyDescent="0.25">
      <c r="A81" s="260"/>
      <c r="B81" s="262"/>
      <c r="C81" s="15" t="s">
        <v>31</v>
      </c>
      <c r="D81" s="24">
        <v>76266</v>
      </c>
      <c r="E81" s="3">
        <f t="shared" si="20"/>
        <v>0</v>
      </c>
      <c r="F81" s="11">
        <f>'2019.05.31.'!G81</f>
        <v>0</v>
      </c>
      <c r="G81" s="11">
        <f>'2019.05.31.'!H81</f>
        <v>0</v>
      </c>
      <c r="H81" s="11">
        <f>'2019.05.31.'!I81</f>
        <v>0</v>
      </c>
      <c r="I81" s="3">
        <f>'2019.05.31.'!J81</f>
        <v>76266</v>
      </c>
      <c r="J81" s="3">
        <f>'2019.05.31.'!K81</f>
        <v>34593</v>
      </c>
    </row>
    <row r="82" spans="1:10" x14ac:dyDescent="0.25">
      <c r="A82" s="259" t="s">
        <v>59</v>
      </c>
      <c r="B82" s="261" t="s">
        <v>23</v>
      </c>
      <c r="C82" s="15" t="s">
        <v>29</v>
      </c>
      <c r="D82" s="24">
        <v>603600</v>
      </c>
      <c r="E82" s="3">
        <f t="shared" si="20"/>
        <v>0</v>
      </c>
      <c r="F82" s="11">
        <f>'2019.05.31.'!G82</f>
        <v>0</v>
      </c>
      <c r="G82" s="11">
        <f>'2019.05.31.'!H82</f>
        <v>0</v>
      </c>
      <c r="H82" s="11">
        <f>'2019.05.31.'!I82</f>
        <v>0</v>
      </c>
      <c r="I82" s="3">
        <f>'2019.05.31.'!J82</f>
        <v>603600</v>
      </c>
      <c r="J82" s="3">
        <f>'2019.05.31.'!K82</f>
        <v>156300</v>
      </c>
    </row>
    <row r="83" spans="1:10" x14ac:dyDescent="0.25">
      <c r="A83" s="260"/>
      <c r="B83" s="262"/>
      <c r="C83" s="15" t="s">
        <v>31</v>
      </c>
      <c r="D83" s="24">
        <v>112169</v>
      </c>
      <c r="E83" s="3">
        <f t="shared" si="20"/>
        <v>0</v>
      </c>
      <c r="F83" s="11">
        <f>'2019.05.31.'!G83</f>
        <v>0</v>
      </c>
      <c r="G83" s="11">
        <f>'2019.05.31.'!H83</f>
        <v>0</v>
      </c>
      <c r="H83" s="11">
        <f>'2019.05.31.'!I83</f>
        <v>0</v>
      </c>
      <c r="I83" s="3">
        <f>'2019.05.31.'!J83</f>
        <v>112169</v>
      </c>
      <c r="J83" s="3">
        <f>'2019.05.31.'!K83</f>
        <v>30478</v>
      </c>
    </row>
    <row r="84" spans="1:10" x14ac:dyDescent="0.25">
      <c r="A84" s="259" t="s">
        <v>60</v>
      </c>
      <c r="B84" s="261" t="s">
        <v>23</v>
      </c>
      <c r="C84" s="15" t="s">
        <v>24</v>
      </c>
      <c r="D84" s="24">
        <v>10676226</v>
      </c>
      <c r="E84" s="3">
        <f t="shared" si="20"/>
        <v>0</v>
      </c>
      <c r="F84" s="11">
        <f>'2019.05.31.'!G84</f>
        <v>0</v>
      </c>
      <c r="G84" s="11">
        <f>'2019.05.31.'!H84</f>
        <v>0</v>
      </c>
      <c r="H84" s="11">
        <f>'2019.05.31.'!I84</f>
        <v>0</v>
      </c>
      <c r="I84" s="3">
        <f>'2019.05.31.'!J84</f>
        <v>10676226</v>
      </c>
      <c r="J84" s="3">
        <f>'2019.05.31.'!K84</f>
        <v>4284199</v>
      </c>
    </row>
    <row r="85" spans="1:10" x14ac:dyDescent="0.25">
      <c r="A85" s="260"/>
      <c r="B85" s="262"/>
      <c r="C85" s="15" t="s">
        <v>31</v>
      </c>
      <c r="D85" s="24">
        <v>1989265</v>
      </c>
      <c r="E85" s="3">
        <f t="shared" si="20"/>
        <v>0</v>
      </c>
      <c r="F85" s="11">
        <f>'2019.05.31.'!G85</f>
        <v>0</v>
      </c>
      <c r="G85" s="11">
        <f>'2019.05.31.'!H85</f>
        <v>0</v>
      </c>
      <c r="H85" s="11">
        <f>'2019.05.31.'!I85</f>
        <v>0</v>
      </c>
      <c r="I85" s="3">
        <f>'2019.05.31.'!J85</f>
        <v>1989265</v>
      </c>
      <c r="J85" s="3">
        <f>'2019.05.31.'!K85</f>
        <v>835424</v>
      </c>
    </row>
    <row r="86" spans="1:10" x14ac:dyDescent="0.25">
      <c r="A86" s="259" t="s">
        <v>61</v>
      </c>
      <c r="B86" s="261" t="s">
        <v>46</v>
      </c>
      <c r="C86" s="15" t="s">
        <v>24</v>
      </c>
      <c r="D86" s="24">
        <v>8397674</v>
      </c>
      <c r="E86" s="3">
        <f t="shared" si="20"/>
        <v>0</v>
      </c>
      <c r="F86" s="11">
        <f>'2019.05.31.'!G86</f>
        <v>0</v>
      </c>
      <c r="G86" s="11">
        <f>'2019.05.31.'!H86</f>
        <v>0</v>
      </c>
      <c r="H86" s="11">
        <f>'2019.05.31.'!I86</f>
        <v>0</v>
      </c>
      <c r="I86" s="3">
        <f>'2019.05.31.'!J86</f>
        <v>8397674</v>
      </c>
      <c r="J86" s="3">
        <f>'2019.05.31.'!K86</f>
        <v>3154115</v>
      </c>
    </row>
    <row r="87" spans="1:10" x14ac:dyDescent="0.25">
      <c r="A87" s="260"/>
      <c r="B87" s="262"/>
      <c r="C87" s="15" t="s">
        <v>31</v>
      </c>
      <c r="D87" s="24">
        <v>1563353</v>
      </c>
      <c r="E87" s="3">
        <f t="shared" si="20"/>
        <v>0</v>
      </c>
      <c r="F87" s="11">
        <f>'2019.05.31.'!G87</f>
        <v>0</v>
      </c>
      <c r="G87" s="11">
        <f>'2019.05.31.'!H87</f>
        <v>0</v>
      </c>
      <c r="H87" s="11">
        <f>'2019.05.31.'!I87</f>
        <v>0</v>
      </c>
      <c r="I87" s="3">
        <f>'2019.05.31.'!J87</f>
        <v>1563353</v>
      </c>
      <c r="J87" s="3">
        <f>'2019.05.31.'!K87</f>
        <v>615051</v>
      </c>
    </row>
    <row r="88" spans="1:10" s="96" customFormat="1" ht="19.5" customHeight="1" x14ac:dyDescent="0.25">
      <c r="A88" s="325" t="s">
        <v>76</v>
      </c>
      <c r="B88" s="326"/>
      <c r="C88" s="327"/>
      <c r="D88" s="95">
        <f t="shared" ref="D88" si="21">SUM(D32+D33+D48+D51+D61+D62+D76+D79+D80+D81+D82+D83+D84+D85+D86+D87)</f>
        <v>118207303</v>
      </c>
      <c r="E88" s="95">
        <f t="shared" ref="E88:I88" si="22">SUM(E32+E33+E48+E51+E61+E62+E76+E79+E80+E81+E82+E83+E84+E85+E86+E87)</f>
        <v>-816238</v>
      </c>
      <c r="F88" s="95">
        <f t="shared" si="22"/>
        <v>12000</v>
      </c>
      <c r="G88" s="95">
        <f t="shared" si="22"/>
        <v>38009</v>
      </c>
      <c r="H88" s="95">
        <f t="shared" si="22"/>
        <v>0</v>
      </c>
      <c r="I88" s="95">
        <f t="shared" si="22"/>
        <v>117441074</v>
      </c>
      <c r="J88" s="95">
        <f t="shared" ref="J88" si="23">SUM(J32+J33+J48+J51+J61+J62+J76+J79+J80+J81+J82+J83+J84+J85+J86+J87)</f>
        <v>42710540</v>
      </c>
    </row>
    <row r="89" spans="1:10" x14ac:dyDescent="0.25">
      <c r="A89" s="258" t="s">
        <v>12</v>
      </c>
      <c r="B89" s="268" t="s">
        <v>23</v>
      </c>
      <c r="C89" s="2" t="s">
        <v>24</v>
      </c>
      <c r="D89" s="3">
        <v>4811583</v>
      </c>
      <c r="E89" s="3">
        <f t="shared" ref="E89:E95" si="24">I89-D89-F89-G89-H89</f>
        <v>0</v>
      </c>
      <c r="F89" s="3">
        <f>'2019.05.31.'!G89</f>
        <v>0</v>
      </c>
      <c r="G89" s="3">
        <f>'2019.05.31.'!H89</f>
        <v>0</v>
      </c>
      <c r="H89" s="3">
        <f>'2019.05.31.'!I89</f>
        <v>0</v>
      </c>
      <c r="I89" s="3">
        <f>'2019.05.31.'!J89</f>
        <v>4811583</v>
      </c>
      <c r="J89" s="3">
        <f>'2019.05.31.'!K89</f>
        <v>1920999</v>
      </c>
    </row>
    <row r="90" spans="1:10" x14ac:dyDescent="0.25">
      <c r="A90" s="258"/>
      <c r="B90" s="268"/>
      <c r="C90" s="2" t="s">
        <v>25</v>
      </c>
      <c r="D90" s="3">
        <v>200000</v>
      </c>
      <c r="E90" s="3">
        <f t="shared" si="24"/>
        <v>0</v>
      </c>
      <c r="F90" s="3">
        <f>'2019.05.31.'!G90</f>
        <v>0</v>
      </c>
      <c r="G90" s="3">
        <f>'2019.05.31.'!H90</f>
        <v>0</v>
      </c>
      <c r="H90" s="3">
        <f>'2019.05.31.'!I90</f>
        <v>0</v>
      </c>
      <c r="I90" s="3">
        <f>'2019.05.31.'!J90</f>
        <v>200000</v>
      </c>
      <c r="J90" s="3">
        <f>'2019.05.31.'!K90</f>
        <v>100000</v>
      </c>
    </row>
    <row r="91" spans="1:10" x14ac:dyDescent="0.25">
      <c r="A91" s="258"/>
      <c r="B91" s="268"/>
      <c r="C91" s="2" t="s">
        <v>26</v>
      </c>
      <c r="D91" s="3">
        <v>10000</v>
      </c>
      <c r="E91" s="3">
        <f t="shared" si="24"/>
        <v>0</v>
      </c>
      <c r="F91" s="3">
        <f>'2019.05.31.'!G91</f>
        <v>0</v>
      </c>
      <c r="G91" s="3">
        <f>'2019.05.31.'!H91</f>
        <v>0</v>
      </c>
      <c r="H91" s="3">
        <f>'2019.05.31.'!I91</f>
        <v>0</v>
      </c>
      <c r="I91" s="3">
        <f>'2019.05.31.'!J91</f>
        <v>10000</v>
      </c>
      <c r="J91" s="3">
        <f>'2019.05.31.'!K91</f>
        <v>0</v>
      </c>
    </row>
    <row r="92" spans="1:10" x14ac:dyDescent="0.25">
      <c r="A92" s="258"/>
      <c r="B92" s="268"/>
      <c r="C92" s="2" t="s">
        <v>27</v>
      </c>
      <c r="D92" s="3">
        <v>198000</v>
      </c>
      <c r="E92" s="3">
        <f t="shared" si="24"/>
        <v>0</v>
      </c>
      <c r="F92" s="3">
        <f>'2019.05.31.'!G92</f>
        <v>0</v>
      </c>
      <c r="G92" s="3">
        <f>'2019.05.31.'!H92</f>
        <v>0</v>
      </c>
      <c r="H92" s="3">
        <f>'2019.05.31.'!I92</f>
        <v>0</v>
      </c>
      <c r="I92" s="3">
        <f>'2019.05.31.'!J92</f>
        <v>198000</v>
      </c>
      <c r="J92" s="3">
        <f>'2019.05.31.'!K92</f>
        <v>46980</v>
      </c>
    </row>
    <row r="93" spans="1:10" x14ac:dyDescent="0.25">
      <c r="A93" s="258"/>
      <c r="B93" s="268"/>
      <c r="C93" s="2" t="s">
        <v>28</v>
      </c>
      <c r="D93" s="3">
        <v>24000</v>
      </c>
      <c r="E93" s="3">
        <f t="shared" si="24"/>
        <v>0</v>
      </c>
      <c r="F93" s="3">
        <f>'2019.05.31.'!G93</f>
        <v>0</v>
      </c>
      <c r="G93" s="3">
        <f>'2019.05.31.'!H93</f>
        <v>0</v>
      </c>
      <c r="H93" s="3">
        <f>'2019.05.31.'!I93</f>
        <v>0</v>
      </c>
      <c r="I93" s="3">
        <f>'2019.05.31.'!J93</f>
        <v>24000</v>
      </c>
      <c r="J93" s="3">
        <f>'2019.05.31.'!K93</f>
        <v>12000</v>
      </c>
    </row>
    <row r="94" spans="1:10" x14ac:dyDescent="0.25">
      <c r="A94" s="258"/>
      <c r="B94" s="268"/>
      <c r="C94" s="2" t="s">
        <v>29</v>
      </c>
      <c r="D94" s="3">
        <v>75000</v>
      </c>
      <c r="E94" s="3">
        <f t="shared" si="24"/>
        <v>0</v>
      </c>
      <c r="F94" s="3">
        <f>'2019.05.31.'!G94</f>
        <v>0</v>
      </c>
      <c r="G94" s="3">
        <f>'2019.05.31.'!H94</f>
        <v>0</v>
      </c>
      <c r="H94" s="3">
        <f>'2019.05.31.'!I94</f>
        <v>0</v>
      </c>
      <c r="I94" s="3">
        <f>'2019.05.31.'!J94</f>
        <v>75000</v>
      </c>
      <c r="J94" s="3">
        <f>'2019.05.31.'!K94</f>
        <v>0</v>
      </c>
    </row>
    <row r="95" spans="1:10" x14ac:dyDescent="0.25">
      <c r="A95" s="258"/>
      <c r="B95" s="268"/>
      <c r="C95" s="2" t="s">
        <v>30</v>
      </c>
      <c r="D95" s="3">
        <v>0</v>
      </c>
      <c r="E95" s="3">
        <f t="shared" si="24"/>
        <v>0</v>
      </c>
      <c r="F95" s="3">
        <f>'2019.05.31.'!G95</f>
        <v>0</v>
      </c>
      <c r="G95" s="3">
        <f>'2019.05.31.'!H95</f>
        <v>0</v>
      </c>
      <c r="H95" s="3">
        <f>'2019.05.31.'!I95</f>
        <v>0</v>
      </c>
      <c r="I95" s="3">
        <f>'2019.05.31.'!J95</f>
        <v>0</v>
      </c>
      <c r="J95" s="3">
        <f>'2019.05.31.'!K95</f>
        <v>0</v>
      </c>
    </row>
    <row r="96" spans="1:10" x14ac:dyDescent="0.25">
      <c r="A96" s="258"/>
      <c r="B96" s="268"/>
      <c r="C96" s="6" t="s">
        <v>53</v>
      </c>
      <c r="D96" s="7">
        <f>SUM(D89:D95)</f>
        <v>5318583</v>
      </c>
      <c r="E96" s="7">
        <f t="shared" ref="E96:I96" si="25">SUM(E89:E95)</f>
        <v>0</v>
      </c>
      <c r="F96" s="7">
        <f t="shared" si="25"/>
        <v>0</v>
      </c>
      <c r="G96" s="7">
        <f t="shared" si="25"/>
        <v>0</v>
      </c>
      <c r="H96" s="7">
        <f t="shared" si="25"/>
        <v>0</v>
      </c>
      <c r="I96" s="7">
        <f t="shared" si="25"/>
        <v>5318583</v>
      </c>
      <c r="J96" s="7">
        <f t="shared" ref="J96" si="26">SUM(J89:J95)</f>
        <v>2079979</v>
      </c>
    </row>
    <row r="97" spans="1:10" s="74" customFormat="1" x14ac:dyDescent="0.25">
      <c r="A97" s="258"/>
      <c r="B97" s="268"/>
      <c r="C97" s="100" t="s">
        <v>31</v>
      </c>
      <c r="D97" s="87">
        <v>1035556</v>
      </c>
      <c r="E97" s="89">
        <f t="shared" ref="E97:E107" si="27">I97-D97-F97-G97-H97</f>
        <v>0</v>
      </c>
      <c r="F97" s="87">
        <f>'2019.05.31.'!G97</f>
        <v>0</v>
      </c>
      <c r="G97" s="87">
        <f>'2019.05.31.'!H97</f>
        <v>0</v>
      </c>
      <c r="H97" s="87">
        <f>'2019.05.31.'!I97</f>
        <v>0</v>
      </c>
      <c r="I97" s="89">
        <f>'2019.05.31.'!J97</f>
        <v>1035556</v>
      </c>
      <c r="J97" s="89">
        <f>'2019.05.31.'!K97</f>
        <v>434980</v>
      </c>
    </row>
    <row r="98" spans="1:10" x14ac:dyDescent="0.25">
      <c r="A98" s="258"/>
      <c r="B98" s="268"/>
      <c r="C98" s="2" t="s">
        <v>32</v>
      </c>
      <c r="D98" s="3">
        <v>100000</v>
      </c>
      <c r="E98" s="3">
        <f t="shared" si="27"/>
        <v>0</v>
      </c>
      <c r="F98" s="3">
        <f>'2019.05.31.'!G98</f>
        <v>0</v>
      </c>
      <c r="G98" s="3">
        <f>'2019.05.31.'!H98</f>
        <v>0</v>
      </c>
      <c r="H98" s="3">
        <f>'2019.05.31.'!I98</f>
        <v>0</v>
      </c>
      <c r="I98" s="3">
        <f>'2019.05.31.'!J98</f>
        <v>100000</v>
      </c>
      <c r="J98" s="3">
        <f>'2019.05.31.'!K98</f>
        <v>0</v>
      </c>
    </row>
    <row r="99" spans="1:10" x14ac:dyDescent="0.25">
      <c r="A99" s="258"/>
      <c r="B99" s="268"/>
      <c r="C99" s="2" t="s">
        <v>33</v>
      </c>
      <c r="D99" s="3">
        <v>100000</v>
      </c>
      <c r="E99" s="3">
        <f t="shared" si="27"/>
        <v>0</v>
      </c>
      <c r="F99" s="3">
        <f>'2019.05.31.'!G99</f>
        <v>0</v>
      </c>
      <c r="G99" s="3">
        <f>'2019.05.31.'!H99</f>
        <v>0</v>
      </c>
      <c r="H99" s="3">
        <f>'2019.05.31.'!I99</f>
        <v>0</v>
      </c>
      <c r="I99" s="3">
        <f>'2019.05.31.'!J99</f>
        <v>100000</v>
      </c>
      <c r="J99" s="3">
        <f>'2019.05.31.'!K99</f>
        <v>0</v>
      </c>
    </row>
    <row r="100" spans="1:10" x14ac:dyDescent="0.25">
      <c r="A100" s="258"/>
      <c r="B100" s="268"/>
      <c r="C100" s="2" t="s">
        <v>34</v>
      </c>
      <c r="D100" s="3">
        <v>210000</v>
      </c>
      <c r="E100" s="3">
        <f t="shared" si="27"/>
        <v>0</v>
      </c>
      <c r="F100" s="3">
        <f>'2019.05.31.'!G100</f>
        <v>0</v>
      </c>
      <c r="G100" s="3">
        <f>'2019.05.31.'!H100</f>
        <v>0</v>
      </c>
      <c r="H100" s="3">
        <f>'2019.05.31.'!I100</f>
        <v>0</v>
      </c>
      <c r="I100" s="3">
        <f>'2019.05.31.'!J100</f>
        <v>210000</v>
      </c>
      <c r="J100" s="3">
        <f>'2019.05.31.'!K100</f>
        <v>0</v>
      </c>
    </row>
    <row r="101" spans="1:10" x14ac:dyDescent="0.25">
      <c r="A101" s="258"/>
      <c r="B101" s="268"/>
      <c r="C101" s="2" t="s">
        <v>35</v>
      </c>
      <c r="D101" s="3">
        <v>110000</v>
      </c>
      <c r="E101" s="3">
        <f t="shared" si="27"/>
        <v>0</v>
      </c>
      <c r="F101" s="3">
        <f>'2019.05.31.'!G101</f>
        <v>0</v>
      </c>
      <c r="G101" s="3">
        <f>'2019.05.31.'!H101</f>
        <v>0</v>
      </c>
      <c r="H101" s="3">
        <f>'2019.05.31.'!I101</f>
        <v>0</v>
      </c>
      <c r="I101" s="3">
        <f>'2019.05.31.'!J101</f>
        <v>110000</v>
      </c>
      <c r="J101" s="3">
        <f>'2019.05.31.'!K101</f>
        <v>0</v>
      </c>
    </row>
    <row r="102" spans="1:10" x14ac:dyDescent="0.25">
      <c r="A102" s="258"/>
      <c r="B102" s="268"/>
      <c r="C102" s="2" t="s">
        <v>36</v>
      </c>
      <c r="D102" s="3">
        <v>500000</v>
      </c>
      <c r="E102" s="3">
        <f t="shared" si="27"/>
        <v>0</v>
      </c>
      <c r="F102" s="3">
        <f>'2019.05.31.'!G102</f>
        <v>0</v>
      </c>
      <c r="G102" s="3">
        <f>'2019.05.31.'!H102</f>
        <v>0</v>
      </c>
      <c r="H102" s="3">
        <f>'2019.05.31.'!I102</f>
        <v>0</v>
      </c>
      <c r="I102" s="3">
        <f>'2019.05.31.'!J102</f>
        <v>500000</v>
      </c>
      <c r="J102" s="3">
        <f>'2019.05.31.'!K102</f>
        <v>273779</v>
      </c>
    </row>
    <row r="103" spans="1:10" x14ac:dyDescent="0.25">
      <c r="A103" s="258"/>
      <c r="B103" s="268"/>
      <c r="C103" s="2" t="s">
        <v>38</v>
      </c>
      <c r="D103" s="3">
        <v>140000</v>
      </c>
      <c r="E103" s="3">
        <f t="shared" si="27"/>
        <v>0</v>
      </c>
      <c r="F103" s="3">
        <f>'2019.05.31.'!G103</f>
        <v>0</v>
      </c>
      <c r="G103" s="3">
        <f>'2019.05.31.'!H103</f>
        <v>0</v>
      </c>
      <c r="H103" s="3">
        <f>'2019.05.31.'!I103</f>
        <v>0</v>
      </c>
      <c r="I103" s="3">
        <f>'2019.05.31.'!J103</f>
        <v>140000</v>
      </c>
      <c r="J103" s="3">
        <f>'2019.05.31.'!K103</f>
        <v>0</v>
      </c>
    </row>
    <row r="104" spans="1:10" x14ac:dyDescent="0.25">
      <c r="A104" s="258"/>
      <c r="B104" s="268"/>
      <c r="C104" s="2" t="s">
        <v>40</v>
      </c>
      <c r="D104" s="3">
        <v>16800</v>
      </c>
      <c r="E104" s="3">
        <f t="shared" si="27"/>
        <v>0</v>
      </c>
      <c r="F104" s="3">
        <f>'2019.05.31.'!G104</f>
        <v>0</v>
      </c>
      <c r="G104" s="3">
        <f>'2019.05.31.'!H104</f>
        <v>0</v>
      </c>
      <c r="H104" s="3">
        <f>'2019.05.31.'!I104</f>
        <v>0</v>
      </c>
      <c r="I104" s="3">
        <f>'2019.05.31.'!J104</f>
        <v>16800</v>
      </c>
      <c r="J104" s="3">
        <f>'2019.05.31.'!K104</f>
        <v>3400</v>
      </c>
    </row>
    <row r="105" spans="1:10" x14ac:dyDescent="0.25">
      <c r="A105" s="258"/>
      <c r="B105" s="268"/>
      <c r="C105" s="2" t="s">
        <v>41</v>
      </c>
      <c r="D105" s="3">
        <v>80000</v>
      </c>
      <c r="E105" s="3">
        <f t="shared" si="27"/>
        <v>0</v>
      </c>
      <c r="F105" s="3">
        <f>'2019.05.31.'!G105</f>
        <v>0</v>
      </c>
      <c r="G105" s="3">
        <f>'2019.05.31.'!H105</f>
        <v>0</v>
      </c>
      <c r="H105" s="3">
        <f>'2019.05.31.'!I105</f>
        <v>0</v>
      </c>
      <c r="I105" s="3">
        <f>'2019.05.31.'!J105</f>
        <v>80000</v>
      </c>
      <c r="J105" s="3">
        <f>'2019.05.31.'!K105</f>
        <v>30080</v>
      </c>
    </row>
    <row r="106" spans="1:10" x14ac:dyDescent="0.25">
      <c r="A106" s="258"/>
      <c r="B106" s="268"/>
      <c r="C106" s="2" t="s">
        <v>42</v>
      </c>
      <c r="D106" s="3">
        <v>240000</v>
      </c>
      <c r="E106" s="3">
        <f t="shared" si="27"/>
        <v>0</v>
      </c>
      <c r="F106" s="3">
        <f>'2019.05.31.'!G106</f>
        <v>0</v>
      </c>
      <c r="G106" s="3">
        <f>'2019.05.31.'!H106</f>
        <v>0</v>
      </c>
      <c r="H106" s="3">
        <f>'2019.05.31.'!I106</f>
        <v>0</v>
      </c>
      <c r="I106" s="3">
        <f>'2019.05.31.'!J106</f>
        <v>240000</v>
      </c>
      <c r="J106" s="3">
        <f>'2019.05.31.'!K106</f>
        <v>71710</v>
      </c>
    </row>
    <row r="107" spans="1:10" x14ac:dyDescent="0.25">
      <c r="A107" s="258"/>
      <c r="B107" s="268"/>
      <c r="C107" s="2" t="s">
        <v>44</v>
      </c>
      <c r="D107" s="3">
        <v>200600</v>
      </c>
      <c r="E107" s="3">
        <f t="shared" si="27"/>
        <v>0</v>
      </c>
      <c r="F107" s="3">
        <f>'2019.05.31.'!G107</f>
        <v>0</v>
      </c>
      <c r="G107" s="3">
        <f>'2019.05.31.'!H107</f>
        <v>0</v>
      </c>
      <c r="H107" s="3">
        <f>'2019.05.31.'!I107</f>
        <v>0</v>
      </c>
      <c r="I107" s="3">
        <f>'2019.05.31.'!J107</f>
        <v>200600</v>
      </c>
      <c r="J107" s="3">
        <f>'2019.05.31.'!K107</f>
        <v>21810</v>
      </c>
    </row>
    <row r="108" spans="1:10" x14ac:dyDescent="0.25">
      <c r="A108" s="258"/>
      <c r="B108" s="268"/>
      <c r="C108" s="6" t="s">
        <v>49</v>
      </c>
      <c r="D108" s="7">
        <f>SUM(D98:D107)</f>
        <v>1697400</v>
      </c>
      <c r="E108" s="7">
        <f t="shared" ref="E108:I108" si="28">SUM(E98:E107)</f>
        <v>0</v>
      </c>
      <c r="F108" s="7">
        <f t="shared" si="28"/>
        <v>0</v>
      </c>
      <c r="G108" s="7">
        <f t="shared" si="28"/>
        <v>0</v>
      </c>
      <c r="H108" s="7">
        <f t="shared" si="28"/>
        <v>0</v>
      </c>
      <c r="I108" s="7">
        <f t="shared" si="28"/>
        <v>1697400</v>
      </c>
      <c r="J108" s="7">
        <f t="shared" ref="J108" si="29">SUM(J98:J107)</f>
        <v>400779</v>
      </c>
    </row>
    <row r="109" spans="1:10" x14ac:dyDescent="0.25">
      <c r="A109" s="255" t="s">
        <v>62</v>
      </c>
      <c r="B109" s="252" t="s">
        <v>23</v>
      </c>
      <c r="C109" s="15" t="s">
        <v>29</v>
      </c>
      <c r="D109" s="24">
        <v>111600</v>
      </c>
      <c r="E109" s="3">
        <f t="shared" ref="E109:E112" si="30">I109-D109-F109-G109-H109</f>
        <v>0</v>
      </c>
      <c r="F109" s="11">
        <f>'2019.05.31.'!G109</f>
        <v>0</v>
      </c>
      <c r="G109" s="11">
        <f>'2019.05.31.'!H109</f>
        <v>0</v>
      </c>
      <c r="H109" s="11">
        <f>'2019.05.31.'!I109</f>
        <v>0</v>
      </c>
      <c r="I109" s="3">
        <f>'2019.05.31.'!J109</f>
        <v>111600</v>
      </c>
      <c r="J109" s="3">
        <f>'2019.05.31.'!K109</f>
        <v>30500</v>
      </c>
    </row>
    <row r="110" spans="1:10" x14ac:dyDescent="0.25">
      <c r="A110" s="257"/>
      <c r="B110" s="254"/>
      <c r="C110" s="15" t="s">
        <v>31</v>
      </c>
      <c r="D110" s="24">
        <v>20739</v>
      </c>
      <c r="E110" s="3">
        <f t="shared" si="30"/>
        <v>0</v>
      </c>
      <c r="F110" s="11">
        <f>'2019.05.31.'!G110</f>
        <v>0</v>
      </c>
      <c r="G110" s="11">
        <f>'2019.05.31.'!H110</f>
        <v>0</v>
      </c>
      <c r="H110" s="11">
        <f>'2019.05.31.'!I110</f>
        <v>0</v>
      </c>
      <c r="I110" s="3">
        <f>'2019.05.31.'!J110</f>
        <v>20739</v>
      </c>
      <c r="J110" s="3">
        <f>'2019.05.31.'!K110</f>
        <v>5945</v>
      </c>
    </row>
    <row r="111" spans="1:10" x14ac:dyDescent="0.25">
      <c r="A111" s="255" t="s">
        <v>63</v>
      </c>
      <c r="B111" s="252" t="s">
        <v>23</v>
      </c>
      <c r="C111" s="15" t="s">
        <v>24</v>
      </c>
      <c r="D111" s="24">
        <v>1460272</v>
      </c>
      <c r="E111" s="3">
        <f t="shared" si="30"/>
        <v>0</v>
      </c>
      <c r="F111" s="11">
        <f>'2019.05.31.'!G111</f>
        <v>0</v>
      </c>
      <c r="G111" s="11">
        <f>'2019.05.31.'!H111</f>
        <v>0</v>
      </c>
      <c r="H111" s="11">
        <f>'2019.05.31.'!I111</f>
        <v>0</v>
      </c>
      <c r="I111" s="3">
        <f>'2019.05.31.'!J111</f>
        <v>1460272</v>
      </c>
      <c r="J111" s="3">
        <f>'2019.05.31.'!K111</f>
        <v>623301</v>
      </c>
    </row>
    <row r="112" spans="1:10" x14ac:dyDescent="0.25">
      <c r="A112" s="257"/>
      <c r="B112" s="254"/>
      <c r="C112" s="15" t="s">
        <v>31</v>
      </c>
      <c r="D112" s="24">
        <v>272168</v>
      </c>
      <c r="E112" s="3">
        <f t="shared" si="30"/>
        <v>0</v>
      </c>
      <c r="F112" s="11">
        <f>'2019.05.31.'!G112</f>
        <v>0</v>
      </c>
      <c r="G112" s="11">
        <f>'2019.05.31.'!H112</f>
        <v>0</v>
      </c>
      <c r="H112" s="11">
        <f>'2019.05.31.'!I112</f>
        <v>0</v>
      </c>
      <c r="I112" s="3">
        <f>'2019.05.31.'!J112</f>
        <v>272168</v>
      </c>
      <c r="J112" s="3">
        <f>'2019.05.31.'!K112</f>
        <v>121543</v>
      </c>
    </row>
    <row r="113" spans="1:10" s="96" customFormat="1" ht="19.5" customHeight="1" x14ac:dyDescent="0.25">
      <c r="A113" s="325" t="s">
        <v>77</v>
      </c>
      <c r="B113" s="326"/>
      <c r="C113" s="327"/>
      <c r="D113" s="95">
        <f>SUM(D96+D97+D108+D109+D110+D111+D112)</f>
        <v>9916318</v>
      </c>
      <c r="E113" s="95">
        <f t="shared" ref="E113:I113" si="31">SUM(E96+E97+E108+E109+E110+E111+E112)</f>
        <v>0</v>
      </c>
      <c r="F113" s="95">
        <f t="shared" si="31"/>
        <v>0</v>
      </c>
      <c r="G113" s="95">
        <f t="shared" si="31"/>
        <v>0</v>
      </c>
      <c r="H113" s="95">
        <f t="shared" si="31"/>
        <v>0</v>
      </c>
      <c r="I113" s="95">
        <f t="shared" si="31"/>
        <v>9916318</v>
      </c>
      <c r="J113" s="95">
        <f t="shared" ref="J113" si="32">SUM(J96+J97+J108+J109+J110+J111+J112)</f>
        <v>3697027</v>
      </c>
    </row>
    <row r="114" spans="1:10" x14ac:dyDescent="0.25">
      <c r="A114" s="258" t="s">
        <v>13</v>
      </c>
      <c r="B114" s="268" t="s">
        <v>23</v>
      </c>
      <c r="C114" s="2" t="s">
        <v>24</v>
      </c>
      <c r="D114" s="3">
        <v>4871210</v>
      </c>
      <c r="E114" s="3">
        <f t="shared" ref="E114:E119" si="33">I114-D114-F114-G114-H114</f>
        <v>0</v>
      </c>
      <c r="F114" s="3">
        <f>'2019.05.31.'!G114</f>
        <v>0</v>
      </c>
      <c r="G114" s="3">
        <f>'2019.05.31.'!H114</f>
        <v>14018</v>
      </c>
      <c r="H114" s="3">
        <f>'2019.05.31.'!I114</f>
        <v>0</v>
      </c>
      <c r="I114" s="3">
        <f>'2019.05.31.'!J114</f>
        <v>4885228</v>
      </c>
      <c r="J114" s="3">
        <f>'2019.05.31.'!K114</f>
        <v>1970501</v>
      </c>
    </row>
    <row r="115" spans="1:10" x14ac:dyDescent="0.25">
      <c r="A115" s="258"/>
      <c r="B115" s="268"/>
      <c r="C115" s="2" t="s">
        <v>25</v>
      </c>
      <c r="D115" s="3">
        <v>200000</v>
      </c>
      <c r="E115" s="3">
        <f t="shared" si="33"/>
        <v>0</v>
      </c>
      <c r="F115" s="3">
        <f>'2019.05.31.'!G115</f>
        <v>0</v>
      </c>
      <c r="G115" s="3">
        <f>'2019.05.31.'!H115</f>
        <v>0</v>
      </c>
      <c r="H115" s="3">
        <f>'2019.05.31.'!I115</f>
        <v>0</v>
      </c>
      <c r="I115" s="3">
        <f>'2019.05.31.'!J115</f>
        <v>200000</v>
      </c>
      <c r="J115" s="3">
        <f>'2019.05.31.'!K115</f>
        <v>100000</v>
      </c>
    </row>
    <row r="116" spans="1:10" x14ac:dyDescent="0.25">
      <c r="A116" s="258"/>
      <c r="B116" s="268"/>
      <c r="C116" s="2" t="s">
        <v>26</v>
      </c>
      <c r="D116" s="3">
        <v>10000</v>
      </c>
      <c r="E116" s="3">
        <f t="shared" si="33"/>
        <v>0</v>
      </c>
      <c r="F116" s="3">
        <f>'2019.05.31.'!G116</f>
        <v>0</v>
      </c>
      <c r="G116" s="3">
        <f>'2019.05.31.'!H116</f>
        <v>0</v>
      </c>
      <c r="H116" s="3">
        <f>'2019.05.31.'!I116</f>
        <v>0</v>
      </c>
      <c r="I116" s="3">
        <f>'2019.05.31.'!J116</f>
        <v>10000</v>
      </c>
      <c r="J116" s="3">
        <f>'2019.05.31.'!K116</f>
        <v>0</v>
      </c>
    </row>
    <row r="117" spans="1:10" x14ac:dyDescent="0.25">
      <c r="A117" s="258"/>
      <c r="B117" s="268"/>
      <c r="C117" s="2" t="s">
        <v>28</v>
      </c>
      <c r="D117" s="3">
        <v>24000</v>
      </c>
      <c r="E117" s="3">
        <f t="shared" si="33"/>
        <v>0</v>
      </c>
      <c r="F117" s="3">
        <f>'2019.05.31.'!G117</f>
        <v>0</v>
      </c>
      <c r="G117" s="3">
        <f>'2019.05.31.'!H117</f>
        <v>0</v>
      </c>
      <c r="H117" s="3">
        <f>'2019.05.31.'!I117</f>
        <v>0</v>
      </c>
      <c r="I117" s="3">
        <f>'2019.05.31.'!J117</f>
        <v>24000</v>
      </c>
      <c r="J117" s="3">
        <f>'2019.05.31.'!K117</f>
        <v>12000</v>
      </c>
    </row>
    <row r="118" spans="1:10" x14ac:dyDescent="0.25">
      <c r="A118" s="258"/>
      <c r="B118" s="268"/>
      <c r="C118" s="2" t="s">
        <v>29</v>
      </c>
      <c r="D118" s="3">
        <v>75000</v>
      </c>
      <c r="E118" s="3">
        <f t="shared" si="33"/>
        <v>0</v>
      </c>
      <c r="F118" s="3">
        <f>'2019.05.31.'!G118</f>
        <v>0</v>
      </c>
      <c r="G118" s="3">
        <f>'2019.05.31.'!H118</f>
        <v>0</v>
      </c>
      <c r="H118" s="3">
        <f>'2019.05.31.'!I118</f>
        <v>0</v>
      </c>
      <c r="I118" s="3">
        <f>'2019.05.31.'!J118</f>
        <v>75000</v>
      </c>
      <c r="J118" s="3">
        <f>'2019.05.31.'!K118</f>
        <v>0</v>
      </c>
    </row>
    <row r="119" spans="1:10" x14ac:dyDescent="0.25">
      <c r="A119" s="258"/>
      <c r="B119" s="268"/>
      <c r="C119" s="2" t="s">
        <v>30</v>
      </c>
      <c r="D119" s="3">
        <v>0</v>
      </c>
      <c r="E119" s="3">
        <f t="shared" si="33"/>
        <v>0</v>
      </c>
      <c r="F119" s="3">
        <f>'2019.05.31.'!G119</f>
        <v>0</v>
      </c>
      <c r="G119" s="3">
        <f>'2019.05.31.'!H119</f>
        <v>0</v>
      </c>
      <c r="H119" s="3">
        <f>'2019.05.31.'!I119</f>
        <v>0</v>
      </c>
      <c r="I119" s="3">
        <f>'2019.05.31.'!J119</f>
        <v>0</v>
      </c>
      <c r="J119" s="3">
        <f>'2019.05.31.'!K119</f>
        <v>0</v>
      </c>
    </row>
    <row r="120" spans="1:10" x14ac:dyDescent="0.25">
      <c r="A120" s="258"/>
      <c r="B120" s="268"/>
      <c r="C120" s="6" t="s">
        <v>53</v>
      </c>
      <c r="D120" s="7">
        <f>SUM(D114:D119)</f>
        <v>5180210</v>
      </c>
      <c r="E120" s="7">
        <f t="shared" ref="E120:I120" si="34">SUM(E114:E119)</f>
        <v>0</v>
      </c>
      <c r="F120" s="7">
        <f t="shared" si="34"/>
        <v>0</v>
      </c>
      <c r="G120" s="7">
        <f t="shared" si="34"/>
        <v>14018</v>
      </c>
      <c r="H120" s="7">
        <f t="shared" si="34"/>
        <v>0</v>
      </c>
      <c r="I120" s="7">
        <f t="shared" si="34"/>
        <v>5194228</v>
      </c>
      <c r="J120" s="7">
        <f t="shared" ref="J120" si="35">SUM(J114:J119)</f>
        <v>2082501</v>
      </c>
    </row>
    <row r="121" spans="1:10" s="74" customFormat="1" x14ac:dyDescent="0.25">
      <c r="A121" s="258"/>
      <c r="B121" s="268"/>
      <c r="C121" s="100" t="s">
        <v>31</v>
      </c>
      <c r="D121" s="87">
        <v>1046402</v>
      </c>
      <c r="E121" s="89">
        <f t="shared" ref="E121:E129" si="36">I121-D121-F121-G121-H121</f>
        <v>0</v>
      </c>
      <c r="F121" s="87">
        <f>'2019.05.31.'!G121</f>
        <v>0</v>
      </c>
      <c r="G121" s="87">
        <f>'2019.05.31.'!H121</f>
        <v>2733</v>
      </c>
      <c r="H121" s="87">
        <f>'2019.05.31.'!I121</f>
        <v>0</v>
      </c>
      <c r="I121" s="89">
        <f>'2019.05.31.'!J121</f>
        <v>1049135</v>
      </c>
      <c r="J121" s="89">
        <f>'2019.05.31.'!K121</f>
        <v>444631</v>
      </c>
    </row>
    <row r="122" spans="1:10" x14ac:dyDescent="0.25">
      <c r="A122" s="258"/>
      <c r="B122" s="268"/>
      <c r="C122" s="2" t="s">
        <v>32</v>
      </c>
      <c r="D122" s="3">
        <v>50000</v>
      </c>
      <c r="E122" s="3">
        <f t="shared" si="36"/>
        <v>0</v>
      </c>
      <c r="F122" s="3">
        <f>'2019.05.31.'!G122</f>
        <v>0</v>
      </c>
      <c r="G122" s="3">
        <f>'2019.05.31.'!H122</f>
        <v>0</v>
      </c>
      <c r="H122" s="3">
        <f>'2019.05.31.'!I122</f>
        <v>0</v>
      </c>
      <c r="I122" s="3">
        <f>'2019.05.31.'!J122</f>
        <v>50000</v>
      </c>
      <c r="J122" s="3">
        <f>'2019.05.31.'!K122</f>
        <v>0</v>
      </c>
    </row>
    <row r="123" spans="1:10" x14ac:dyDescent="0.25">
      <c r="A123" s="258"/>
      <c r="B123" s="268"/>
      <c r="C123" s="2" t="s">
        <v>33</v>
      </c>
      <c r="D123" s="3">
        <v>100000</v>
      </c>
      <c r="E123" s="3">
        <f t="shared" si="36"/>
        <v>0</v>
      </c>
      <c r="F123" s="3">
        <f>'2019.05.31.'!G123</f>
        <v>0</v>
      </c>
      <c r="G123" s="3">
        <f>'2019.05.31.'!H123</f>
        <v>0</v>
      </c>
      <c r="H123" s="3">
        <f>'2019.05.31.'!I123</f>
        <v>0</v>
      </c>
      <c r="I123" s="3">
        <f>'2019.05.31.'!J123</f>
        <v>100000</v>
      </c>
      <c r="J123" s="3">
        <f>'2019.05.31.'!K123</f>
        <v>0</v>
      </c>
    </row>
    <row r="124" spans="1:10" x14ac:dyDescent="0.25">
      <c r="A124" s="258"/>
      <c r="B124" s="268"/>
      <c r="C124" s="2" t="s">
        <v>34</v>
      </c>
      <c r="D124" s="3">
        <v>150000</v>
      </c>
      <c r="E124" s="3">
        <f t="shared" si="36"/>
        <v>-34000</v>
      </c>
      <c r="F124" s="3">
        <f>'2019.05.31.'!G124</f>
        <v>0</v>
      </c>
      <c r="G124" s="3">
        <f>'2019.05.31.'!H124</f>
        <v>0</v>
      </c>
      <c r="H124" s="3">
        <f>'2019.05.31.'!I124</f>
        <v>0</v>
      </c>
      <c r="I124" s="3">
        <f>'2019.05.31.'!J124</f>
        <v>116000</v>
      </c>
      <c r="J124" s="3">
        <f>'2019.05.31.'!K124</f>
        <v>0</v>
      </c>
    </row>
    <row r="125" spans="1:10" x14ac:dyDescent="0.25">
      <c r="A125" s="258"/>
      <c r="B125" s="268"/>
      <c r="C125" s="2" t="s">
        <v>38</v>
      </c>
      <c r="D125" s="3">
        <v>50000</v>
      </c>
      <c r="E125" s="3">
        <f t="shared" si="36"/>
        <v>0</v>
      </c>
      <c r="F125" s="3">
        <f>'2019.05.31.'!G125</f>
        <v>0</v>
      </c>
      <c r="G125" s="3">
        <f>'2019.05.31.'!H125</f>
        <v>0</v>
      </c>
      <c r="H125" s="3">
        <f>'2019.05.31.'!I125</f>
        <v>0</v>
      </c>
      <c r="I125" s="3">
        <f>'2019.05.31.'!J125</f>
        <v>50000</v>
      </c>
      <c r="J125" s="3">
        <f>'2019.05.31.'!K125</f>
        <v>0</v>
      </c>
    </row>
    <row r="126" spans="1:10" x14ac:dyDescent="0.25">
      <c r="A126" s="258"/>
      <c r="B126" s="268"/>
      <c r="C126" s="2" t="s">
        <v>40</v>
      </c>
      <c r="D126" s="3">
        <v>16800</v>
      </c>
      <c r="E126" s="3">
        <f t="shared" si="36"/>
        <v>0</v>
      </c>
      <c r="F126" s="3">
        <f>'2019.05.31.'!G126</f>
        <v>0</v>
      </c>
      <c r="G126" s="3">
        <f>'2019.05.31.'!H126</f>
        <v>0</v>
      </c>
      <c r="H126" s="3">
        <f>'2019.05.31.'!I126</f>
        <v>0</v>
      </c>
      <c r="I126" s="3">
        <f>'2019.05.31.'!J126</f>
        <v>16800</v>
      </c>
      <c r="J126" s="3">
        <f>'2019.05.31.'!K126</f>
        <v>3400</v>
      </c>
    </row>
    <row r="127" spans="1:10" x14ac:dyDescent="0.25">
      <c r="A127" s="258"/>
      <c r="B127" s="268"/>
      <c r="C127" s="2" t="s">
        <v>41</v>
      </c>
      <c r="D127" s="3">
        <v>0</v>
      </c>
      <c r="E127" s="3">
        <f t="shared" si="36"/>
        <v>34000</v>
      </c>
      <c r="F127" s="3">
        <f>'2019.05.31.'!G127</f>
        <v>0</v>
      </c>
      <c r="G127" s="3">
        <f>'2019.05.31.'!H127</f>
        <v>0</v>
      </c>
      <c r="H127" s="3">
        <f>'2019.05.31.'!I127</f>
        <v>0</v>
      </c>
      <c r="I127" s="3">
        <f>'2019.05.31.'!J127</f>
        <v>34000</v>
      </c>
      <c r="J127" s="3">
        <f>'2019.05.31.'!K127</f>
        <v>30080</v>
      </c>
    </row>
    <row r="128" spans="1:10" x14ac:dyDescent="0.25">
      <c r="A128" s="258"/>
      <c r="B128" s="268"/>
      <c r="C128" s="2" t="s">
        <v>42</v>
      </c>
      <c r="D128" s="3">
        <v>240000</v>
      </c>
      <c r="E128" s="3">
        <f t="shared" si="36"/>
        <v>0</v>
      </c>
      <c r="F128" s="3">
        <f>'2019.05.31.'!G128</f>
        <v>0</v>
      </c>
      <c r="G128" s="3">
        <f>'2019.05.31.'!H128</f>
        <v>0</v>
      </c>
      <c r="H128" s="3">
        <f>'2019.05.31.'!I128</f>
        <v>0</v>
      </c>
      <c r="I128" s="3">
        <f>'2019.05.31.'!J128</f>
        <v>240000</v>
      </c>
      <c r="J128" s="3">
        <f>'2019.05.31.'!K128</f>
        <v>61480</v>
      </c>
    </row>
    <row r="129" spans="1:10" x14ac:dyDescent="0.25">
      <c r="A129" s="258"/>
      <c r="B129" s="268"/>
      <c r="C129" s="2" t="s">
        <v>44</v>
      </c>
      <c r="D129" s="3">
        <v>94500</v>
      </c>
      <c r="E129" s="3">
        <f t="shared" si="36"/>
        <v>0</v>
      </c>
      <c r="F129" s="3">
        <f>'2019.05.31.'!G129</f>
        <v>0</v>
      </c>
      <c r="G129" s="3">
        <f>'2019.05.31.'!H129</f>
        <v>0</v>
      </c>
      <c r="H129" s="3">
        <f>'2019.05.31.'!I129</f>
        <v>0</v>
      </c>
      <c r="I129" s="3">
        <f>'2019.05.31.'!J129</f>
        <v>94500</v>
      </c>
      <c r="J129" s="3">
        <f>'2019.05.31.'!K129</f>
        <v>8121</v>
      </c>
    </row>
    <row r="130" spans="1:10" x14ac:dyDescent="0.25">
      <c r="A130" s="258"/>
      <c r="B130" s="268"/>
      <c r="C130" s="6" t="s">
        <v>49</v>
      </c>
      <c r="D130" s="7">
        <f>SUM(D122:D129)</f>
        <v>701300</v>
      </c>
      <c r="E130" s="7">
        <f t="shared" ref="E130:I130" si="37">SUM(E122:E129)</f>
        <v>0</v>
      </c>
      <c r="F130" s="7">
        <f t="shared" si="37"/>
        <v>0</v>
      </c>
      <c r="G130" s="7">
        <f t="shared" si="37"/>
        <v>0</v>
      </c>
      <c r="H130" s="7">
        <f t="shared" si="37"/>
        <v>0</v>
      </c>
      <c r="I130" s="7">
        <f t="shared" si="37"/>
        <v>701300</v>
      </c>
      <c r="J130" s="7">
        <f t="shared" ref="J130" si="38">SUM(J122:J129)</f>
        <v>103081</v>
      </c>
    </row>
    <row r="131" spans="1:10" x14ac:dyDescent="0.25">
      <c r="A131" s="255" t="s">
        <v>64</v>
      </c>
      <c r="B131" s="252" t="s">
        <v>23</v>
      </c>
      <c r="C131" s="15" t="s">
        <v>29</v>
      </c>
      <c r="D131" s="24">
        <v>39600</v>
      </c>
      <c r="E131" s="3">
        <f t="shared" ref="E131:E134" si="39">I131-D131-F131-G131-H131</f>
        <v>0</v>
      </c>
      <c r="F131" s="11">
        <f>'2019.05.31.'!G131</f>
        <v>0</v>
      </c>
      <c r="G131" s="11">
        <f>'2019.05.31.'!H131</f>
        <v>0</v>
      </c>
      <c r="H131" s="11">
        <f>'2019.05.31.'!I131</f>
        <v>0</v>
      </c>
      <c r="I131" s="3">
        <f>'2019.05.31.'!J131</f>
        <v>39600</v>
      </c>
      <c r="J131" s="3">
        <f>'2019.05.31.'!K131</f>
        <v>16500</v>
      </c>
    </row>
    <row r="132" spans="1:10" x14ac:dyDescent="0.25">
      <c r="A132" s="257"/>
      <c r="B132" s="254"/>
      <c r="C132" s="15" t="s">
        <v>31</v>
      </c>
      <c r="D132" s="24">
        <v>7359</v>
      </c>
      <c r="E132" s="3">
        <f t="shared" si="39"/>
        <v>0</v>
      </c>
      <c r="F132" s="11">
        <f>'2019.05.31.'!G132</f>
        <v>0</v>
      </c>
      <c r="G132" s="11">
        <f>'2019.05.31.'!H132</f>
        <v>0</v>
      </c>
      <c r="H132" s="11">
        <f>'2019.05.31.'!I132</f>
        <v>0</v>
      </c>
      <c r="I132" s="3">
        <f>'2019.05.31.'!J132</f>
        <v>7359</v>
      </c>
      <c r="J132" s="3">
        <f>'2019.05.31.'!K132</f>
        <v>3218</v>
      </c>
    </row>
    <row r="133" spans="1:10" x14ac:dyDescent="0.25">
      <c r="A133" s="255" t="s">
        <v>65</v>
      </c>
      <c r="B133" s="252" t="s">
        <v>23</v>
      </c>
      <c r="C133" s="15" t="s">
        <v>24</v>
      </c>
      <c r="D133" s="24">
        <v>1357158</v>
      </c>
      <c r="E133" s="3">
        <f t="shared" si="39"/>
        <v>0</v>
      </c>
      <c r="F133" s="11">
        <f>'2019.05.31.'!G133</f>
        <v>0</v>
      </c>
      <c r="G133" s="11">
        <f>'2019.05.31.'!H133</f>
        <v>0</v>
      </c>
      <c r="H133" s="11">
        <f>'2019.05.31.'!I133</f>
        <v>0</v>
      </c>
      <c r="I133" s="3">
        <f>'2019.05.31.'!J133</f>
        <v>1357158</v>
      </c>
      <c r="J133" s="3">
        <f>'2019.05.31.'!K133</f>
        <v>565930</v>
      </c>
    </row>
    <row r="134" spans="1:10" x14ac:dyDescent="0.25">
      <c r="A134" s="257"/>
      <c r="B134" s="254"/>
      <c r="C134" s="15" t="s">
        <v>31</v>
      </c>
      <c r="D134" s="24">
        <v>253327</v>
      </c>
      <c r="E134" s="3">
        <f t="shared" si="39"/>
        <v>0</v>
      </c>
      <c r="F134" s="11">
        <f>'2019.05.31.'!G134</f>
        <v>0</v>
      </c>
      <c r="G134" s="11">
        <f>'2019.05.31.'!H134</f>
        <v>0</v>
      </c>
      <c r="H134" s="11">
        <f>'2019.05.31.'!I134</f>
        <v>0</v>
      </c>
      <c r="I134" s="3">
        <f>'2019.05.31.'!J134</f>
        <v>253327</v>
      </c>
      <c r="J134" s="3">
        <f>'2019.05.31.'!K134</f>
        <v>110355</v>
      </c>
    </row>
    <row r="135" spans="1:10" s="96" customFormat="1" ht="19.5" customHeight="1" x14ac:dyDescent="0.25">
      <c r="A135" s="325" t="s">
        <v>78</v>
      </c>
      <c r="B135" s="326"/>
      <c r="C135" s="327"/>
      <c r="D135" s="95">
        <f>SUM(D120+D121+D130+D131+D132+D133+D134)</f>
        <v>8585356</v>
      </c>
      <c r="E135" s="95">
        <f t="shared" ref="E135:I135" si="40">SUM(E120+E121+E130+E131+E132+E133+E134)</f>
        <v>0</v>
      </c>
      <c r="F135" s="95">
        <f t="shared" si="40"/>
        <v>0</v>
      </c>
      <c r="G135" s="95">
        <f t="shared" si="40"/>
        <v>16751</v>
      </c>
      <c r="H135" s="95">
        <f t="shared" si="40"/>
        <v>0</v>
      </c>
      <c r="I135" s="95">
        <f t="shared" si="40"/>
        <v>8602107</v>
      </c>
      <c r="J135" s="95">
        <f t="shared" ref="J135" si="41">SUM(J120+J121+J130+J131+J132+J133+J134)</f>
        <v>3326216</v>
      </c>
    </row>
    <row r="136" spans="1:10" x14ac:dyDescent="0.25">
      <c r="A136" s="258" t="s">
        <v>14</v>
      </c>
      <c r="B136" s="268" t="s">
        <v>23</v>
      </c>
      <c r="C136" s="2" t="s">
        <v>24</v>
      </c>
      <c r="D136" s="3">
        <v>4756797</v>
      </c>
      <c r="E136" s="3">
        <f t="shared" ref="E136:E142" si="42">I136-D136-F136-G136-H136</f>
        <v>-77789</v>
      </c>
      <c r="F136" s="3">
        <f>'2019.05.31.'!G136</f>
        <v>0</v>
      </c>
      <c r="G136" s="3">
        <f>'2019.05.31.'!H136</f>
        <v>9580</v>
      </c>
      <c r="H136" s="3">
        <f>'2019.05.31.'!I136</f>
        <v>0</v>
      </c>
      <c r="I136" s="3">
        <f>'2019.05.31.'!J136</f>
        <v>4688588</v>
      </c>
      <c r="J136" s="3">
        <f>'2019.05.31.'!K136</f>
        <v>1822094</v>
      </c>
    </row>
    <row r="137" spans="1:10" x14ac:dyDescent="0.25">
      <c r="A137" s="258"/>
      <c r="B137" s="268"/>
      <c r="C137" s="2" t="s">
        <v>25</v>
      </c>
      <c r="D137" s="3">
        <v>200000</v>
      </c>
      <c r="E137" s="3">
        <f t="shared" si="42"/>
        <v>0</v>
      </c>
      <c r="F137" s="3">
        <f>'2019.05.31.'!G137</f>
        <v>0</v>
      </c>
      <c r="G137" s="3">
        <f>'2019.05.31.'!H137</f>
        <v>0</v>
      </c>
      <c r="H137" s="3">
        <f>'2019.05.31.'!I137</f>
        <v>0</v>
      </c>
      <c r="I137" s="3">
        <f>'2019.05.31.'!J137</f>
        <v>200000</v>
      </c>
      <c r="J137" s="3">
        <f>'2019.05.31.'!K137</f>
        <v>100000</v>
      </c>
    </row>
    <row r="138" spans="1:10" x14ac:dyDescent="0.25">
      <c r="A138" s="258"/>
      <c r="B138" s="268"/>
      <c r="C138" s="2" t="s">
        <v>26</v>
      </c>
      <c r="D138" s="3">
        <v>10000</v>
      </c>
      <c r="E138" s="3">
        <f t="shared" si="42"/>
        <v>0</v>
      </c>
      <c r="F138" s="3">
        <f>'2019.05.31.'!G138</f>
        <v>0</v>
      </c>
      <c r="G138" s="3">
        <f>'2019.05.31.'!H138</f>
        <v>0</v>
      </c>
      <c r="H138" s="3">
        <f>'2019.05.31.'!I138</f>
        <v>0</v>
      </c>
      <c r="I138" s="3">
        <f>'2019.05.31.'!J138</f>
        <v>10000</v>
      </c>
      <c r="J138" s="3">
        <f>'2019.05.31.'!K138</f>
        <v>0</v>
      </c>
    </row>
    <row r="139" spans="1:10" x14ac:dyDescent="0.25">
      <c r="A139" s="258"/>
      <c r="B139" s="268"/>
      <c r="C139" s="2" t="s">
        <v>27</v>
      </c>
      <c r="D139" s="3">
        <v>255000</v>
      </c>
      <c r="E139" s="3">
        <f t="shared" si="42"/>
        <v>0</v>
      </c>
      <c r="F139" s="3">
        <f>'2019.05.31.'!G139</f>
        <v>0</v>
      </c>
      <c r="G139" s="3">
        <f>'2019.05.31.'!H139</f>
        <v>0</v>
      </c>
      <c r="H139" s="3">
        <f>'2019.05.31.'!I139</f>
        <v>0</v>
      </c>
      <c r="I139" s="3">
        <f>'2019.05.31.'!J139</f>
        <v>255000</v>
      </c>
      <c r="J139" s="3">
        <f>'2019.05.31.'!K139</f>
        <v>70096</v>
      </c>
    </row>
    <row r="140" spans="1:10" x14ac:dyDescent="0.25">
      <c r="A140" s="258"/>
      <c r="B140" s="268"/>
      <c r="C140" s="2" t="s">
        <v>28</v>
      </c>
      <c r="D140" s="3">
        <v>24000</v>
      </c>
      <c r="E140" s="3">
        <f t="shared" si="42"/>
        <v>0</v>
      </c>
      <c r="F140" s="3">
        <f>'2019.05.31.'!G140</f>
        <v>0</v>
      </c>
      <c r="G140" s="3">
        <f>'2019.05.31.'!H140</f>
        <v>0</v>
      </c>
      <c r="H140" s="3">
        <f>'2019.05.31.'!I140</f>
        <v>0</v>
      </c>
      <c r="I140" s="3">
        <f>'2019.05.31.'!J140</f>
        <v>24000</v>
      </c>
      <c r="J140" s="3">
        <f>'2019.05.31.'!K140</f>
        <v>12000</v>
      </c>
    </row>
    <row r="141" spans="1:10" x14ac:dyDescent="0.25">
      <c r="A141" s="258"/>
      <c r="B141" s="268"/>
      <c r="C141" s="2" t="s">
        <v>29</v>
      </c>
      <c r="D141" s="3">
        <v>0</v>
      </c>
      <c r="E141" s="3">
        <f t="shared" si="42"/>
        <v>77789</v>
      </c>
      <c r="F141" s="3">
        <f>'2019.05.31.'!G141</f>
        <v>0</v>
      </c>
      <c r="G141" s="3">
        <f>'2019.05.31.'!H141</f>
        <v>0</v>
      </c>
      <c r="H141" s="3">
        <f>'2019.05.31.'!I141</f>
        <v>0</v>
      </c>
      <c r="I141" s="3">
        <f>'2019.05.31.'!J141</f>
        <v>77789</v>
      </c>
      <c r="J141" s="3">
        <f>'2019.05.31.'!K141</f>
        <v>77789</v>
      </c>
    </row>
    <row r="142" spans="1:10" x14ac:dyDescent="0.25">
      <c r="A142" s="258"/>
      <c r="B142" s="268"/>
      <c r="C142" s="2" t="s">
        <v>30</v>
      </c>
      <c r="D142" s="3">
        <v>0</v>
      </c>
      <c r="E142" s="3">
        <f t="shared" si="42"/>
        <v>0</v>
      </c>
      <c r="F142" s="3">
        <f>'2019.05.31.'!G142</f>
        <v>0</v>
      </c>
      <c r="G142" s="3">
        <f>'2019.05.31.'!H142</f>
        <v>0</v>
      </c>
      <c r="H142" s="3">
        <f>'2019.05.31.'!I142</f>
        <v>0</v>
      </c>
      <c r="I142" s="3">
        <f>'2019.05.31.'!J142</f>
        <v>0</v>
      </c>
      <c r="J142" s="3">
        <f>'2019.05.31.'!K142</f>
        <v>0</v>
      </c>
    </row>
    <row r="143" spans="1:10" x14ac:dyDescent="0.25">
      <c r="A143" s="258"/>
      <c r="B143" s="268"/>
      <c r="C143" s="6" t="s">
        <v>53</v>
      </c>
      <c r="D143" s="7">
        <f>SUM(D136:D142)</f>
        <v>5245797</v>
      </c>
      <c r="E143" s="7">
        <f t="shared" ref="E143:I143" si="43">SUM(E136:E142)</f>
        <v>0</v>
      </c>
      <c r="F143" s="7">
        <f t="shared" si="43"/>
        <v>0</v>
      </c>
      <c r="G143" s="7">
        <f t="shared" si="43"/>
        <v>9580</v>
      </c>
      <c r="H143" s="7">
        <f t="shared" si="43"/>
        <v>0</v>
      </c>
      <c r="I143" s="7">
        <f t="shared" si="43"/>
        <v>5255377</v>
      </c>
      <c r="J143" s="7">
        <f t="shared" ref="J143" si="44">SUM(J136:J142)</f>
        <v>2081979</v>
      </c>
    </row>
    <row r="144" spans="1:10" s="74" customFormat="1" x14ac:dyDescent="0.25">
      <c r="A144" s="258"/>
      <c r="B144" s="268"/>
      <c r="C144" s="100" t="s">
        <v>31</v>
      </c>
      <c r="D144" s="87">
        <v>1025121</v>
      </c>
      <c r="E144" s="89">
        <f t="shared" ref="E144:E152" si="45">I144-D144-F144-G144-H144</f>
        <v>0</v>
      </c>
      <c r="F144" s="87">
        <f>'2019.05.31.'!G144</f>
        <v>0</v>
      </c>
      <c r="G144" s="87">
        <f>'2019.05.31.'!H144</f>
        <v>1868</v>
      </c>
      <c r="H144" s="87">
        <f>'2019.05.31.'!I144</f>
        <v>0</v>
      </c>
      <c r="I144" s="89">
        <f>'2019.05.31.'!J144</f>
        <v>1026989</v>
      </c>
      <c r="J144" s="89">
        <f>'2019.05.31.'!K144</f>
        <v>430860</v>
      </c>
    </row>
    <row r="145" spans="1:10" x14ac:dyDescent="0.25">
      <c r="A145" s="258"/>
      <c r="B145" s="268"/>
      <c r="C145" s="2" t="s">
        <v>32</v>
      </c>
      <c r="D145" s="3">
        <v>80000</v>
      </c>
      <c r="E145" s="3">
        <f t="shared" si="45"/>
        <v>0</v>
      </c>
      <c r="F145" s="3">
        <f>'2019.05.31.'!G145</f>
        <v>0</v>
      </c>
      <c r="G145" s="3">
        <f>'2019.05.31.'!H145</f>
        <v>0</v>
      </c>
      <c r="H145" s="3">
        <f>'2019.05.31.'!I145</f>
        <v>0</v>
      </c>
      <c r="I145" s="3">
        <f>'2019.05.31.'!J145</f>
        <v>80000</v>
      </c>
      <c r="J145" s="3">
        <f>'2019.05.31.'!K145</f>
        <v>0</v>
      </c>
    </row>
    <row r="146" spans="1:10" x14ac:dyDescent="0.25">
      <c r="A146" s="258"/>
      <c r="B146" s="268"/>
      <c r="C146" s="2" t="s">
        <v>33</v>
      </c>
      <c r="D146" s="3">
        <v>110000</v>
      </c>
      <c r="E146" s="3">
        <f t="shared" si="45"/>
        <v>0</v>
      </c>
      <c r="F146" s="3">
        <f>'2019.05.31.'!G146</f>
        <v>0</v>
      </c>
      <c r="G146" s="3">
        <f>'2019.05.31.'!H146</f>
        <v>0</v>
      </c>
      <c r="H146" s="3">
        <f>'2019.05.31.'!I146</f>
        <v>0</v>
      </c>
      <c r="I146" s="3">
        <f>'2019.05.31.'!J146</f>
        <v>110000</v>
      </c>
      <c r="J146" s="3">
        <f>'2019.05.31.'!K146</f>
        <v>0</v>
      </c>
    </row>
    <row r="147" spans="1:10" x14ac:dyDescent="0.25">
      <c r="A147" s="258"/>
      <c r="B147" s="268"/>
      <c r="C147" s="2" t="s">
        <v>34</v>
      </c>
      <c r="D147" s="3">
        <v>150000</v>
      </c>
      <c r="E147" s="3">
        <f t="shared" si="45"/>
        <v>-14000</v>
      </c>
      <c r="F147" s="3">
        <f>'2019.05.31.'!G147</f>
        <v>0</v>
      </c>
      <c r="G147" s="3">
        <f>'2019.05.31.'!H147</f>
        <v>0</v>
      </c>
      <c r="H147" s="3">
        <f>'2019.05.31.'!I147</f>
        <v>0</v>
      </c>
      <c r="I147" s="3">
        <f>'2019.05.31.'!J147</f>
        <v>136000</v>
      </c>
      <c r="J147" s="3">
        <f>'2019.05.31.'!K147</f>
        <v>0</v>
      </c>
    </row>
    <row r="148" spans="1:10" x14ac:dyDescent="0.25">
      <c r="A148" s="258"/>
      <c r="B148" s="268"/>
      <c r="C148" s="2" t="s">
        <v>38</v>
      </c>
      <c r="D148" s="3">
        <v>144000</v>
      </c>
      <c r="E148" s="3">
        <f t="shared" si="45"/>
        <v>0</v>
      </c>
      <c r="F148" s="3">
        <f>'2019.05.31.'!G148</f>
        <v>0</v>
      </c>
      <c r="G148" s="3">
        <f>'2019.05.31.'!H148</f>
        <v>0</v>
      </c>
      <c r="H148" s="3">
        <f>'2019.05.31.'!I148</f>
        <v>0</v>
      </c>
      <c r="I148" s="3">
        <f>'2019.05.31.'!J148</f>
        <v>144000</v>
      </c>
      <c r="J148" s="3">
        <f>'2019.05.31.'!K148</f>
        <v>0</v>
      </c>
    </row>
    <row r="149" spans="1:10" x14ac:dyDescent="0.25">
      <c r="A149" s="258"/>
      <c r="B149" s="268"/>
      <c r="C149" s="2" t="s">
        <v>40</v>
      </c>
      <c r="D149" s="3">
        <v>16800</v>
      </c>
      <c r="E149" s="3">
        <f t="shared" si="45"/>
        <v>0</v>
      </c>
      <c r="F149" s="3">
        <f>'2019.05.31.'!G149</f>
        <v>0</v>
      </c>
      <c r="G149" s="3">
        <f>'2019.05.31.'!H149</f>
        <v>0</v>
      </c>
      <c r="H149" s="3">
        <f>'2019.05.31.'!I149</f>
        <v>0</v>
      </c>
      <c r="I149" s="3">
        <f>'2019.05.31.'!J149</f>
        <v>16800</v>
      </c>
      <c r="J149" s="3">
        <f>'2019.05.31.'!K149</f>
        <v>3400</v>
      </c>
    </row>
    <row r="150" spans="1:10" x14ac:dyDescent="0.25">
      <c r="A150" s="258"/>
      <c r="B150" s="268"/>
      <c r="C150" s="2" t="s">
        <v>41</v>
      </c>
      <c r="D150" s="3">
        <v>40000</v>
      </c>
      <c r="E150" s="3">
        <f t="shared" si="45"/>
        <v>14000</v>
      </c>
      <c r="F150" s="3">
        <f>'2019.05.31.'!G150</f>
        <v>0</v>
      </c>
      <c r="G150" s="3">
        <f>'2019.05.31.'!H150</f>
        <v>0</v>
      </c>
      <c r="H150" s="3">
        <f>'2019.05.31.'!I150</f>
        <v>0</v>
      </c>
      <c r="I150" s="3">
        <f>'2019.05.31.'!J150</f>
        <v>54000</v>
      </c>
      <c r="J150" s="3">
        <f>'2019.05.31.'!K150</f>
        <v>50080</v>
      </c>
    </row>
    <row r="151" spans="1:10" x14ac:dyDescent="0.25">
      <c r="A151" s="258"/>
      <c r="B151" s="268"/>
      <c r="C151" s="2" t="s">
        <v>42</v>
      </c>
      <c r="D151" s="3">
        <v>150000</v>
      </c>
      <c r="E151" s="3">
        <f t="shared" si="45"/>
        <v>0</v>
      </c>
      <c r="F151" s="3">
        <f>'2019.05.31.'!G151</f>
        <v>0</v>
      </c>
      <c r="G151" s="3">
        <f>'2019.05.31.'!H151</f>
        <v>0</v>
      </c>
      <c r="H151" s="3">
        <f>'2019.05.31.'!I151</f>
        <v>0</v>
      </c>
      <c r="I151" s="3">
        <f>'2019.05.31.'!J151</f>
        <v>150000</v>
      </c>
      <c r="J151" s="3">
        <f>'2019.05.31.'!K151</f>
        <v>51280</v>
      </c>
    </row>
    <row r="152" spans="1:10" x14ac:dyDescent="0.25">
      <c r="A152" s="258"/>
      <c r="B152" s="268"/>
      <c r="C152" s="2" t="s">
        <v>44</v>
      </c>
      <c r="D152" s="3">
        <v>141480</v>
      </c>
      <c r="E152" s="3">
        <f t="shared" si="45"/>
        <v>0</v>
      </c>
      <c r="F152" s="3">
        <f>'2019.05.31.'!G152</f>
        <v>0</v>
      </c>
      <c r="G152" s="3">
        <f>'2019.05.31.'!H152</f>
        <v>0</v>
      </c>
      <c r="H152" s="3">
        <f>'2019.05.31.'!I152</f>
        <v>0</v>
      </c>
      <c r="I152" s="3">
        <f>'2019.05.31.'!J152</f>
        <v>141480</v>
      </c>
      <c r="J152" s="3">
        <f>'2019.05.31.'!K152</f>
        <v>8122</v>
      </c>
    </row>
    <row r="153" spans="1:10" x14ac:dyDescent="0.25">
      <c r="A153" s="258"/>
      <c r="B153" s="268"/>
      <c r="C153" s="6" t="s">
        <v>49</v>
      </c>
      <c r="D153" s="7">
        <f>SUM(D145:D152)</f>
        <v>832280</v>
      </c>
      <c r="E153" s="7">
        <f t="shared" ref="E153:I153" si="46">SUM(E145:E152)</f>
        <v>0</v>
      </c>
      <c r="F153" s="7">
        <f t="shared" si="46"/>
        <v>0</v>
      </c>
      <c r="G153" s="7">
        <f t="shared" si="46"/>
        <v>0</v>
      </c>
      <c r="H153" s="7">
        <f t="shared" si="46"/>
        <v>0</v>
      </c>
      <c r="I153" s="7">
        <f t="shared" si="46"/>
        <v>832280</v>
      </c>
      <c r="J153" s="7">
        <f t="shared" ref="J153" si="47">SUM(J145:J152)</f>
        <v>112882</v>
      </c>
    </row>
    <row r="154" spans="1:10" x14ac:dyDescent="0.25">
      <c r="A154" s="255" t="s">
        <v>66</v>
      </c>
      <c r="B154" s="252" t="s">
        <v>23</v>
      </c>
      <c r="C154" s="15" t="s">
        <v>24</v>
      </c>
      <c r="D154" s="24">
        <v>832628</v>
      </c>
      <c r="E154" s="3">
        <f t="shared" ref="E154:E155" si="48">I154-D154-F154-G154-H154</f>
        <v>0</v>
      </c>
      <c r="F154" s="11">
        <f>'2019.05.31.'!G154</f>
        <v>0</v>
      </c>
      <c r="G154" s="11">
        <f>'2019.05.31.'!H154</f>
        <v>0</v>
      </c>
      <c r="H154" s="11">
        <f>'2019.05.31.'!I154</f>
        <v>0</v>
      </c>
      <c r="I154" s="3">
        <f>'2019.05.31.'!J154</f>
        <v>832628</v>
      </c>
      <c r="J154" s="3">
        <f>'2019.05.31.'!K154</f>
        <v>335402</v>
      </c>
    </row>
    <row r="155" spans="1:10" x14ac:dyDescent="0.25">
      <c r="A155" s="257"/>
      <c r="B155" s="254"/>
      <c r="C155" s="15" t="s">
        <v>31</v>
      </c>
      <c r="D155" s="24">
        <v>155410</v>
      </c>
      <c r="E155" s="3">
        <f t="shared" si="48"/>
        <v>0</v>
      </c>
      <c r="F155" s="11">
        <f>'2019.05.31.'!G155</f>
        <v>0</v>
      </c>
      <c r="G155" s="11">
        <f>'2019.05.31.'!H155</f>
        <v>0</v>
      </c>
      <c r="H155" s="11">
        <f>'2019.05.31.'!I155</f>
        <v>0</v>
      </c>
      <c r="I155" s="3">
        <f>'2019.05.31.'!J155</f>
        <v>155410</v>
      </c>
      <c r="J155" s="3">
        <f>'2019.05.31.'!K155</f>
        <v>65403</v>
      </c>
    </row>
    <row r="156" spans="1:10" s="96" customFormat="1" ht="19.5" customHeight="1" x14ac:dyDescent="0.25">
      <c r="A156" s="325" t="s">
        <v>79</v>
      </c>
      <c r="B156" s="326"/>
      <c r="C156" s="327"/>
      <c r="D156" s="95">
        <f>SUM(D143+D144+D153+D154+D155)</f>
        <v>8091236</v>
      </c>
      <c r="E156" s="95">
        <f t="shared" ref="E156:I156" si="49">SUM(E143+E144+E153+E154+E155)</f>
        <v>0</v>
      </c>
      <c r="F156" s="95">
        <f t="shared" si="49"/>
        <v>0</v>
      </c>
      <c r="G156" s="95">
        <f t="shared" si="49"/>
        <v>11448</v>
      </c>
      <c r="H156" s="95">
        <f t="shared" si="49"/>
        <v>0</v>
      </c>
      <c r="I156" s="95">
        <f t="shared" si="49"/>
        <v>8102684</v>
      </c>
      <c r="J156" s="95">
        <f t="shared" ref="J156" si="50">SUM(J143+J144+J153+J154+J155)</f>
        <v>3026526</v>
      </c>
    </row>
    <row r="157" spans="1:10" x14ac:dyDescent="0.25">
      <c r="A157" s="258" t="s">
        <v>55</v>
      </c>
      <c r="B157" s="268" t="s">
        <v>23</v>
      </c>
      <c r="C157" s="10" t="s">
        <v>24</v>
      </c>
      <c r="D157" s="24">
        <v>5055869</v>
      </c>
      <c r="E157" s="3">
        <f t="shared" ref="E157:E162" si="51">I157-D157-F157-G157-H157</f>
        <v>0</v>
      </c>
      <c r="F157" s="11">
        <f>'2019.05.31.'!G157</f>
        <v>0</v>
      </c>
      <c r="G157" s="11">
        <f>'2019.05.31.'!H157</f>
        <v>0</v>
      </c>
      <c r="H157" s="11">
        <f>'2019.05.31.'!I157</f>
        <v>0</v>
      </c>
      <c r="I157" s="3">
        <f>'2019.05.31.'!J157</f>
        <v>5055869</v>
      </c>
      <c r="J157" s="3">
        <f>'2019.05.31.'!K157</f>
        <v>2020996</v>
      </c>
    </row>
    <row r="158" spans="1:10" x14ac:dyDescent="0.25">
      <c r="A158" s="258"/>
      <c r="B158" s="268"/>
      <c r="C158" s="10" t="s">
        <v>25</v>
      </c>
      <c r="D158" s="24">
        <v>425000</v>
      </c>
      <c r="E158" s="3">
        <f t="shared" si="51"/>
        <v>0</v>
      </c>
      <c r="F158" s="11">
        <f>'2019.05.31.'!G158</f>
        <v>0</v>
      </c>
      <c r="G158" s="11">
        <f>'2019.05.31.'!H158</f>
        <v>0</v>
      </c>
      <c r="H158" s="11">
        <f>'2019.05.31.'!I158</f>
        <v>0</v>
      </c>
      <c r="I158" s="3">
        <f>'2019.05.31.'!J158</f>
        <v>425000</v>
      </c>
      <c r="J158" s="3">
        <f>'2019.05.31.'!K158</f>
        <v>212500</v>
      </c>
    </row>
    <row r="159" spans="1:10" x14ac:dyDescent="0.25">
      <c r="A159" s="258"/>
      <c r="B159" s="268"/>
      <c r="C159" s="10" t="s">
        <v>26</v>
      </c>
      <c r="D159" s="24">
        <v>10000</v>
      </c>
      <c r="E159" s="3">
        <f t="shared" si="51"/>
        <v>0</v>
      </c>
      <c r="F159" s="11">
        <f>'2019.05.31.'!G159</f>
        <v>0</v>
      </c>
      <c r="G159" s="11">
        <f>'2019.05.31.'!H159</f>
        <v>0</v>
      </c>
      <c r="H159" s="11">
        <f>'2019.05.31.'!I159</f>
        <v>0</v>
      </c>
      <c r="I159" s="3">
        <f>'2019.05.31.'!J159</f>
        <v>10000</v>
      </c>
      <c r="J159" s="3">
        <f>'2019.05.31.'!K159</f>
        <v>0</v>
      </c>
    </row>
    <row r="160" spans="1:10" x14ac:dyDescent="0.25">
      <c r="A160" s="258"/>
      <c r="B160" s="268"/>
      <c r="C160" s="10" t="s">
        <v>28</v>
      </c>
      <c r="D160" s="24">
        <v>24000</v>
      </c>
      <c r="E160" s="3">
        <f t="shared" si="51"/>
        <v>0</v>
      </c>
      <c r="F160" s="11">
        <f>'2019.05.31.'!G160</f>
        <v>0</v>
      </c>
      <c r="G160" s="11">
        <f>'2019.05.31.'!H160</f>
        <v>0</v>
      </c>
      <c r="H160" s="11">
        <f>'2019.05.31.'!I160</f>
        <v>0</v>
      </c>
      <c r="I160" s="3">
        <f>'2019.05.31.'!J160</f>
        <v>24000</v>
      </c>
      <c r="J160" s="3">
        <f>'2019.05.31.'!K160</f>
        <v>12000</v>
      </c>
    </row>
    <row r="161" spans="1:10" x14ac:dyDescent="0.25">
      <c r="A161" s="258"/>
      <c r="B161" s="268"/>
      <c r="C161" s="10" t="s">
        <v>29</v>
      </c>
      <c r="D161" s="24">
        <v>75000</v>
      </c>
      <c r="E161" s="3">
        <f t="shared" si="51"/>
        <v>0</v>
      </c>
      <c r="F161" s="11">
        <f>'2019.05.31.'!G161</f>
        <v>0</v>
      </c>
      <c r="G161" s="11">
        <f>'2019.05.31.'!H161</f>
        <v>0</v>
      </c>
      <c r="H161" s="11">
        <f>'2019.05.31.'!I161</f>
        <v>0</v>
      </c>
      <c r="I161" s="3">
        <f>'2019.05.31.'!J161</f>
        <v>75000</v>
      </c>
      <c r="J161" s="3">
        <f>'2019.05.31.'!K161</f>
        <v>0</v>
      </c>
    </row>
    <row r="162" spans="1:10" x14ac:dyDescent="0.25">
      <c r="A162" s="258"/>
      <c r="B162" s="268"/>
      <c r="C162" s="10" t="s">
        <v>30</v>
      </c>
      <c r="D162" s="24">
        <v>0</v>
      </c>
      <c r="E162" s="3">
        <f t="shared" si="51"/>
        <v>0</v>
      </c>
      <c r="F162" s="11">
        <f>'2019.05.31.'!G162</f>
        <v>0</v>
      </c>
      <c r="G162" s="11">
        <f>'2019.05.31.'!H162</f>
        <v>0</v>
      </c>
      <c r="H162" s="11">
        <f>'2019.05.31.'!I162</f>
        <v>0</v>
      </c>
      <c r="I162" s="3">
        <f>'2019.05.31.'!J162</f>
        <v>0</v>
      </c>
      <c r="J162" s="3">
        <f>'2019.05.31.'!K162</f>
        <v>0</v>
      </c>
    </row>
    <row r="163" spans="1:10" x14ac:dyDescent="0.25">
      <c r="A163" s="258"/>
      <c r="B163" s="268"/>
      <c r="C163" s="6" t="s">
        <v>53</v>
      </c>
      <c r="D163" s="7">
        <f>SUM(D157:D162)</f>
        <v>5589869</v>
      </c>
      <c r="E163" s="7">
        <f t="shared" ref="E163:I163" si="52">SUM(E157:E162)</f>
        <v>0</v>
      </c>
      <c r="F163" s="7">
        <f t="shared" si="52"/>
        <v>0</v>
      </c>
      <c r="G163" s="7">
        <f t="shared" si="52"/>
        <v>0</v>
      </c>
      <c r="H163" s="7">
        <f t="shared" si="52"/>
        <v>0</v>
      </c>
      <c r="I163" s="7">
        <f t="shared" si="52"/>
        <v>5589869</v>
      </c>
      <c r="J163" s="7">
        <f t="shared" ref="J163" si="53">SUM(J157:J162)</f>
        <v>2245496</v>
      </c>
    </row>
    <row r="164" spans="1:10" s="74" customFormat="1" x14ac:dyDescent="0.25">
      <c r="A164" s="258"/>
      <c r="B164" s="268"/>
      <c r="C164" s="100" t="s">
        <v>31</v>
      </c>
      <c r="D164" s="87">
        <v>1124913</v>
      </c>
      <c r="E164" s="89">
        <f t="shared" ref="E164:E173" si="54">I164-D164-F164-G164-H164</f>
        <v>0</v>
      </c>
      <c r="F164" s="87">
        <f>'2019.05.31.'!G164</f>
        <v>0</v>
      </c>
      <c r="G164" s="87">
        <f>'2019.05.31.'!H164</f>
        <v>0</v>
      </c>
      <c r="H164" s="87">
        <f>'2019.05.31.'!I164</f>
        <v>0</v>
      </c>
      <c r="I164" s="89">
        <f>'2019.05.31.'!J164</f>
        <v>1124913</v>
      </c>
      <c r="J164" s="89">
        <f>'2019.05.31.'!K164</f>
        <v>476411</v>
      </c>
    </row>
    <row r="165" spans="1:10" x14ac:dyDescent="0.25">
      <c r="A165" s="258"/>
      <c r="B165" s="268"/>
      <c r="C165" s="10" t="s">
        <v>32</v>
      </c>
      <c r="D165" s="24">
        <v>100000</v>
      </c>
      <c r="E165" s="3">
        <f t="shared" si="54"/>
        <v>0</v>
      </c>
      <c r="F165" s="11">
        <f>'2019.05.31.'!G165</f>
        <v>0</v>
      </c>
      <c r="G165" s="11">
        <f>'2019.05.31.'!H165</f>
        <v>0</v>
      </c>
      <c r="H165" s="11">
        <f>'2019.05.31.'!I165</f>
        <v>0</v>
      </c>
      <c r="I165" s="3">
        <f>'2019.05.31.'!J165</f>
        <v>100000</v>
      </c>
      <c r="J165" s="3">
        <f>'2019.05.31.'!K165</f>
        <v>0</v>
      </c>
    </row>
    <row r="166" spans="1:10" x14ac:dyDescent="0.25">
      <c r="A166" s="258"/>
      <c r="B166" s="268"/>
      <c r="C166" s="10" t="s">
        <v>33</v>
      </c>
      <c r="D166" s="24">
        <v>100000</v>
      </c>
      <c r="E166" s="3">
        <f t="shared" si="54"/>
        <v>0</v>
      </c>
      <c r="F166" s="11">
        <f>'2019.05.31.'!G166</f>
        <v>0</v>
      </c>
      <c r="G166" s="11">
        <f>'2019.05.31.'!H166</f>
        <v>0</v>
      </c>
      <c r="H166" s="11">
        <f>'2019.05.31.'!I166</f>
        <v>0</v>
      </c>
      <c r="I166" s="3">
        <f>'2019.05.31.'!J166</f>
        <v>100000</v>
      </c>
      <c r="J166" s="3">
        <f>'2019.05.31.'!K166</f>
        <v>0</v>
      </c>
    </row>
    <row r="167" spans="1:10" x14ac:dyDescent="0.25">
      <c r="A167" s="258"/>
      <c r="B167" s="268"/>
      <c r="C167" s="10" t="s">
        <v>34</v>
      </c>
      <c r="D167" s="24">
        <v>100000</v>
      </c>
      <c r="E167" s="3">
        <f t="shared" si="54"/>
        <v>0</v>
      </c>
      <c r="F167" s="11">
        <f>'2019.05.31.'!G167</f>
        <v>0</v>
      </c>
      <c r="G167" s="11">
        <f>'2019.05.31.'!H167</f>
        <v>0</v>
      </c>
      <c r="H167" s="11">
        <f>'2019.05.31.'!I167</f>
        <v>0</v>
      </c>
      <c r="I167" s="3">
        <f>'2019.05.31.'!J167</f>
        <v>100000</v>
      </c>
      <c r="J167" s="3">
        <f>'2019.05.31.'!K167</f>
        <v>0</v>
      </c>
    </row>
    <row r="168" spans="1:10" x14ac:dyDescent="0.25">
      <c r="A168" s="258"/>
      <c r="B168" s="268"/>
      <c r="C168" s="10" t="s">
        <v>35</v>
      </c>
      <c r="D168" s="24">
        <v>50000</v>
      </c>
      <c r="E168" s="3">
        <f t="shared" si="54"/>
        <v>0</v>
      </c>
      <c r="F168" s="11">
        <f>'2019.05.31.'!G168</f>
        <v>0</v>
      </c>
      <c r="G168" s="11">
        <f>'2019.05.31.'!H168</f>
        <v>0</v>
      </c>
      <c r="H168" s="11">
        <f>'2019.05.31.'!I168</f>
        <v>0</v>
      </c>
      <c r="I168" s="3">
        <f>'2019.05.31.'!J168</f>
        <v>50000</v>
      </c>
      <c r="J168" s="3">
        <f>'2019.05.31.'!K168</f>
        <v>0</v>
      </c>
    </row>
    <row r="169" spans="1:10" x14ac:dyDescent="0.25">
      <c r="A169" s="258"/>
      <c r="B169" s="268"/>
      <c r="C169" s="10" t="s">
        <v>38</v>
      </c>
      <c r="D169" s="24">
        <v>140000</v>
      </c>
      <c r="E169" s="3">
        <f t="shared" si="54"/>
        <v>0</v>
      </c>
      <c r="F169" s="11">
        <f>'2019.05.31.'!G169</f>
        <v>0</v>
      </c>
      <c r="G169" s="11">
        <f>'2019.05.31.'!H169</f>
        <v>0</v>
      </c>
      <c r="H169" s="11">
        <f>'2019.05.31.'!I169</f>
        <v>0</v>
      </c>
      <c r="I169" s="3">
        <f>'2019.05.31.'!J169</f>
        <v>140000</v>
      </c>
      <c r="J169" s="3">
        <f>'2019.05.31.'!K169</f>
        <v>26259</v>
      </c>
    </row>
    <row r="170" spans="1:10" x14ac:dyDescent="0.25">
      <c r="A170" s="258"/>
      <c r="B170" s="268"/>
      <c r="C170" s="10" t="s">
        <v>40</v>
      </c>
      <c r="D170" s="24">
        <v>15000</v>
      </c>
      <c r="E170" s="3">
        <f t="shared" si="54"/>
        <v>0</v>
      </c>
      <c r="F170" s="11">
        <f>'2019.05.31.'!G170</f>
        <v>0</v>
      </c>
      <c r="G170" s="11">
        <f>'2019.05.31.'!H170</f>
        <v>0</v>
      </c>
      <c r="H170" s="11">
        <f>'2019.05.31.'!I170</f>
        <v>0</v>
      </c>
      <c r="I170" s="3">
        <f>'2019.05.31.'!J170</f>
        <v>15000</v>
      </c>
      <c r="J170" s="3">
        <f>'2019.05.31.'!K170</f>
        <v>2950</v>
      </c>
    </row>
    <row r="171" spans="1:10" x14ac:dyDescent="0.25">
      <c r="A171" s="258"/>
      <c r="B171" s="268"/>
      <c r="C171" s="10" t="s">
        <v>41</v>
      </c>
      <c r="D171" s="24">
        <v>80000</v>
      </c>
      <c r="E171" s="3">
        <f t="shared" si="54"/>
        <v>0</v>
      </c>
      <c r="F171" s="11">
        <f>'2019.05.31.'!G171</f>
        <v>0</v>
      </c>
      <c r="G171" s="11">
        <f>'2019.05.31.'!H171</f>
        <v>0</v>
      </c>
      <c r="H171" s="11">
        <f>'2019.05.31.'!I171</f>
        <v>0</v>
      </c>
      <c r="I171" s="3">
        <f>'2019.05.31.'!J171</f>
        <v>80000</v>
      </c>
      <c r="J171" s="3">
        <f>'2019.05.31.'!K171</f>
        <v>30080</v>
      </c>
    </row>
    <row r="172" spans="1:10" x14ac:dyDescent="0.25">
      <c r="A172" s="258"/>
      <c r="B172" s="268"/>
      <c r="C172" s="10" t="s">
        <v>42</v>
      </c>
      <c r="D172" s="24">
        <v>240000</v>
      </c>
      <c r="E172" s="3">
        <f t="shared" si="54"/>
        <v>0</v>
      </c>
      <c r="F172" s="11">
        <f>'2019.05.31.'!G172</f>
        <v>0</v>
      </c>
      <c r="G172" s="11">
        <f>'2019.05.31.'!H172</f>
        <v>0</v>
      </c>
      <c r="H172" s="11">
        <f>'2019.05.31.'!I172</f>
        <v>0</v>
      </c>
      <c r="I172" s="3">
        <f>'2019.05.31.'!J172</f>
        <v>240000</v>
      </c>
      <c r="J172" s="3">
        <f>'2019.05.31.'!K172</f>
        <v>108195</v>
      </c>
    </row>
    <row r="173" spans="1:10" x14ac:dyDescent="0.25">
      <c r="A173" s="258"/>
      <c r="B173" s="268"/>
      <c r="C173" s="10" t="s">
        <v>44</v>
      </c>
      <c r="D173" s="24">
        <v>142900</v>
      </c>
      <c r="E173" s="3">
        <f t="shared" si="54"/>
        <v>0</v>
      </c>
      <c r="F173" s="11">
        <f>'2019.05.31.'!G173</f>
        <v>0</v>
      </c>
      <c r="G173" s="11">
        <f>'2019.05.31.'!H173</f>
        <v>0</v>
      </c>
      <c r="H173" s="11">
        <f>'2019.05.31.'!I173</f>
        <v>0</v>
      </c>
      <c r="I173" s="3">
        <f>'2019.05.31.'!J173</f>
        <v>142900</v>
      </c>
      <c r="J173" s="3">
        <f>'2019.05.31.'!K173</f>
        <v>15212</v>
      </c>
    </row>
    <row r="174" spans="1:10" x14ac:dyDescent="0.25">
      <c r="A174" s="258"/>
      <c r="B174" s="268"/>
      <c r="C174" s="6" t="s">
        <v>49</v>
      </c>
      <c r="D174" s="7">
        <f>SUM(D165:D173)</f>
        <v>967900</v>
      </c>
      <c r="E174" s="7">
        <f t="shared" ref="E174:I174" si="55">SUM(E165:E173)</f>
        <v>0</v>
      </c>
      <c r="F174" s="7">
        <f t="shared" si="55"/>
        <v>0</v>
      </c>
      <c r="G174" s="7">
        <f t="shared" si="55"/>
        <v>0</v>
      </c>
      <c r="H174" s="7">
        <f t="shared" si="55"/>
        <v>0</v>
      </c>
      <c r="I174" s="7">
        <f t="shared" si="55"/>
        <v>967900</v>
      </c>
      <c r="J174" s="7">
        <f t="shared" ref="J174" si="56">SUM(J165:J173)</f>
        <v>182696</v>
      </c>
    </row>
    <row r="175" spans="1:10" x14ac:dyDescent="0.25">
      <c r="A175" s="255" t="s">
        <v>67</v>
      </c>
      <c r="B175" s="252" t="s">
        <v>23</v>
      </c>
      <c r="C175" s="25" t="s">
        <v>29</v>
      </c>
      <c r="D175" s="24">
        <v>157200</v>
      </c>
      <c r="E175" s="3">
        <f t="shared" ref="E175:E178" si="57">I175-D175-F175-G175-H175</f>
        <v>0</v>
      </c>
      <c r="F175" s="11">
        <f>'2019.05.31.'!G175</f>
        <v>0</v>
      </c>
      <c r="G175" s="11">
        <f>'2019.05.31.'!H175</f>
        <v>0</v>
      </c>
      <c r="H175" s="11">
        <f>'2019.05.31.'!I175</f>
        <v>0</v>
      </c>
      <c r="I175" s="3">
        <f>'2019.05.31.'!J175</f>
        <v>157200</v>
      </c>
      <c r="J175" s="3">
        <f>'2019.05.31.'!K175</f>
        <v>34300</v>
      </c>
    </row>
    <row r="176" spans="1:10" x14ac:dyDescent="0.25">
      <c r="A176" s="257"/>
      <c r="B176" s="254"/>
      <c r="C176" s="25" t="s">
        <v>31</v>
      </c>
      <c r="D176" s="24">
        <v>29213</v>
      </c>
      <c r="E176" s="3">
        <f t="shared" si="57"/>
        <v>0</v>
      </c>
      <c r="F176" s="11">
        <f>'2019.05.31.'!G176</f>
        <v>0</v>
      </c>
      <c r="G176" s="11">
        <f>'2019.05.31.'!H176</f>
        <v>0</v>
      </c>
      <c r="H176" s="11">
        <f>'2019.05.31.'!I176</f>
        <v>0</v>
      </c>
      <c r="I176" s="3">
        <f>'2019.05.31.'!J176</f>
        <v>29213</v>
      </c>
      <c r="J176" s="3">
        <f>'2019.05.31.'!K176</f>
        <v>6689</v>
      </c>
    </row>
    <row r="177" spans="1:10" x14ac:dyDescent="0.25">
      <c r="A177" s="255" t="s">
        <v>75</v>
      </c>
      <c r="B177" s="252" t="s">
        <v>23</v>
      </c>
      <c r="C177" s="15" t="s">
        <v>24</v>
      </c>
      <c r="D177" s="24">
        <v>1604509</v>
      </c>
      <c r="E177" s="3">
        <f t="shared" si="57"/>
        <v>0</v>
      </c>
      <c r="F177" s="11">
        <f>'2019.05.31.'!G177</f>
        <v>0</v>
      </c>
      <c r="G177" s="11">
        <f>'2019.05.31.'!H177</f>
        <v>0</v>
      </c>
      <c r="H177" s="11">
        <f>'2019.05.31.'!I177</f>
        <v>0</v>
      </c>
      <c r="I177" s="3">
        <f>'2019.05.31.'!J177</f>
        <v>1604509</v>
      </c>
      <c r="J177" s="3">
        <f>'2019.05.31.'!K177</f>
        <v>681832</v>
      </c>
    </row>
    <row r="178" spans="1:10" x14ac:dyDescent="0.25">
      <c r="A178" s="257"/>
      <c r="B178" s="254"/>
      <c r="C178" s="15" t="s">
        <v>31</v>
      </c>
      <c r="D178" s="24">
        <v>299119</v>
      </c>
      <c r="E178" s="3">
        <f t="shared" si="57"/>
        <v>0</v>
      </c>
      <c r="F178" s="11">
        <f>'2019.05.31.'!G178</f>
        <v>0</v>
      </c>
      <c r="G178" s="11">
        <f>'2019.05.31.'!H178</f>
        <v>0</v>
      </c>
      <c r="H178" s="11">
        <f>'2019.05.31.'!I178</f>
        <v>0</v>
      </c>
      <c r="I178" s="3">
        <f>'2019.05.31.'!J178</f>
        <v>299119</v>
      </c>
      <c r="J178" s="3">
        <f>'2019.05.31.'!K178</f>
        <v>132959</v>
      </c>
    </row>
    <row r="179" spans="1:10" s="96" customFormat="1" ht="19.5" customHeight="1" x14ac:dyDescent="0.25">
      <c r="A179" s="331" t="s">
        <v>80</v>
      </c>
      <c r="B179" s="331"/>
      <c r="C179" s="331"/>
      <c r="D179" s="97">
        <f>SUM(D163+D164+D174+D175+D176+D177+D178)</f>
        <v>9772723</v>
      </c>
      <c r="E179" s="97">
        <f t="shared" ref="E179:I179" si="58">SUM(E163+E164+E174+E175+E176+E177+E178)</f>
        <v>0</v>
      </c>
      <c r="F179" s="97">
        <f t="shared" si="58"/>
        <v>0</v>
      </c>
      <c r="G179" s="97">
        <f t="shared" si="58"/>
        <v>0</v>
      </c>
      <c r="H179" s="97">
        <f t="shared" si="58"/>
        <v>0</v>
      </c>
      <c r="I179" s="97">
        <f t="shared" si="58"/>
        <v>9772723</v>
      </c>
      <c r="J179" s="97">
        <f t="shared" ref="J179" si="59">SUM(J163+J164+J174+J175+J176+J177+J178)</f>
        <v>3760383</v>
      </c>
    </row>
    <row r="180" spans="1:10" x14ac:dyDescent="0.25">
      <c r="A180" s="258" t="s">
        <v>15</v>
      </c>
      <c r="B180" s="252" t="s">
        <v>23</v>
      </c>
      <c r="C180" s="43" t="s">
        <v>24</v>
      </c>
      <c r="D180" s="44">
        <v>11144060</v>
      </c>
      <c r="E180" s="3">
        <f t="shared" ref="E180:E191" si="60">I180-D180-F180-G180-H180</f>
        <v>0</v>
      </c>
      <c r="F180" s="44">
        <f>'2019.05.31.'!G180</f>
        <v>0</v>
      </c>
      <c r="G180" s="44">
        <f>'2019.05.31.'!H180</f>
        <v>0</v>
      </c>
      <c r="H180" s="44">
        <f>'2019.05.31.'!I180</f>
        <v>0</v>
      </c>
      <c r="I180" s="3">
        <f>'2019.05.31.'!J180</f>
        <v>11144060</v>
      </c>
      <c r="J180" s="3">
        <f>'2019.05.31.'!K180</f>
        <v>960500</v>
      </c>
    </row>
    <row r="181" spans="1:10" x14ac:dyDescent="0.25">
      <c r="A181" s="258"/>
      <c r="B181" s="253"/>
      <c r="C181" s="43" t="s">
        <v>30</v>
      </c>
      <c r="D181" s="44">
        <v>0</v>
      </c>
      <c r="E181" s="3">
        <f t="shared" ref="E181" si="61">I181-D181-F181-G181-H181</f>
        <v>10500000</v>
      </c>
      <c r="F181" s="44">
        <f>'2019.05.31.'!G181</f>
        <v>0</v>
      </c>
      <c r="G181" s="44">
        <f>'2019.05.31.'!H181</f>
        <v>0</v>
      </c>
      <c r="H181" s="44">
        <f>'2019.05.31.'!I181</f>
        <v>0</v>
      </c>
      <c r="I181" s="3">
        <f>'2019.05.31.'!J181</f>
        <v>10500000</v>
      </c>
      <c r="J181" s="3">
        <f>'2019.05.31.'!K181</f>
        <v>0</v>
      </c>
    </row>
    <row r="182" spans="1:10" x14ac:dyDescent="0.25">
      <c r="A182" s="258"/>
      <c r="B182" s="253"/>
      <c r="C182" s="6" t="s">
        <v>53</v>
      </c>
      <c r="D182" s="7">
        <f>D180+D181</f>
        <v>11144060</v>
      </c>
      <c r="E182" s="7">
        <f t="shared" si="60"/>
        <v>10500000</v>
      </c>
      <c r="F182" s="7">
        <f>'2019.05.31.'!G182</f>
        <v>0</v>
      </c>
      <c r="G182" s="7">
        <f>'2019.05.31.'!H182</f>
        <v>0</v>
      </c>
      <c r="H182" s="7">
        <f>'2019.05.31.'!I182</f>
        <v>0</v>
      </c>
      <c r="I182" s="8">
        <f>I180+I181</f>
        <v>21644060</v>
      </c>
      <c r="J182" s="8">
        <f>J180</f>
        <v>960500</v>
      </c>
    </row>
    <row r="183" spans="1:10" s="74" customFormat="1" x14ac:dyDescent="0.25">
      <c r="A183" s="258"/>
      <c r="B183" s="253"/>
      <c r="C183" s="100" t="s">
        <v>31</v>
      </c>
      <c r="D183" s="87">
        <v>2295657</v>
      </c>
      <c r="E183" s="89">
        <f t="shared" si="60"/>
        <v>0</v>
      </c>
      <c r="F183" s="87">
        <f>'2019.05.31.'!G183</f>
        <v>0</v>
      </c>
      <c r="G183" s="87">
        <f>'2019.05.31.'!H183</f>
        <v>0</v>
      </c>
      <c r="H183" s="87">
        <f>'2019.05.31.'!I183</f>
        <v>0</v>
      </c>
      <c r="I183" s="89">
        <f>'2019.05.31.'!J183</f>
        <v>2295657</v>
      </c>
      <c r="J183" s="89">
        <f>'2019.05.31.'!K183</f>
        <v>187298</v>
      </c>
    </row>
    <row r="184" spans="1:10" x14ac:dyDescent="0.25">
      <c r="A184" s="258"/>
      <c r="B184" s="253"/>
      <c r="C184" s="10" t="s">
        <v>33</v>
      </c>
      <c r="D184" s="3">
        <v>90000</v>
      </c>
      <c r="E184" s="3">
        <f t="shared" si="60"/>
        <v>0</v>
      </c>
      <c r="F184" s="3">
        <f>'2019.05.31.'!G184</f>
        <v>0</v>
      </c>
      <c r="G184" s="3">
        <f>'2019.05.31.'!H184</f>
        <v>0</v>
      </c>
      <c r="H184" s="3">
        <f>'2019.05.31.'!I184</f>
        <v>0</v>
      </c>
      <c r="I184" s="3">
        <f>'2019.05.31.'!J184</f>
        <v>90000</v>
      </c>
      <c r="J184" s="3">
        <f>'2019.05.31.'!K184</f>
        <v>0</v>
      </c>
    </row>
    <row r="185" spans="1:10" x14ac:dyDescent="0.25">
      <c r="A185" s="258"/>
      <c r="B185" s="253"/>
      <c r="C185" s="10" t="s">
        <v>37</v>
      </c>
      <c r="D185" s="3">
        <v>230000</v>
      </c>
      <c r="E185" s="3">
        <f t="shared" si="60"/>
        <v>0</v>
      </c>
      <c r="F185" s="3">
        <f>'2019.05.31.'!G185</f>
        <v>0</v>
      </c>
      <c r="G185" s="3">
        <f>'2019.05.31.'!H185</f>
        <v>0</v>
      </c>
      <c r="H185" s="3">
        <f>'2019.05.31.'!I185</f>
        <v>0</v>
      </c>
      <c r="I185" s="3">
        <f>'2019.05.31.'!J185</f>
        <v>230000</v>
      </c>
      <c r="J185" s="3">
        <f>'2019.05.31.'!K185</f>
        <v>0</v>
      </c>
    </row>
    <row r="186" spans="1:10" x14ac:dyDescent="0.25">
      <c r="A186" s="258"/>
      <c r="B186" s="253"/>
      <c r="C186" s="10" t="s">
        <v>40</v>
      </c>
      <c r="D186" s="3">
        <v>14850000</v>
      </c>
      <c r="E186" s="3">
        <f t="shared" si="60"/>
        <v>0</v>
      </c>
      <c r="F186" s="3">
        <f>'2019.05.31.'!G186</f>
        <v>0</v>
      </c>
      <c r="G186" s="3">
        <f>'2019.05.31.'!H186</f>
        <v>0</v>
      </c>
      <c r="H186" s="3">
        <f>'2019.05.31.'!I186</f>
        <v>0</v>
      </c>
      <c r="I186" s="3">
        <f>'2019.05.31.'!J186</f>
        <v>14850000</v>
      </c>
      <c r="J186" s="3">
        <f>'2019.05.31.'!K186</f>
        <v>0</v>
      </c>
    </row>
    <row r="187" spans="1:10" x14ac:dyDescent="0.25">
      <c r="A187" s="258"/>
      <c r="B187" s="253"/>
      <c r="C187" s="10" t="s">
        <v>41</v>
      </c>
      <c r="D187" s="3">
        <v>25112271</v>
      </c>
      <c r="E187" s="3">
        <f t="shared" si="60"/>
        <v>-18767717</v>
      </c>
      <c r="F187" s="3">
        <f>'2019.05.31.'!G187</f>
        <v>0</v>
      </c>
      <c r="G187" s="3">
        <f>'2019.05.31.'!H187</f>
        <v>0</v>
      </c>
      <c r="H187" s="3">
        <f>'2019.05.31.'!I187</f>
        <v>0</v>
      </c>
      <c r="I187" s="3">
        <f>'2019.05.31.'!J187</f>
        <v>6344554</v>
      </c>
      <c r="J187" s="3">
        <f>'2019.05.31.'!K187</f>
        <v>5250000</v>
      </c>
    </row>
    <row r="188" spans="1:10" x14ac:dyDescent="0.25">
      <c r="A188" s="258"/>
      <c r="B188" s="253"/>
      <c r="C188" s="10" t="s">
        <v>42</v>
      </c>
      <c r="D188" s="3">
        <v>230000</v>
      </c>
      <c r="E188" s="3">
        <f t="shared" si="60"/>
        <v>0</v>
      </c>
      <c r="F188" s="3">
        <f>'2019.05.31.'!G188</f>
        <v>0</v>
      </c>
      <c r="G188" s="3">
        <f>'2019.05.31.'!H188</f>
        <v>0</v>
      </c>
      <c r="H188" s="3">
        <f>'2019.05.31.'!I188</f>
        <v>0</v>
      </c>
      <c r="I188" s="3">
        <f>'2019.05.31.'!J188</f>
        <v>230000</v>
      </c>
      <c r="J188" s="3">
        <f>'2019.05.31.'!K188</f>
        <v>0</v>
      </c>
    </row>
    <row r="189" spans="1:10" x14ac:dyDescent="0.25">
      <c r="A189" s="258"/>
      <c r="B189" s="253"/>
      <c r="C189" s="10" t="s">
        <v>43</v>
      </c>
      <c r="D189" s="3">
        <v>230000</v>
      </c>
      <c r="E189" s="3">
        <f t="shared" si="60"/>
        <v>0</v>
      </c>
      <c r="F189" s="3">
        <f>'2019.05.31.'!G189</f>
        <v>0</v>
      </c>
      <c r="G189" s="3">
        <f>'2019.05.31.'!H189</f>
        <v>0</v>
      </c>
      <c r="H189" s="3">
        <f>'2019.05.31.'!I189</f>
        <v>0</v>
      </c>
      <c r="I189" s="3">
        <f>'2019.05.31.'!J189</f>
        <v>230000</v>
      </c>
      <c r="J189" s="3">
        <f>'2019.05.31.'!K189</f>
        <v>0</v>
      </c>
    </row>
    <row r="190" spans="1:10" x14ac:dyDescent="0.25">
      <c r="A190" s="258"/>
      <c r="B190" s="253"/>
      <c r="C190" s="10" t="s">
        <v>44</v>
      </c>
      <c r="D190" s="3">
        <v>5677830</v>
      </c>
      <c r="E190" s="3">
        <f t="shared" si="60"/>
        <v>-2232283</v>
      </c>
      <c r="F190" s="3">
        <f>'2019.05.31.'!G190</f>
        <v>0</v>
      </c>
      <c r="G190" s="3">
        <f>'2019.05.31.'!H190</f>
        <v>0</v>
      </c>
      <c r="H190" s="3">
        <f>'2019.05.31.'!I190</f>
        <v>0</v>
      </c>
      <c r="I190" s="3">
        <f>'2019.05.31.'!J190</f>
        <v>3445547</v>
      </c>
      <c r="J190" s="3">
        <f>'2019.05.31.'!K190</f>
        <v>1417500</v>
      </c>
    </row>
    <row r="191" spans="1:10" x14ac:dyDescent="0.25">
      <c r="A191" s="258"/>
      <c r="B191" s="253"/>
      <c r="C191" s="10" t="s">
        <v>45</v>
      </c>
      <c r="D191" s="3">
        <v>229990</v>
      </c>
      <c r="E191" s="3">
        <f t="shared" si="60"/>
        <v>0</v>
      </c>
      <c r="F191" s="3">
        <f>'2019.05.31.'!G191</f>
        <v>0</v>
      </c>
      <c r="G191" s="3">
        <f>'2019.05.31.'!H191</f>
        <v>0</v>
      </c>
      <c r="H191" s="3">
        <f>'2019.05.31.'!I191</f>
        <v>0</v>
      </c>
      <c r="I191" s="3">
        <f>'2019.05.31.'!J191</f>
        <v>229990</v>
      </c>
      <c r="J191" s="3">
        <f>'2019.05.31.'!K191</f>
        <v>0</v>
      </c>
    </row>
    <row r="192" spans="1:10" x14ac:dyDescent="0.25">
      <c r="A192" s="258"/>
      <c r="B192" s="253"/>
      <c r="C192" s="6" t="s">
        <v>49</v>
      </c>
      <c r="D192" s="7">
        <f>SUM(D184:D191)</f>
        <v>46650091</v>
      </c>
      <c r="E192" s="7">
        <f t="shared" ref="E192:I192" si="62">SUM(E184:E191)</f>
        <v>-21000000</v>
      </c>
      <c r="F192" s="7">
        <f t="shared" si="62"/>
        <v>0</v>
      </c>
      <c r="G192" s="7">
        <f t="shared" si="62"/>
        <v>0</v>
      </c>
      <c r="H192" s="7">
        <f t="shared" si="62"/>
        <v>0</v>
      </c>
      <c r="I192" s="7">
        <f t="shared" si="62"/>
        <v>25650091</v>
      </c>
      <c r="J192" s="7">
        <f t="shared" ref="J192" si="63">SUM(J184:J191)</f>
        <v>6667500</v>
      </c>
    </row>
    <row r="193" spans="1:10" x14ac:dyDescent="0.25">
      <c r="A193" s="258"/>
      <c r="B193" s="253"/>
      <c r="C193" s="10" t="s">
        <v>56</v>
      </c>
      <c r="D193" s="3">
        <v>0</v>
      </c>
      <c r="E193" s="3">
        <f t="shared" ref="E193:E195" si="64">I193-D193-F193-G193-H193</f>
        <v>0</v>
      </c>
      <c r="F193" s="3">
        <f>'2019.05.31.'!G193</f>
        <v>0</v>
      </c>
      <c r="G193" s="3">
        <f>'2019.05.31.'!H193</f>
        <v>0</v>
      </c>
      <c r="H193" s="3">
        <f>'2019.05.31.'!I193</f>
        <v>0</v>
      </c>
      <c r="I193" s="3">
        <f>'2019.05.31.'!J193</f>
        <v>0</v>
      </c>
      <c r="J193" s="3">
        <f>'2019.05.31.'!K193</f>
        <v>0</v>
      </c>
    </row>
    <row r="194" spans="1:10" x14ac:dyDescent="0.25">
      <c r="A194" s="258"/>
      <c r="B194" s="253"/>
      <c r="C194" s="10" t="s">
        <v>50</v>
      </c>
      <c r="D194" s="3">
        <v>3740</v>
      </c>
      <c r="E194" s="3">
        <f t="shared" si="64"/>
        <v>0</v>
      </c>
      <c r="F194" s="3">
        <f>'2019.05.31.'!G194</f>
        <v>0</v>
      </c>
      <c r="G194" s="3">
        <f>'2019.05.31.'!H194</f>
        <v>0</v>
      </c>
      <c r="H194" s="3">
        <f>'2019.05.31.'!I194</f>
        <v>0</v>
      </c>
      <c r="I194" s="3">
        <f>'2019.05.31.'!J194</f>
        <v>3740</v>
      </c>
      <c r="J194" s="3">
        <f>'2019.05.31.'!K194</f>
        <v>0</v>
      </c>
    </row>
    <row r="195" spans="1:10" x14ac:dyDescent="0.25">
      <c r="A195" s="258"/>
      <c r="B195" s="253"/>
      <c r="C195" s="10" t="s">
        <v>51</v>
      </c>
      <c r="D195" s="3">
        <v>1010</v>
      </c>
      <c r="E195" s="3">
        <f t="shared" si="64"/>
        <v>0</v>
      </c>
      <c r="F195" s="3">
        <f>'2019.05.31.'!G195</f>
        <v>0</v>
      </c>
      <c r="G195" s="3">
        <f>'2019.05.31.'!H195</f>
        <v>0</v>
      </c>
      <c r="H195" s="3">
        <f>'2019.05.31.'!I195</f>
        <v>0</v>
      </c>
      <c r="I195" s="3">
        <f>'2019.05.31.'!J195</f>
        <v>1010</v>
      </c>
      <c r="J195" s="3">
        <f>'2019.05.31.'!K195</f>
        <v>0</v>
      </c>
    </row>
    <row r="196" spans="1:10" x14ac:dyDescent="0.25">
      <c r="A196" s="258"/>
      <c r="B196" s="253"/>
      <c r="C196" s="6" t="s">
        <v>52</v>
      </c>
      <c r="D196" s="7">
        <f>SUM(D193:D195)</f>
        <v>4750</v>
      </c>
      <c r="E196" s="7">
        <f t="shared" ref="E196:I196" si="65">SUM(E193:E195)</f>
        <v>0</v>
      </c>
      <c r="F196" s="7">
        <f t="shared" si="65"/>
        <v>0</v>
      </c>
      <c r="G196" s="7">
        <f t="shared" si="65"/>
        <v>0</v>
      </c>
      <c r="H196" s="7">
        <f t="shared" si="65"/>
        <v>0</v>
      </c>
      <c r="I196" s="7">
        <f t="shared" si="65"/>
        <v>4750</v>
      </c>
      <c r="J196" s="7">
        <f t="shared" ref="J196" si="66">SUM(J193:J195)</f>
        <v>0</v>
      </c>
    </row>
    <row r="197" spans="1:10" x14ac:dyDescent="0.25">
      <c r="A197" s="258"/>
      <c r="B197" s="254"/>
      <c r="C197" s="10" t="s">
        <v>57</v>
      </c>
      <c r="D197" s="3">
        <v>0</v>
      </c>
      <c r="E197" s="3">
        <f>I197-D197-F197-G197-H197</f>
        <v>10500000</v>
      </c>
      <c r="F197" s="3">
        <f>'2019.05.31.'!G197</f>
        <v>0</v>
      </c>
      <c r="G197" s="3">
        <f>'2019.05.31.'!H197</f>
        <v>0</v>
      </c>
      <c r="H197" s="3">
        <f>'2019.05.31.'!I197</f>
        <v>0</v>
      </c>
      <c r="I197" s="3">
        <f>'2019.05.31.'!J197</f>
        <v>10500000</v>
      </c>
      <c r="J197" s="3">
        <f>'2019.05.31.'!K197</f>
        <v>10500000</v>
      </c>
    </row>
    <row r="198" spans="1:10" s="96" customFormat="1" ht="19.5" customHeight="1" x14ac:dyDescent="0.25">
      <c r="A198" s="325" t="s">
        <v>81</v>
      </c>
      <c r="B198" s="326"/>
      <c r="C198" s="327"/>
      <c r="D198" s="95">
        <f>SUM(D182+D183+D192+D196+D197)</f>
        <v>60094558</v>
      </c>
      <c r="E198" s="95">
        <f t="shared" ref="E198:H198" si="67">SUM(E182+E183+E192+E196+E197)</f>
        <v>0</v>
      </c>
      <c r="F198" s="95">
        <f t="shared" si="67"/>
        <v>0</v>
      </c>
      <c r="G198" s="95">
        <f t="shared" si="67"/>
        <v>0</v>
      </c>
      <c r="H198" s="95">
        <f t="shared" si="67"/>
        <v>0</v>
      </c>
      <c r="I198" s="95">
        <f>SUM(I182+I183+I192+I196+I197)</f>
        <v>60094558</v>
      </c>
      <c r="J198" s="95">
        <f>SUM(J182+J183+J192+J196+J197)</f>
        <v>18315298</v>
      </c>
    </row>
    <row r="199" spans="1:10" x14ac:dyDescent="0.25">
      <c r="A199" s="256" t="s">
        <v>85</v>
      </c>
      <c r="B199" s="252" t="s">
        <v>46</v>
      </c>
      <c r="C199" s="12" t="s">
        <v>24</v>
      </c>
      <c r="D199" s="3">
        <v>9880165</v>
      </c>
      <c r="E199" s="3">
        <f t="shared" ref="E199:E204" si="68">I199-D199-F199-G199-H199</f>
        <v>-217403</v>
      </c>
      <c r="F199" s="3">
        <f>'2019.05.31.'!G199</f>
        <v>0</v>
      </c>
      <c r="G199" s="3">
        <f>'2019.05.31.'!H199</f>
        <v>0</v>
      </c>
      <c r="H199" s="3">
        <f>'2019.05.31.'!I199</f>
        <v>0</v>
      </c>
      <c r="I199" s="3">
        <f>'2019.05.31.'!J199</f>
        <v>9662762</v>
      </c>
      <c r="J199" s="3">
        <f>'2019.05.31.'!K199</f>
        <v>3677887</v>
      </c>
    </row>
    <row r="200" spans="1:10" x14ac:dyDescent="0.25">
      <c r="A200" s="256"/>
      <c r="B200" s="253"/>
      <c r="C200" s="12" t="s">
        <v>25</v>
      </c>
      <c r="D200" s="3">
        <v>400000</v>
      </c>
      <c r="E200" s="3">
        <f t="shared" si="68"/>
        <v>0</v>
      </c>
      <c r="F200" s="3">
        <f>'2019.05.31.'!G200</f>
        <v>0</v>
      </c>
      <c r="G200" s="3">
        <f>'2019.05.31.'!H200</f>
        <v>0</v>
      </c>
      <c r="H200" s="3">
        <f>'2019.05.31.'!I200</f>
        <v>0</v>
      </c>
      <c r="I200" s="3">
        <f>'2019.05.31.'!J200</f>
        <v>400000</v>
      </c>
      <c r="J200" s="3">
        <f>'2019.05.31.'!K200</f>
        <v>200000</v>
      </c>
    </row>
    <row r="201" spans="1:10" x14ac:dyDescent="0.25">
      <c r="A201" s="256"/>
      <c r="B201" s="253"/>
      <c r="C201" s="12" t="s">
        <v>26</v>
      </c>
      <c r="D201" s="3">
        <v>20000</v>
      </c>
      <c r="E201" s="3">
        <f t="shared" si="68"/>
        <v>0</v>
      </c>
      <c r="F201" s="3">
        <f>'2019.05.31.'!G201</f>
        <v>0</v>
      </c>
      <c r="G201" s="3">
        <f>'2019.05.31.'!H201</f>
        <v>0</v>
      </c>
      <c r="H201" s="3">
        <f>'2019.05.31.'!I201</f>
        <v>0</v>
      </c>
      <c r="I201" s="3">
        <f>'2019.05.31.'!J201</f>
        <v>20000</v>
      </c>
      <c r="J201" s="3">
        <f>'2019.05.31.'!K201</f>
        <v>0</v>
      </c>
    </row>
    <row r="202" spans="1:10" x14ac:dyDescent="0.25">
      <c r="A202" s="256"/>
      <c r="B202" s="253"/>
      <c r="C202" s="2" t="s">
        <v>27</v>
      </c>
      <c r="D202" s="3">
        <v>75000</v>
      </c>
      <c r="E202" s="3">
        <f t="shared" si="68"/>
        <v>0</v>
      </c>
      <c r="F202" s="3">
        <f>'2019.05.31.'!G202</f>
        <v>0</v>
      </c>
      <c r="G202" s="3">
        <f>'2019.05.31.'!H202</f>
        <v>0</v>
      </c>
      <c r="H202" s="3">
        <f>'2019.05.31.'!I202</f>
        <v>0</v>
      </c>
      <c r="I202" s="3">
        <f>'2019.05.31.'!J202</f>
        <v>75000</v>
      </c>
      <c r="J202" s="3">
        <f>'2019.05.31.'!K202</f>
        <v>0</v>
      </c>
    </row>
    <row r="203" spans="1:10" x14ac:dyDescent="0.25">
      <c r="A203" s="256"/>
      <c r="B203" s="253"/>
      <c r="C203" s="2" t="s">
        <v>28</v>
      </c>
      <c r="D203" s="3">
        <v>48000</v>
      </c>
      <c r="E203" s="3">
        <f t="shared" si="68"/>
        <v>0</v>
      </c>
      <c r="F203" s="3">
        <f>'2019.05.31.'!G203</f>
        <v>0</v>
      </c>
      <c r="G203" s="3">
        <f>'2019.05.31.'!H203</f>
        <v>0</v>
      </c>
      <c r="H203" s="3">
        <f>'2019.05.31.'!I203</f>
        <v>0</v>
      </c>
      <c r="I203" s="3">
        <f>'2019.05.31.'!J203</f>
        <v>48000</v>
      </c>
      <c r="J203" s="3">
        <f>'2019.05.31.'!K203</f>
        <v>24000</v>
      </c>
    </row>
    <row r="204" spans="1:10" x14ac:dyDescent="0.25">
      <c r="A204" s="256"/>
      <c r="B204" s="253"/>
      <c r="C204" s="2" t="s">
        <v>29</v>
      </c>
      <c r="D204" s="3">
        <v>264000</v>
      </c>
      <c r="E204" s="3">
        <f t="shared" si="68"/>
        <v>217403</v>
      </c>
      <c r="F204" s="3">
        <f>'2019.05.31.'!G204</f>
        <v>0</v>
      </c>
      <c r="G204" s="3">
        <f>'2019.05.31.'!H204</f>
        <v>0</v>
      </c>
      <c r="H204" s="3">
        <f>'2019.05.31.'!I204</f>
        <v>0</v>
      </c>
      <c r="I204" s="3">
        <f>'2019.05.31.'!J204</f>
        <v>481403</v>
      </c>
      <c r="J204" s="3">
        <f>'2019.05.31.'!K204</f>
        <v>303643</v>
      </c>
    </row>
    <row r="205" spans="1:10" x14ac:dyDescent="0.25">
      <c r="A205" s="256"/>
      <c r="B205" s="253"/>
      <c r="C205" s="26" t="s">
        <v>53</v>
      </c>
      <c r="D205" s="7">
        <f>SUM(D199:D204)</f>
        <v>10687165</v>
      </c>
      <c r="E205" s="7">
        <f t="shared" ref="E205:I205" si="69">SUM(E199:E204)</f>
        <v>0</v>
      </c>
      <c r="F205" s="7">
        <f t="shared" si="69"/>
        <v>0</v>
      </c>
      <c r="G205" s="7">
        <f t="shared" si="69"/>
        <v>0</v>
      </c>
      <c r="H205" s="7">
        <f t="shared" si="69"/>
        <v>0</v>
      </c>
      <c r="I205" s="7">
        <f t="shared" si="69"/>
        <v>10687165</v>
      </c>
      <c r="J205" s="7">
        <f t="shared" ref="J205" si="70">SUM(J199:J204)</f>
        <v>4205530</v>
      </c>
    </row>
    <row r="206" spans="1:10" s="74" customFormat="1" x14ac:dyDescent="0.25">
      <c r="A206" s="256"/>
      <c r="B206" s="253"/>
      <c r="C206" s="101" t="s">
        <v>31</v>
      </c>
      <c r="D206" s="91">
        <v>2120857</v>
      </c>
      <c r="E206" s="89">
        <f t="shared" ref="E206:E212" si="71">I206-D206-F206-G206-H206</f>
        <v>0</v>
      </c>
      <c r="F206" s="92">
        <f>'2019.05.31.'!G206</f>
        <v>0</v>
      </c>
      <c r="G206" s="92">
        <f>'2019.05.31.'!H206</f>
        <v>0</v>
      </c>
      <c r="H206" s="92">
        <f>'2019.05.31.'!I206</f>
        <v>0</v>
      </c>
      <c r="I206" s="89">
        <f>'2019.05.31.'!J206</f>
        <v>2120857</v>
      </c>
      <c r="J206" s="89">
        <f>'2019.05.31.'!K206</f>
        <v>841728</v>
      </c>
    </row>
    <row r="207" spans="1:10" s="105" customFormat="1" x14ac:dyDescent="0.25">
      <c r="A207" s="256"/>
      <c r="B207" s="253"/>
      <c r="C207" s="103" t="s">
        <v>33</v>
      </c>
      <c r="D207" s="104">
        <v>0</v>
      </c>
      <c r="E207" s="3">
        <f t="shared" ref="E207" si="72">I207-D207-F207-G207-H207</f>
        <v>186928</v>
      </c>
      <c r="F207" s="47">
        <f>'2019.05.31.'!G207</f>
        <v>0</v>
      </c>
      <c r="G207" s="47">
        <f>'2019.05.31.'!H207</f>
        <v>0</v>
      </c>
      <c r="H207" s="47">
        <f>'2019.05.31.'!I207</f>
        <v>0</v>
      </c>
      <c r="I207" s="3">
        <f>'2019.05.31.'!J207</f>
        <v>186928</v>
      </c>
      <c r="J207" s="3">
        <f>'2019.05.31.'!K207</f>
        <v>17981</v>
      </c>
    </row>
    <row r="208" spans="1:10" x14ac:dyDescent="0.25">
      <c r="A208" s="256"/>
      <c r="B208" s="253"/>
      <c r="C208" s="46" t="s">
        <v>35</v>
      </c>
      <c r="D208" s="47">
        <v>0</v>
      </c>
      <c r="E208" s="3">
        <f t="shared" si="71"/>
        <v>172800</v>
      </c>
      <c r="F208" s="47">
        <f>'2019.05.31.'!G208</f>
        <v>0</v>
      </c>
      <c r="G208" s="47">
        <f>'2019.05.31.'!H208</f>
        <v>0</v>
      </c>
      <c r="H208" s="47">
        <f>'2019.05.31.'!I208</f>
        <v>0</v>
      </c>
      <c r="I208" s="3">
        <f>'2019.05.31.'!J208</f>
        <v>172800</v>
      </c>
      <c r="J208" s="3">
        <f>'2019.05.31.'!K208</f>
        <v>19481</v>
      </c>
    </row>
    <row r="209" spans="1:11" x14ac:dyDescent="0.25">
      <c r="A209" s="256"/>
      <c r="B209" s="253"/>
      <c r="C209" s="102" t="s">
        <v>38</v>
      </c>
      <c r="D209" s="47">
        <v>0</v>
      </c>
      <c r="E209" s="3">
        <f t="shared" ref="E209" si="73">I209-D209-F209-G209-H209</f>
        <v>3500</v>
      </c>
      <c r="F209" s="47">
        <f>'2019.05.31.'!G209</f>
        <v>0</v>
      </c>
      <c r="G209" s="47">
        <f>'2019.05.31.'!H209</f>
        <v>0</v>
      </c>
      <c r="H209" s="47">
        <f>'2019.05.31.'!I209</f>
        <v>0</v>
      </c>
      <c r="I209" s="3">
        <f>'2019.05.31.'!J209</f>
        <v>3500</v>
      </c>
      <c r="J209" s="3">
        <f>'2019.05.31.'!K209</f>
        <v>3500</v>
      </c>
    </row>
    <row r="210" spans="1:11" x14ac:dyDescent="0.25">
      <c r="A210" s="256"/>
      <c r="B210" s="253"/>
      <c r="C210" s="46" t="s">
        <v>42</v>
      </c>
      <c r="D210" s="47">
        <v>0</v>
      </c>
      <c r="E210" s="3">
        <f t="shared" si="71"/>
        <v>64600</v>
      </c>
      <c r="F210" s="47">
        <f>'2019.05.31.'!G210</f>
        <v>0</v>
      </c>
      <c r="G210" s="47">
        <f>'2019.05.31.'!H210</f>
        <v>0</v>
      </c>
      <c r="H210" s="47">
        <f>'2019.05.31.'!I210</f>
        <v>0</v>
      </c>
      <c r="I210" s="3">
        <f>'2019.05.31.'!J210</f>
        <v>64600</v>
      </c>
      <c r="J210" s="3">
        <f>'2019.05.31.'!K210</f>
        <v>64600</v>
      </c>
    </row>
    <row r="211" spans="1:11" x14ac:dyDescent="0.25">
      <c r="A211" s="256"/>
      <c r="B211" s="253"/>
      <c r="C211" s="46" t="s">
        <v>44</v>
      </c>
      <c r="D211" s="47">
        <v>0</v>
      </c>
      <c r="E211" s="3">
        <f t="shared" si="71"/>
        <v>111556</v>
      </c>
      <c r="F211" s="47">
        <f>'2019.05.31.'!G211</f>
        <v>0</v>
      </c>
      <c r="G211" s="47">
        <f>'2019.05.31.'!H211</f>
        <v>0</v>
      </c>
      <c r="H211" s="47">
        <f>'2019.05.31.'!I211</f>
        <v>0</v>
      </c>
      <c r="I211" s="3">
        <f>'2019.05.31.'!J211</f>
        <v>111556</v>
      </c>
      <c r="J211" s="3">
        <f>'2019.05.31.'!K211</f>
        <v>31051</v>
      </c>
    </row>
    <row r="212" spans="1:11" x14ac:dyDescent="0.25">
      <c r="A212" s="256"/>
      <c r="B212" s="253"/>
      <c r="C212" s="46" t="s">
        <v>45</v>
      </c>
      <c r="D212" s="47">
        <v>0</v>
      </c>
      <c r="E212" s="3">
        <f t="shared" si="71"/>
        <v>276854</v>
      </c>
      <c r="F212" s="47">
        <f>'2019.05.31.'!G212</f>
        <v>0</v>
      </c>
      <c r="G212" s="47">
        <f>'2019.05.31.'!H212</f>
        <v>0</v>
      </c>
      <c r="H212" s="47">
        <f>'2019.05.31.'!I212</f>
        <v>0</v>
      </c>
      <c r="I212" s="3">
        <f>'2019.05.31.'!J212</f>
        <v>276854</v>
      </c>
      <c r="J212" s="3">
        <f>'2019.05.31.'!K212</f>
        <v>184479</v>
      </c>
    </row>
    <row r="213" spans="1:11" x14ac:dyDescent="0.25">
      <c r="A213" s="257"/>
      <c r="B213" s="254"/>
      <c r="C213" s="49" t="s">
        <v>49</v>
      </c>
      <c r="D213" s="50">
        <f>SUM(D207:D212)</f>
        <v>0</v>
      </c>
      <c r="E213" s="50">
        <f>SUM(E207:E212)</f>
        <v>816238</v>
      </c>
      <c r="F213" s="50">
        <f t="shared" ref="F213:H213" si="74">SUM(F207:F212)</f>
        <v>0</v>
      </c>
      <c r="G213" s="50">
        <f t="shared" si="74"/>
        <v>0</v>
      </c>
      <c r="H213" s="50">
        <f t="shared" si="74"/>
        <v>0</v>
      </c>
      <c r="I213" s="99">
        <f>SUM(I207:I212)</f>
        <v>816238</v>
      </c>
      <c r="J213" s="99">
        <f>SUM(J207:J212)</f>
        <v>321092</v>
      </c>
    </row>
    <row r="214" spans="1:11" x14ac:dyDescent="0.25">
      <c r="A214" s="258" t="s">
        <v>68</v>
      </c>
      <c r="B214" s="267" t="s">
        <v>46</v>
      </c>
      <c r="C214" s="16" t="s">
        <v>24</v>
      </c>
      <c r="D214" s="17">
        <v>2501556</v>
      </c>
      <c r="E214" s="3">
        <f t="shared" ref="E214:E215" si="75">I214-D214-F214-G214-H214</f>
        <v>0</v>
      </c>
      <c r="F214" s="17">
        <f>'2019.05.31.'!G214</f>
        <v>0</v>
      </c>
      <c r="G214" s="17">
        <f>'2019.05.31.'!H214</f>
        <v>0</v>
      </c>
      <c r="H214" s="17">
        <f>'2019.05.31.'!I214</f>
        <v>0</v>
      </c>
      <c r="I214" s="3">
        <f>'2019.05.31.'!J214</f>
        <v>2501556</v>
      </c>
      <c r="J214" s="3">
        <f>'2019.05.31.'!K214</f>
        <v>1027065</v>
      </c>
    </row>
    <row r="215" spans="1:11" x14ac:dyDescent="0.25">
      <c r="A215" s="255"/>
      <c r="B215" s="261"/>
      <c r="C215" s="18" t="s">
        <v>31</v>
      </c>
      <c r="D215" s="19">
        <v>466569</v>
      </c>
      <c r="E215" s="3">
        <f t="shared" si="75"/>
        <v>0</v>
      </c>
      <c r="F215" s="19">
        <f>'2019.05.31.'!G215</f>
        <v>0</v>
      </c>
      <c r="G215" s="19">
        <f>'2019.05.31.'!H215</f>
        <v>0</v>
      </c>
      <c r="H215" s="19">
        <f>'2019.05.31.'!I215</f>
        <v>0</v>
      </c>
      <c r="I215" s="3">
        <f>'2019.05.31.'!J215</f>
        <v>466569</v>
      </c>
      <c r="J215" s="3">
        <f>'2019.05.31.'!K215</f>
        <v>200275</v>
      </c>
    </row>
    <row r="216" spans="1:11" s="96" customFormat="1" ht="19.5" customHeight="1" x14ac:dyDescent="0.25">
      <c r="A216" s="325" t="s">
        <v>82</v>
      </c>
      <c r="B216" s="326"/>
      <c r="C216" s="327"/>
      <c r="D216" s="98">
        <f>SUM(D205+D206+D214+D215+D213)</f>
        <v>15776147</v>
      </c>
      <c r="E216" s="98">
        <f t="shared" ref="E216:H216" si="76">SUM(E205+E206+E214+E215+E213)</f>
        <v>816238</v>
      </c>
      <c r="F216" s="98">
        <f t="shared" si="76"/>
        <v>0</v>
      </c>
      <c r="G216" s="98">
        <f t="shared" si="76"/>
        <v>0</v>
      </c>
      <c r="H216" s="98">
        <f t="shared" si="76"/>
        <v>0</v>
      </c>
      <c r="I216" s="95">
        <f>SUM(I205+I206+I214+I215+I213)</f>
        <v>16592385</v>
      </c>
      <c r="J216" s="95">
        <f>SUM(J205+J206+J214+J215+J213)</f>
        <v>6595690</v>
      </c>
    </row>
    <row r="217" spans="1:11" ht="20.25" customHeight="1" x14ac:dyDescent="0.25">
      <c r="A217" s="328" t="s">
        <v>74</v>
      </c>
      <c r="B217" s="329"/>
      <c r="C217" s="330"/>
      <c r="D217" s="94">
        <f t="shared" ref="D217" si="77">SUM(D88+D113+D135+D156+D179+D198+D216)</f>
        <v>230443641</v>
      </c>
      <c r="E217" s="94">
        <f t="shared" ref="E217:I217" si="78">SUM(E88+E113+E135+E156+E179+E198+E216)</f>
        <v>0</v>
      </c>
      <c r="F217" s="94">
        <f t="shared" si="78"/>
        <v>12000</v>
      </c>
      <c r="G217" s="94">
        <f t="shared" si="78"/>
        <v>66208</v>
      </c>
      <c r="H217" s="94">
        <f t="shared" si="78"/>
        <v>0</v>
      </c>
      <c r="I217" s="94">
        <f t="shared" si="78"/>
        <v>230521849</v>
      </c>
      <c r="J217" s="94">
        <f t="shared" ref="J217" si="79">SUM(J88+J113+J135+J156+J179+J198+J216)</f>
        <v>81431680</v>
      </c>
    </row>
    <row r="218" spans="1:11" x14ac:dyDescent="0.25">
      <c r="B218" s="5"/>
      <c r="E218" s="4"/>
      <c r="F218" s="4"/>
      <c r="G218" s="4"/>
      <c r="H218" s="4"/>
      <c r="I218" s="4"/>
    </row>
    <row r="219" spans="1:11" x14ac:dyDescent="0.25">
      <c r="B219" s="5"/>
      <c r="E219" s="4"/>
      <c r="F219" s="4"/>
      <c r="G219" s="4"/>
      <c r="H219" s="4"/>
      <c r="I219" s="4"/>
    </row>
    <row r="220" spans="1:11" x14ac:dyDescent="0.25">
      <c r="B220" s="5"/>
      <c r="E220" s="4"/>
      <c r="F220" s="4"/>
      <c r="G220" s="4"/>
      <c r="H220" s="4"/>
      <c r="I220" s="4"/>
    </row>
    <row r="221" spans="1:11" x14ac:dyDescent="0.25">
      <c r="B221" s="5"/>
      <c r="E221" s="4"/>
      <c r="F221" s="4"/>
      <c r="G221" s="4"/>
      <c r="H221" s="4"/>
      <c r="I221" s="4"/>
      <c r="J221" s="4"/>
      <c r="K221" s="39"/>
    </row>
    <row r="222" spans="1:11" x14ac:dyDescent="0.25">
      <c r="B222" s="5"/>
      <c r="E222" s="4"/>
      <c r="F222" s="4"/>
      <c r="G222" s="4"/>
      <c r="H222" s="4"/>
      <c r="I222" s="4"/>
      <c r="J222" s="4"/>
      <c r="K222" s="39"/>
    </row>
    <row r="223" spans="1:11" ht="15.75" thickBot="1" x14ac:dyDescent="0.3">
      <c r="B223" s="5"/>
      <c r="E223" s="4"/>
      <c r="F223" s="4"/>
      <c r="G223" s="4"/>
      <c r="H223" s="4"/>
      <c r="I223" s="4"/>
      <c r="J223" s="4"/>
      <c r="K223" s="39"/>
    </row>
    <row r="224" spans="1:11" ht="15.75" thickTop="1" x14ac:dyDescent="0.25">
      <c r="A224" s="250" t="s">
        <v>83</v>
      </c>
      <c r="B224" s="250"/>
      <c r="C224" s="250"/>
      <c r="D224" s="250"/>
      <c r="E224" s="250"/>
      <c r="F224" s="250"/>
      <c r="G224" s="250"/>
      <c r="H224" s="250"/>
      <c r="I224" s="250"/>
      <c r="J224" s="250"/>
      <c r="K224" s="250"/>
    </row>
    <row r="225" spans="1:10" s="79" customFormat="1" ht="33.75" x14ac:dyDescent="0.25">
      <c r="A225" s="298" t="s">
        <v>0</v>
      </c>
      <c r="B225" s="299"/>
      <c r="C225" s="75" t="s">
        <v>3</v>
      </c>
      <c r="D225" s="75" t="s">
        <v>4</v>
      </c>
      <c r="E225" s="76" t="s">
        <v>70</v>
      </c>
      <c r="F225" s="109" t="s">
        <v>102</v>
      </c>
      <c r="G225" s="109" t="s">
        <v>101</v>
      </c>
      <c r="H225" s="77" t="s">
        <v>71</v>
      </c>
      <c r="I225" s="77" t="s">
        <v>96</v>
      </c>
      <c r="J225" s="78" t="s">
        <v>95</v>
      </c>
    </row>
    <row r="226" spans="1:10" x14ac:dyDescent="0.25">
      <c r="A226" s="300"/>
      <c r="B226" s="301"/>
      <c r="C226" s="33" t="s">
        <v>16</v>
      </c>
      <c r="D226" s="61">
        <f t="shared" ref="D226:D227" si="80">D5+D14+D16+D18+D20+D22</f>
        <v>117230959</v>
      </c>
      <c r="E226" s="61">
        <f t="shared" ref="E226:J226" si="81">E5+E14+E16+E18+E20+E22</f>
        <v>0</v>
      </c>
      <c r="F226" s="61">
        <f t="shared" si="81"/>
        <v>0</v>
      </c>
      <c r="G226" s="61">
        <f t="shared" si="81"/>
        <v>66208</v>
      </c>
      <c r="H226" s="61">
        <f t="shared" si="81"/>
        <v>0</v>
      </c>
      <c r="I226" s="61">
        <f t="shared" si="81"/>
        <v>117297167</v>
      </c>
      <c r="J226" s="61">
        <f t="shared" si="81"/>
        <v>37352830</v>
      </c>
    </row>
    <row r="227" spans="1:10" x14ac:dyDescent="0.25">
      <c r="A227" s="300"/>
      <c r="B227" s="301"/>
      <c r="C227" s="33" t="s">
        <v>17</v>
      </c>
      <c r="D227" s="61">
        <f t="shared" si="80"/>
        <v>16012810</v>
      </c>
      <c r="E227" s="61">
        <f t="shared" ref="E227:J227" si="82">E6+E15+E17+E19+E21+E23</f>
        <v>0</v>
      </c>
      <c r="F227" s="61">
        <f t="shared" si="82"/>
        <v>0</v>
      </c>
      <c r="G227" s="61">
        <f t="shared" si="82"/>
        <v>0</v>
      </c>
      <c r="H227" s="61">
        <f t="shared" si="82"/>
        <v>0</v>
      </c>
      <c r="I227" s="61">
        <f t="shared" si="82"/>
        <v>16012810</v>
      </c>
      <c r="J227" s="61">
        <f t="shared" si="82"/>
        <v>16012810</v>
      </c>
    </row>
    <row r="228" spans="1:10" x14ac:dyDescent="0.25">
      <c r="A228" s="300"/>
      <c r="B228" s="301"/>
      <c r="C228" s="33" t="s">
        <v>18</v>
      </c>
      <c r="D228" s="61">
        <f t="shared" ref="D228:J230" si="83">D7</f>
        <v>96985672</v>
      </c>
      <c r="E228" s="61">
        <f t="shared" si="83"/>
        <v>0</v>
      </c>
      <c r="F228" s="61">
        <f t="shared" si="83"/>
        <v>0</v>
      </c>
      <c r="G228" s="61">
        <f t="shared" si="83"/>
        <v>0</v>
      </c>
      <c r="H228" s="61">
        <f t="shared" si="83"/>
        <v>0</v>
      </c>
      <c r="I228" s="61">
        <f t="shared" si="83"/>
        <v>96985672</v>
      </c>
      <c r="J228" s="61">
        <f t="shared" si="83"/>
        <v>41271953</v>
      </c>
    </row>
    <row r="229" spans="1:10" x14ac:dyDescent="0.25">
      <c r="A229" s="300"/>
      <c r="B229" s="301"/>
      <c r="C229" s="35" t="s">
        <v>22</v>
      </c>
      <c r="D229" s="61">
        <f t="shared" si="83"/>
        <v>200000</v>
      </c>
      <c r="E229" s="61">
        <f t="shared" si="83"/>
        <v>0</v>
      </c>
      <c r="F229" s="61">
        <f t="shared" si="83"/>
        <v>0</v>
      </c>
      <c r="G229" s="61">
        <f t="shared" si="83"/>
        <v>0</v>
      </c>
      <c r="H229" s="61">
        <f t="shared" si="83"/>
        <v>0</v>
      </c>
      <c r="I229" s="61">
        <f t="shared" si="83"/>
        <v>200000</v>
      </c>
      <c r="J229" s="61">
        <f t="shared" si="83"/>
        <v>0</v>
      </c>
    </row>
    <row r="230" spans="1:10" x14ac:dyDescent="0.25">
      <c r="A230" s="300"/>
      <c r="B230" s="301"/>
      <c r="C230" s="35" t="s">
        <v>19</v>
      </c>
      <c r="D230" s="61">
        <f t="shared" si="83"/>
        <v>13200</v>
      </c>
      <c r="E230" s="61">
        <f t="shared" si="83"/>
        <v>-1660</v>
      </c>
      <c r="F230" s="61">
        <f t="shared" si="83"/>
        <v>5000</v>
      </c>
      <c r="G230" s="61">
        <f t="shared" si="83"/>
        <v>0</v>
      </c>
      <c r="H230" s="61">
        <f t="shared" si="83"/>
        <v>0</v>
      </c>
      <c r="I230" s="61">
        <f t="shared" si="83"/>
        <v>16540</v>
      </c>
      <c r="J230" s="61">
        <f t="shared" si="83"/>
        <v>5379</v>
      </c>
    </row>
    <row r="231" spans="1:10" x14ac:dyDescent="0.25">
      <c r="A231" s="300"/>
      <c r="B231" s="301"/>
      <c r="C231" s="35" t="s">
        <v>84</v>
      </c>
      <c r="D231" s="61">
        <f>D13+D11</f>
        <v>0</v>
      </c>
      <c r="E231" s="61">
        <f t="shared" ref="E231:J231" si="84">E13+E11</f>
        <v>2239</v>
      </c>
      <c r="F231" s="61">
        <f t="shared" si="84"/>
        <v>7000</v>
      </c>
      <c r="G231" s="61">
        <f t="shared" si="84"/>
        <v>0</v>
      </c>
      <c r="H231" s="61">
        <f t="shared" si="84"/>
        <v>0</v>
      </c>
      <c r="I231" s="61">
        <f t="shared" si="84"/>
        <v>9239</v>
      </c>
      <c r="J231" s="61">
        <f t="shared" si="84"/>
        <v>3235</v>
      </c>
    </row>
    <row r="232" spans="1:10" x14ac:dyDescent="0.25">
      <c r="A232" s="300"/>
      <c r="B232" s="301"/>
      <c r="C232" s="33" t="s">
        <v>20</v>
      </c>
      <c r="D232" s="61">
        <f>D10+D12</f>
        <v>1000</v>
      </c>
      <c r="E232" s="61">
        <f t="shared" ref="E232:J232" si="85">E10+E12</f>
        <v>-579</v>
      </c>
      <c r="F232" s="61">
        <f t="shared" si="85"/>
        <v>0</v>
      </c>
      <c r="G232" s="61">
        <f t="shared" si="85"/>
        <v>0</v>
      </c>
      <c r="H232" s="61">
        <f t="shared" si="85"/>
        <v>0</v>
      </c>
      <c r="I232" s="61">
        <f t="shared" si="85"/>
        <v>421</v>
      </c>
      <c r="J232" s="61">
        <f t="shared" si="85"/>
        <v>173</v>
      </c>
    </row>
    <row r="233" spans="1:10" x14ac:dyDescent="0.25">
      <c r="A233" s="300"/>
      <c r="B233" s="301"/>
      <c r="C233" s="65" t="s">
        <v>86</v>
      </c>
      <c r="D233" s="66">
        <f>D13+D12+D11+D10+D9</f>
        <v>14200</v>
      </c>
      <c r="E233" s="66">
        <f t="shared" ref="E233:J233" si="86">E13+E12+E11+E10+E9</f>
        <v>0</v>
      </c>
      <c r="F233" s="66">
        <f t="shared" si="86"/>
        <v>12000</v>
      </c>
      <c r="G233" s="66">
        <f t="shared" si="86"/>
        <v>0</v>
      </c>
      <c r="H233" s="66">
        <f t="shared" si="86"/>
        <v>0</v>
      </c>
      <c r="I233" s="66">
        <f t="shared" si="86"/>
        <v>26200</v>
      </c>
      <c r="J233" s="66">
        <f t="shared" si="86"/>
        <v>8787</v>
      </c>
    </row>
    <row r="234" spans="1:10" x14ac:dyDescent="0.25">
      <c r="A234" s="300"/>
      <c r="B234" s="301"/>
      <c r="C234" s="65" t="s">
        <v>87</v>
      </c>
      <c r="D234" s="66">
        <f>D23+D21+D19+D17+D15+D7+D6</f>
        <v>112998482</v>
      </c>
      <c r="E234" s="66">
        <f t="shared" ref="E234:J234" si="87">E23+E21+E19+E17+E15+E7+E6</f>
        <v>0</v>
      </c>
      <c r="F234" s="66">
        <f t="shared" si="87"/>
        <v>0</v>
      </c>
      <c r="G234" s="66">
        <f t="shared" si="87"/>
        <v>0</v>
      </c>
      <c r="H234" s="66">
        <f t="shared" si="87"/>
        <v>0</v>
      </c>
      <c r="I234" s="66">
        <f t="shared" si="87"/>
        <v>112998482</v>
      </c>
      <c r="J234" s="66">
        <f t="shared" si="87"/>
        <v>57284763</v>
      </c>
    </row>
    <row r="235" spans="1:10" x14ac:dyDescent="0.25">
      <c r="A235" s="300"/>
      <c r="B235" s="301"/>
      <c r="C235" s="65" t="s">
        <v>94</v>
      </c>
      <c r="D235" s="66">
        <f>D5+D6+D7+D8+D9+D10+D11+D12+D13+D14+D15+D16+D17+D18+D19+D20+D21+D22+D23</f>
        <v>230443641</v>
      </c>
      <c r="E235" s="66">
        <f t="shared" ref="E235:J235" si="88">E5+E6+E7+E8+E9+E10+E11+E12+E13+E14+E15+E16+E17+E18+E19+E20+E21+E22+E23</f>
        <v>0</v>
      </c>
      <c r="F235" s="66">
        <f t="shared" si="88"/>
        <v>12000</v>
      </c>
      <c r="G235" s="66">
        <f t="shared" si="88"/>
        <v>66208</v>
      </c>
      <c r="H235" s="66">
        <f t="shared" si="88"/>
        <v>0</v>
      </c>
      <c r="I235" s="66">
        <f t="shared" si="88"/>
        <v>230521849</v>
      </c>
      <c r="J235" s="66">
        <f t="shared" si="88"/>
        <v>94646380</v>
      </c>
    </row>
    <row r="236" spans="1:10" x14ac:dyDescent="0.25">
      <c r="A236" s="300"/>
      <c r="B236" s="301"/>
      <c r="C236" s="33" t="s">
        <v>24</v>
      </c>
      <c r="D236" s="34">
        <f>D89+D111+D114+D133+D136+D154+D157+D177+D199+D214+D180+D86+D84+D52+D25</f>
        <v>128356144</v>
      </c>
      <c r="E236" s="34">
        <f t="shared" ref="E236:J236" si="89">E89+E111+E114+E133+E136+E154+E157+E177+E199+E214+E180+E86+E84+E52+E25</f>
        <v>-473870</v>
      </c>
      <c r="F236" s="34">
        <f t="shared" si="89"/>
        <v>0</v>
      </c>
      <c r="G236" s="34">
        <f t="shared" si="89"/>
        <v>55404</v>
      </c>
      <c r="H236" s="34">
        <f t="shared" si="89"/>
        <v>0</v>
      </c>
      <c r="I236" s="34">
        <f t="shared" si="89"/>
        <v>127937678</v>
      </c>
      <c r="J236" s="34">
        <f t="shared" si="89"/>
        <v>45581612</v>
      </c>
    </row>
    <row r="237" spans="1:10" x14ac:dyDescent="0.25">
      <c r="A237" s="300"/>
      <c r="B237" s="301"/>
      <c r="C237" s="33" t="s">
        <v>47</v>
      </c>
      <c r="D237" s="34">
        <f t="shared" ref="D237:J238" si="90">D53</f>
        <v>2040480</v>
      </c>
      <c r="E237" s="34">
        <f t="shared" si="90"/>
        <v>0</v>
      </c>
      <c r="F237" s="34">
        <f t="shared" si="90"/>
        <v>0</v>
      </c>
      <c r="G237" s="34">
        <f t="shared" si="90"/>
        <v>0</v>
      </c>
      <c r="H237" s="34">
        <f t="shared" si="90"/>
        <v>0</v>
      </c>
      <c r="I237" s="34">
        <f t="shared" si="90"/>
        <v>2040480</v>
      </c>
      <c r="J237" s="34">
        <f t="shared" si="90"/>
        <v>785829</v>
      </c>
    </row>
    <row r="238" spans="1:10" x14ac:dyDescent="0.25">
      <c r="A238" s="300"/>
      <c r="B238" s="301"/>
      <c r="C238" s="33" t="s">
        <v>48</v>
      </c>
      <c r="D238" s="34">
        <f t="shared" si="90"/>
        <v>0</v>
      </c>
      <c r="E238" s="34">
        <f t="shared" si="90"/>
        <v>0</v>
      </c>
      <c r="F238" s="34">
        <f t="shared" si="90"/>
        <v>0</v>
      </c>
      <c r="G238" s="34">
        <f t="shared" si="90"/>
        <v>0</v>
      </c>
      <c r="H238" s="34">
        <f t="shared" si="90"/>
        <v>0</v>
      </c>
      <c r="I238" s="34">
        <f t="shared" si="90"/>
        <v>0</v>
      </c>
      <c r="J238" s="34">
        <f t="shared" si="90"/>
        <v>0</v>
      </c>
    </row>
    <row r="239" spans="1:10" x14ac:dyDescent="0.25">
      <c r="A239" s="300"/>
      <c r="B239" s="301"/>
      <c r="C239" s="35" t="s">
        <v>25</v>
      </c>
      <c r="D239" s="34">
        <f t="shared" ref="D239:J240" si="91">D200+D158+D137+D115+D90+D55+D26</f>
        <v>3992000</v>
      </c>
      <c r="E239" s="34">
        <f t="shared" si="91"/>
        <v>0</v>
      </c>
      <c r="F239" s="34">
        <f t="shared" si="91"/>
        <v>0</v>
      </c>
      <c r="G239" s="34">
        <f t="shared" si="91"/>
        <v>0</v>
      </c>
      <c r="H239" s="34">
        <f t="shared" si="91"/>
        <v>0</v>
      </c>
      <c r="I239" s="34">
        <f t="shared" si="91"/>
        <v>3992000</v>
      </c>
      <c r="J239" s="34">
        <f t="shared" si="91"/>
        <v>1887500</v>
      </c>
    </row>
    <row r="240" spans="1:10" x14ac:dyDescent="0.25">
      <c r="A240" s="300"/>
      <c r="B240" s="301"/>
      <c r="C240" s="35" t="s">
        <v>26</v>
      </c>
      <c r="D240" s="34">
        <f t="shared" si="91"/>
        <v>200000</v>
      </c>
      <c r="E240" s="34">
        <f t="shared" si="91"/>
        <v>0</v>
      </c>
      <c r="F240" s="34">
        <f t="shared" si="91"/>
        <v>0</v>
      </c>
      <c r="G240" s="34">
        <f t="shared" si="91"/>
        <v>0</v>
      </c>
      <c r="H240" s="34">
        <f t="shared" si="91"/>
        <v>0</v>
      </c>
      <c r="I240" s="34">
        <f t="shared" si="91"/>
        <v>200000</v>
      </c>
      <c r="J240" s="34">
        <f t="shared" si="91"/>
        <v>0</v>
      </c>
    </row>
    <row r="241" spans="1:11" x14ac:dyDescent="0.25">
      <c r="A241" s="300"/>
      <c r="B241" s="301"/>
      <c r="C241" s="33" t="s">
        <v>27</v>
      </c>
      <c r="D241" s="34">
        <f>D202+D139+D92+D57+D28</f>
        <v>1661400</v>
      </c>
      <c r="E241" s="34">
        <f t="shared" ref="E241:J241" si="92">E202+E139+E92+E57+E28</f>
        <v>0</v>
      </c>
      <c r="F241" s="34">
        <f t="shared" si="92"/>
        <v>0</v>
      </c>
      <c r="G241" s="34">
        <f t="shared" si="92"/>
        <v>0</v>
      </c>
      <c r="H241" s="34">
        <f t="shared" si="92"/>
        <v>0</v>
      </c>
      <c r="I241" s="34">
        <f t="shared" si="92"/>
        <v>1661400</v>
      </c>
      <c r="J241" s="34">
        <f t="shared" si="92"/>
        <v>435776</v>
      </c>
    </row>
    <row r="242" spans="1:11" x14ac:dyDescent="0.25">
      <c r="A242" s="300"/>
      <c r="B242" s="301"/>
      <c r="C242" s="35" t="s">
        <v>28</v>
      </c>
      <c r="D242" s="34">
        <f>D203+D160+D140+D117+D58+D29+D93</f>
        <v>481000</v>
      </c>
      <c r="E242" s="34">
        <f t="shared" ref="E242:J242" si="93">E203+E160+E140+E117+E58+E29+E93</f>
        <v>0</v>
      </c>
      <c r="F242" s="34">
        <f t="shared" si="93"/>
        <v>0</v>
      </c>
      <c r="G242" s="34">
        <f t="shared" si="93"/>
        <v>0</v>
      </c>
      <c r="H242" s="34">
        <f t="shared" si="93"/>
        <v>0</v>
      </c>
      <c r="I242" s="34">
        <f t="shared" si="93"/>
        <v>481000</v>
      </c>
      <c r="J242" s="34">
        <f t="shared" si="93"/>
        <v>222000</v>
      </c>
    </row>
    <row r="243" spans="1:11" x14ac:dyDescent="0.25">
      <c r="A243" s="300"/>
      <c r="B243" s="301"/>
      <c r="C243" s="33" t="s">
        <v>29</v>
      </c>
      <c r="D243" s="34">
        <f>D204+D175+D161+D141+D118+D109+D94+D82+D80+D59+D30+D131</f>
        <v>3451400</v>
      </c>
      <c r="E243" s="34">
        <f t="shared" ref="E243:J243" si="94">E204+E175+E161+E141+E118+E109+E94+E82+E80+E59+E30+E131</f>
        <v>473870</v>
      </c>
      <c r="F243" s="34">
        <f t="shared" si="94"/>
        <v>0</v>
      </c>
      <c r="G243" s="34">
        <f t="shared" si="94"/>
        <v>0</v>
      </c>
      <c r="H243" s="34">
        <f t="shared" si="94"/>
        <v>0</v>
      </c>
      <c r="I243" s="34">
        <f t="shared" si="94"/>
        <v>3925270</v>
      </c>
      <c r="J243" s="34">
        <f t="shared" si="94"/>
        <v>1284740</v>
      </c>
    </row>
    <row r="244" spans="1:11" x14ac:dyDescent="0.25">
      <c r="A244" s="300"/>
      <c r="B244" s="301"/>
      <c r="C244" s="35" t="s">
        <v>30</v>
      </c>
      <c r="D244" s="34">
        <f>D162+D142+D119+D60+D31+D181</f>
        <v>200000</v>
      </c>
      <c r="E244" s="34">
        <f t="shared" ref="E244:J244" si="95">E162+E142+E119+E60+E31+E181</f>
        <v>10500000</v>
      </c>
      <c r="F244" s="34">
        <f t="shared" si="95"/>
        <v>0</v>
      </c>
      <c r="G244" s="34">
        <f t="shared" si="95"/>
        <v>0</v>
      </c>
      <c r="H244" s="34">
        <f t="shared" si="95"/>
        <v>0</v>
      </c>
      <c r="I244" s="34">
        <f t="shared" si="95"/>
        <v>10700000</v>
      </c>
      <c r="J244" s="34">
        <f t="shared" si="95"/>
        <v>3000</v>
      </c>
    </row>
    <row r="245" spans="1:11" x14ac:dyDescent="0.25">
      <c r="A245" s="300"/>
      <c r="B245" s="301"/>
      <c r="C245" s="65" t="s">
        <v>53</v>
      </c>
      <c r="D245" s="66">
        <f>D205+D182+D163+D143+D214+D177+D154+D133+D131+D175+D120+D111+D109+D96+D86+D84+D82+D80+D61+D32</f>
        <v>140382424</v>
      </c>
      <c r="E245" s="66">
        <f t="shared" ref="E245:J245" si="96">E205+E182+E163+E143+E214+E177+E154+E133+E131+E175+E120+E111+E109+E96+E86+E84+E82+E80+E61+E32</f>
        <v>10500000</v>
      </c>
      <c r="F245" s="66">
        <f t="shared" si="96"/>
        <v>0</v>
      </c>
      <c r="G245" s="66">
        <f t="shared" si="96"/>
        <v>55404</v>
      </c>
      <c r="H245" s="66">
        <f t="shared" si="96"/>
        <v>0</v>
      </c>
      <c r="I245" s="66">
        <f t="shared" si="96"/>
        <v>150937828</v>
      </c>
      <c r="J245" s="66">
        <f t="shared" si="96"/>
        <v>50200457</v>
      </c>
    </row>
    <row r="246" spans="1:11" x14ac:dyDescent="0.25">
      <c r="A246" s="300"/>
      <c r="B246" s="301"/>
      <c r="C246" s="67" t="s">
        <v>31</v>
      </c>
      <c r="D246" s="66">
        <f>D206+D183+D178+D176+D215+D164+D155+D144+D134+D132+D121+D112+D110+D97+D87+D85+D83+D81+D62+D33</f>
        <v>27536677</v>
      </c>
      <c r="E246" s="66">
        <f t="shared" ref="E246:J246" si="97">E206+E183+E178+E176+E215+E164+E155+E144+E134+E132+E121+E112+E110+E97+E87+E85+E83+E81+E62+E33</f>
        <v>0</v>
      </c>
      <c r="F246" s="66">
        <f t="shared" si="97"/>
        <v>0</v>
      </c>
      <c r="G246" s="66">
        <f t="shared" si="97"/>
        <v>10804</v>
      </c>
      <c r="H246" s="66">
        <f t="shared" si="97"/>
        <v>0</v>
      </c>
      <c r="I246" s="66">
        <f t="shared" si="97"/>
        <v>27547481</v>
      </c>
      <c r="J246" s="66">
        <f t="shared" si="97"/>
        <v>10355450</v>
      </c>
    </row>
    <row r="247" spans="1:11" x14ac:dyDescent="0.25">
      <c r="A247" s="300"/>
      <c r="B247" s="301"/>
      <c r="C247" s="33" t="s">
        <v>32</v>
      </c>
      <c r="D247" s="34">
        <f>D165+D145+D122+D98+D63+D34</f>
        <v>540000</v>
      </c>
      <c r="E247" s="34">
        <f t="shared" ref="E247:J247" si="98">E165+E145+E122+E98+E63+E34</f>
        <v>0</v>
      </c>
      <c r="F247" s="34">
        <f t="shared" si="98"/>
        <v>0</v>
      </c>
      <c r="G247" s="34">
        <f t="shared" si="98"/>
        <v>0</v>
      </c>
      <c r="H247" s="34">
        <f t="shared" si="98"/>
        <v>0</v>
      </c>
      <c r="I247" s="34">
        <f t="shared" si="98"/>
        <v>540000</v>
      </c>
      <c r="J247" s="34">
        <f t="shared" si="98"/>
        <v>35559</v>
      </c>
    </row>
    <row r="248" spans="1:11" x14ac:dyDescent="0.25">
      <c r="A248" s="300"/>
      <c r="B248" s="301"/>
      <c r="C248" s="35" t="s">
        <v>33</v>
      </c>
      <c r="D248" s="34">
        <f>D184+D166+D146+D123+D99+D64+D35+D207</f>
        <v>1700000</v>
      </c>
      <c r="E248" s="34">
        <f t="shared" ref="E248:J248" si="99">E184+E166+E146+E123+E99+E64+E35+E207</f>
        <v>186928</v>
      </c>
      <c r="F248" s="34">
        <f t="shared" si="99"/>
        <v>0</v>
      </c>
      <c r="G248" s="34">
        <f t="shared" si="99"/>
        <v>0</v>
      </c>
      <c r="H248" s="34">
        <f t="shared" si="99"/>
        <v>0</v>
      </c>
      <c r="I248" s="34">
        <f t="shared" si="99"/>
        <v>1886928</v>
      </c>
      <c r="J248" s="34">
        <f t="shared" si="99"/>
        <v>31053</v>
      </c>
    </row>
    <row r="249" spans="1:11" x14ac:dyDescent="0.25">
      <c r="A249" s="300"/>
      <c r="B249" s="301"/>
      <c r="C249" s="33" t="s">
        <v>34</v>
      </c>
      <c r="D249" s="34">
        <f>D167+D147+D124+D100+D65+D36</f>
        <v>1036000</v>
      </c>
      <c r="E249" s="34">
        <f t="shared" ref="E249:J249" si="100">E167+E147+E124+E100+E65+E36</f>
        <v>-48000</v>
      </c>
      <c r="F249" s="34">
        <f t="shared" si="100"/>
        <v>0</v>
      </c>
      <c r="G249" s="34">
        <f t="shared" si="100"/>
        <v>0</v>
      </c>
      <c r="H249" s="34">
        <f t="shared" si="100"/>
        <v>0</v>
      </c>
      <c r="I249" s="34">
        <f t="shared" si="100"/>
        <v>988000</v>
      </c>
      <c r="J249" s="34">
        <f t="shared" si="100"/>
        <v>104987</v>
      </c>
    </row>
    <row r="250" spans="1:11" x14ac:dyDescent="0.25">
      <c r="A250" s="300"/>
      <c r="B250" s="301"/>
      <c r="C250" s="33" t="s">
        <v>35</v>
      </c>
      <c r="D250" s="34">
        <f>D208+D168+D101+D66+D37</f>
        <v>610000</v>
      </c>
      <c r="E250" s="34">
        <f t="shared" ref="E250:J250" si="101">E208+E168+E101+E66+E37</f>
        <v>0</v>
      </c>
      <c r="F250" s="34">
        <f t="shared" si="101"/>
        <v>7000</v>
      </c>
      <c r="G250" s="34">
        <f t="shared" si="101"/>
        <v>0</v>
      </c>
      <c r="H250" s="34">
        <f t="shared" si="101"/>
        <v>0</v>
      </c>
      <c r="I250" s="34">
        <f t="shared" si="101"/>
        <v>617000</v>
      </c>
      <c r="J250" s="34">
        <f t="shared" si="101"/>
        <v>93140</v>
      </c>
    </row>
    <row r="251" spans="1:11" x14ac:dyDescent="0.25">
      <c r="A251" s="300"/>
      <c r="B251" s="301"/>
      <c r="C251" s="33" t="s">
        <v>36</v>
      </c>
      <c r="D251" s="34">
        <f>D102+D67+D38</f>
        <v>1739080</v>
      </c>
      <c r="E251" s="34">
        <f t="shared" ref="E251:J251" si="102">E102+E67+E38</f>
        <v>0</v>
      </c>
      <c r="F251" s="34">
        <f t="shared" si="102"/>
        <v>0</v>
      </c>
      <c r="G251" s="34">
        <f t="shared" si="102"/>
        <v>0</v>
      </c>
      <c r="H251" s="34">
        <f t="shared" si="102"/>
        <v>0</v>
      </c>
      <c r="I251" s="34">
        <f t="shared" si="102"/>
        <v>1739080</v>
      </c>
      <c r="J251" s="34">
        <f t="shared" si="102"/>
        <v>921169</v>
      </c>
    </row>
    <row r="252" spans="1:11" x14ac:dyDescent="0.25">
      <c r="A252" s="300"/>
      <c r="B252" s="301"/>
      <c r="C252" s="73" t="s">
        <v>37</v>
      </c>
      <c r="D252" s="61">
        <f>D185+D68+D39</f>
        <v>356000</v>
      </c>
      <c r="E252" s="61">
        <f t="shared" ref="E252:J252" si="103">E185+E68+E39</f>
        <v>0</v>
      </c>
      <c r="F252" s="61">
        <f t="shared" si="103"/>
        <v>0</v>
      </c>
      <c r="G252" s="61">
        <f t="shared" si="103"/>
        <v>0</v>
      </c>
      <c r="H252" s="61">
        <f t="shared" si="103"/>
        <v>0</v>
      </c>
      <c r="I252" s="61">
        <f t="shared" si="103"/>
        <v>356000</v>
      </c>
      <c r="J252" s="61">
        <f t="shared" si="103"/>
        <v>0</v>
      </c>
      <c r="K252" s="74"/>
    </row>
    <row r="253" spans="1:11" x14ac:dyDescent="0.25">
      <c r="A253" s="300"/>
      <c r="B253" s="301"/>
      <c r="C253" s="33" t="s">
        <v>38</v>
      </c>
      <c r="D253" s="34">
        <f>D169+D148+D125+D103+D69+D40+D209</f>
        <v>1394000</v>
      </c>
      <c r="E253" s="34">
        <f t="shared" ref="E253:J253" si="104">E169+E148+E125+E103+E69+E40+E209</f>
        <v>0</v>
      </c>
      <c r="F253" s="34">
        <f t="shared" si="104"/>
        <v>0</v>
      </c>
      <c r="G253" s="34">
        <f t="shared" si="104"/>
        <v>0</v>
      </c>
      <c r="H253" s="34">
        <f t="shared" si="104"/>
        <v>0</v>
      </c>
      <c r="I253" s="34">
        <f t="shared" si="104"/>
        <v>1394000</v>
      </c>
      <c r="J253" s="34">
        <f t="shared" si="104"/>
        <v>207584</v>
      </c>
    </row>
    <row r="254" spans="1:11" x14ac:dyDescent="0.25">
      <c r="A254" s="300"/>
      <c r="B254" s="301"/>
      <c r="C254" s="33" t="s">
        <v>39</v>
      </c>
      <c r="D254" s="34">
        <f>D41</f>
        <v>13200</v>
      </c>
      <c r="E254" s="34">
        <f t="shared" ref="E254:J254" si="105">E41</f>
        <v>-1660</v>
      </c>
      <c r="F254" s="34">
        <f t="shared" si="105"/>
        <v>5000</v>
      </c>
      <c r="G254" s="34">
        <f t="shared" si="105"/>
        <v>0</v>
      </c>
      <c r="H254" s="34">
        <f t="shared" si="105"/>
        <v>0</v>
      </c>
      <c r="I254" s="34">
        <f t="shared" si="105"/>
        <v>16540</v>
      </c>
      <c r="J254" s="34">
        <f t="shared" si="105"/>
        <v>5379</v>
      </c>
    </row>
    <row r="255" spans="1:11" x14ac:dyDescent="0.25">
      <c r="A255" s="300"/>
      <c r="B255" s="301"/>
      <c r="C255" s="36" t="s">
        <v>40</v>
      </c>
      <c r="D255" s="34">
        <f t="shared" ref="D255:I256" si="106">D186+D170+D149+D126+D104+D70+D42</f>
        <v>16415104</v>
      </c>
      <c r="E255" s="34">
        <f t="shared" si="106"/>
        <v>0</v>
      </c>
      <c r="F255" s="34">
        <f t="shared" si="106"/>
        <v>0</v>
      </c>
      <c r="G255" s="34">
        <f t="shared" si="106"/>
        <v>0</v>
      </c>
      <c r="H255" s="34">
        <f t="shared" si="106"/>
        <v>0</v>
      </c>
      <c r="I255" s="34">
        <f t="shared" si="106"/>
        <v>16415104</v>
      </c>
      <c r="J255" s="34">
        <f t="shared" ref="J255" si="107">J186+J170+J149+J126+J104+J70+J42</f>
        <v>311518</v>
      </c>
    </row>
    <row r="256" spans="1:11" x14ac:dyDescent="0.25">
      <c r="A256" s="300"/>
      <c r="B256" s="301"/>
      <c r="C256" s="33" t="s">
        <v>41</v>
      </c>
      <c r="D256" s="34">
        <f t="shared" si="106"/>
        <v>26876743</v>
      </c>
      <c r="E256" s="34">
        <f t="shared" si="106"/>
        <v>-18718057</v>
      </c>
      <c r="F256" s="34">
        <f t="shared" si="106"/>
        <v>0</v>
      </c>
      <c r="G256" s="34">
        <f t="shared" si="106"/>
        <v>0</v>
      </c>
      <c r="H256" s="34">
        <f t="shared" si="106"/>
        <v>0</v>
      </c>
      <c r="I256" s="34">
        <f t="shared" si="106"/>
        <v>8158686</v>
      </c>
      <c r="J256" s="34">
        <f t="shared" ref="J256" si="108">J187+J171+J150+J127+J105+J71+J43</f>
        <v>6024163</v>
      </c>
    </row>
    <row r="257" spans="1:11" x14ac:dyDescent="0.25">
      <c r="A257" s="300"/>
      <c r="B257" s="301"/>
      <c r="C257" s="35" t="s">
        <v>42</v>
      </c>
      <c r="D257" s="34">
        <f>D210+D188+D172+D151+D128+D106+D72+D44</f>
        <v>2852000</v>
      </c>
      <c r="E257" s="34">
        <f t="shared" ref="E257:J257" si="109">E210+E188+E172+E151+E128+E106+E72+E44</f>
        <v>0</v>
      </c>
      <c r="F257" s="34">
        <f t="shared" si="109"/>
        <v>0</v>
      </c>
      <c r="G257" s="34">
        <f t="shared" si="109"/>
        <v>0</v>
      </c>
      <c r="H257" s="34">
        <f t="shared" si="109"/>
        <v>0</v>
      </c>
      <c r="I257" s="34">
        <f t="shared" si="109"/>
        <v>2852000</v>
      </c>
      <c r="J257" s="34">
        <f t="shared" si="109"/>
        <v>692170</v>
      </c>
    </row>
    <row r="258" spans="1:11" x14ac:dyDescent="0.25">
      <c r="A258" s="300"/>
      <c r="B258" s="301"/>
      <c r="C258" s="35" t="s">
        <v>43</v>
      </c>
      <c r="D258" s="34">
        <f>D45+D73+D189</f>
        <v>290000</v>
      </c>
      <c r="E258" s="34">
        <f t="shared" ref="E258:J258" si="110">E45+E73+E189</f>
        <v>0</v>
      </c>
      <c r="F258" s="34">
        <f t="shared" si="110"/>
        <v>0</v>
      </c>
      <c r="G258" s="34">
        <f t="shared" si="110"/>
        <v>0</v>
      </c>
      <c r="H258" s="34">
        <f t="shared" si="110"/>
        <v>0</v>
      </c>
      <c r="I258" s="34">
        <f t="shared" si="110"/>
        <v>290000</v>
      </c>
      <c r="J258" s="34">
        <f t="shared" si="110"/>
        <v>0</v>
      </c>
    </row>
    <row r="259" spans="1:11" x14ac:dyDescent="0.25">
      <c r="A259" s="300"/>
      <c r="B259" s="301"/>
      <c r="C259" s="33" t="s">
        <v>44</v>
      </c>
      <c r="D259" s="34">
        <f>D211+D190+D173+D152+D129+D107+D74+D46</f>
        <v>7754652</v>
      </c>
      <c r="E259" s="34">
        <f t="shared" ref="E259:J259" si="111">E211+E190+E173+E152+E129+E107+E74+E46</f>
        <v>-2419211</v>
      </c>
      <c r="F259" s="34">
        <f t="shared" si="111"/>
        <v>0</v>
      </c>
      <c r="G259" s="34">
        <f t="shared" si="111"/>
        <v>0</v>
      </c>
      <c r="H259" s="34">
        <f t="shared" si="111"/>
        <v>0</v>
      </c>
      <c r="I259" s="34">
        <f t="shared" si="111"/>
        <v>5335441</v>
      </c>
      <c r="J259" s="34">
        <f t="shared" si="111"/>
        <v>1732052</v>
      </c>
    </row>
    <row r="260" spans="1:11" x14ac:dyDescent="0.25">
      <c r="A260" s="300"/>
      <c r="B260" s="301"/>
      <c r="C260" s="37" t="s">
        <v>45</v>
      </c>
      <c r="D260" s="34">
        <f>D212+D191+D75+D47</f>
        <v>743011</v>
      </c>
      <c r="E260" s="34">
        <f t="shared" ref="E260:J260" si="112">E212+E191+E75+E47</f>
        <v>0</v>
      </c>
      <c r="F260" s="34">
        <f t="shared" si="112"/>
        <v>0</v>
      </c>
      <c r="G260" s="34">
        <f t="shared" si="112"/>
        <v>0</v>
      </c>
      <c r="H260" s="34">
        <f t="shared" si="112"/>
        <v>0</v>
      </c>
      <c r="I260" s="34">
        <f t="shared" si="112"/>
        <v>743011</v>
      </c>
      <c r="J260" s="34">
        <f t="shared" si="112"/>
        <v>216999</v>
      </c>
    </row>
    <row r="261" spans="1:11" x14ac:dyDescent="0.25">
      <c r="A261" s="300"/>
      <c r="B261" s="301"/>
      <c r="C261" s="65" t="s">
        <v>49</v>
      </c>
      <c r="D261" s="66">
        <f>D213+D192+D174+D153+D130+D108+D76+D48</f>
        <v>62319790</v>
      </c>
      <c r="E261" s="66">
        <f t="shared" ref="E261:J261" si="113">E213+E192+E174+E153+E130+E108+E76+E48</f>
        <v>-21000000</v>
      </c>
      <c r="F261" s="66">
        <f t="shared" si="113"/>
        <v>12000</v>
      </c>
      <c r="G261" s="66">
        <f t="shared" si="113"/>
        <v>0</v>
      </c>
      <c r="H261" s="66">
        <f t="shared" si="113"/>
        <v>0</v>
      </c>
      <c r="I261" s="66">
        <f t="shared" si="113"/>
        <v>41331790</v>
      </c>
      <c r="J261" s="66">
        <f t="shared" si="113"/>
        <v>10375773</v>
      </c>
    </row>
    <row r="262" spans="1:11" x14ac:dyDescent="0.25">
      <c r="A262" s="300"/>
      <c r="B262" s="301"/>
      <c r="C262" s="65" t="s">
        <v>100</v>
      </c>
      <c r="D262" s="66">
        <f>D197</f>
        <v>0</v>
      </c>
      <c r="E262" s="66">
        <f t="shared" ref="E262:J262" si="114">E197</f>
        <v>10500000</v>
      </c>
      <c r="F262" s="66">
        <f t="shared" si="114"/>
        <v>0</v>
      </c>
      <c r="G262" s="66">
        <f t="shared" si="114"/>
        <v>0</v>
      </c>
      <c r="H262" s="66">
        <f t="shared" si="114"/>
        <v>0</v>
      </c>
      <c r="I262" s="66">
        <f t="shared" si="114"/>
        <v>10500000</v>
      </c>
      <c r="J262" s="66">
        <f t="shared" si="114"/>
        <v>10500000</v>
      </c>
    </row>
    <row r="263" spans="1:11" x14ac:dyDescent="0.25">
      <c r="A263" s="300"/>
      <c r="B263" s="301"/>
      <c r="C263" s="38" t="s">
        <v>50</v>
      </c>
      <c r="D263" s="34">
        <f t="shared" ref="D263:J265" si="115">D194+D77+D49</f>
        <v>161220</v>
      </c>
      <c r="E263" s="34">
        <f t="shared" si="115"/>
        <v>0</v>
      </c>
      <c r="F263" s="34">
        <f t="shared" si="115"/>
        <v>0</v>
      </c>
      <c r="G263" s="34">
        <f t="shared" si="115"/>
        <v>0</v>
      </c>
      <c r="H263" s="34">
        <f t="shared" si="115"/>
        <v>0</v>
      </c>
      <c r="I263" s="34">
        <f t="shared" si="115"/>
        <v>161220</v>
      </c>
      <c r="J263" s="34">
        <f t="shared" si="115"/>
        <v>0</v>
      </c>
    </row>
    <row r="264" spans="1:11" x14ac:dyDescent="0.25">
      <c r="A264" s="300"/>
      <c r="B264" s="301"/>
      <c r="C264" s="37" t="s">
        <v>51</v>
      </c>
      <c r="D264" s="34">
        <f t="shared" si="115"/>
        <v>43530</v>
      </c>
      <c r="E264" s="34">
        <f t="shared" si="115"/>
        <v>0</v>
      </c>
      <c r="F264" s="34">
        <f t="shared" si="115"/>
        <v>0</v>
      </c>
      <c r="G264" s="34">
        <f t="shared" si="115"/>
        <v>0</v>
      </c>
      <c r="H264" s="34">
        <f t="shared" si="115"/>
        <v>0</v>
      </c>
      <c r="I264" s="34">
        <f t="shared" si="115"/>
        <v>43530</v>
      </c>
      <c r="J264" s="34">
        <f t="shared" si="115"/>
        <v>0</v>
      </c>
    </row>
    <row r="265" spans="1:11" x14ac:dyDescent="0.25">
      <c r="A265" s="300"/>
      <c r="B265" s="301"/>
      <c r="C265" s="65" t="s">
        <v>52</v>
      </c>
      <c r="D265" s="68">
        <f t="shared" si="115"/>
        <v>204750</v>
      </c>
      <c r="E265" s="68">
        <f t="shared" si="115"/>
        <v>0</v>
      </c>
      <c r="F265" s="68">
        <f t="shared" si="115"/>
        <v>0</v>
      </c>
      <c r="G265" s="68">
        <f t="shared" si="115"/>
        <v>0</v>
      </c>
      <c r="H265" s="68">
        <f t="shared" si="115"/>
        <v>0</v>
      </c>
      <c r="I265" s="68">
        <f t="shared" si="115"/>
        <v>204750</v>
      </c>
      <c r="J265" s="68">
        <f t="shared" si="115"/>
        <v>0</v>
      </c>
    </row>
    <row r="266" spans="1:11" x14ac:dyDescent="0.25">
      <c r="A266" s="302"/>
      <c r="B266" s="303"/>
      <c r="C266" s="69" t="s">
        <v>88</v>
      </c>
      <c r="D266" s="70">
        <f t="shared" ref="D266:J266" si="116">D265+D261+D246+D245+D262</f>
        <v>230443641</v>
      </c>
      <c r="E266" s="70">
        <f t="shared" si="116"/>
        <v>0</v>
      </c>
      <c r="F266" s="70">
        <f t="shared" si="116"/>
        <v>12000</v>
      </c>
      <c r="G266" s="70">
        <f t="shared" si="116"/>
        <v>66208</v>
      </c>
      <c r="H266" s="70">
        <f t="shared" si="116"/>
        <v>0</v>
      </c>
      <c r="I266" s="70">
        <f t="shared" si="116"/>
        <v>230521849</v>
      </c>
      <c r="J266" s="70">
        <f t="shared" si="116"/>
        <v>81431680</v>
      </c>
    </row>
    <row r="267" spans="1:11" x14ac:dyDescent="0.25">
      <c r="B267" s="5"/>
      <c r="E267" s="4"/>
      <c r="F267" s="4"/>
      <c r="G267" s="4"/>
      <c r="H267" s="4"/>
      <c r="I267" s="4"/>
      <c r="J267" s="4"/>
      <c r="K267" s="39"/>
    </row>
    <row r="268" spans="1:11" x14ac:dyDescent="0.25">
      <c r="B268" s="5"/>
      <c r="E268" s="4"/>
      <c r="F268" s="4"/>
      <c r="G268" s="4"/>
      <c r="H268" s="4"/>
      <c r="I268" s="4"/>
      <c r="J268" s="4"/>
      <c r="K268" s="39"/>
    </row>
  </sheetData>
  <mergeCells count="72">
    <mergeCell ref="A1:J1"/>
    <mergeCell ref="I3:I4"/>
    <mergeCell ref="A3:A4"/>
    <mergeCell ref="B3:B4"/>
    <mergeCell ref="C3:C4"/>
    <mergeCell ref="D3:D4"/>
    <mergeCell ref="E3:H3"/>
    <mergeCell ref="A5:A13"/>
    <mergeCell ref="B5:B7"/>
    <mergeCell ref="B8:B11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C24"/>
    <mergeCell ref="A25:A79"/>
    <mergeCell ref="B25:B51"/>
    <mergeCell ref="B52:B79"/>
    <mergeCell ref="A156:C156"/>
    <mergeCell ref="A80:A81"/>
    <mergeCell ref="B80:B81"/>
    <mergeCell ref="A82:A83"/>
    <mergeCell ref="B82:B83"/>
    <mergeCell ref="A84:A85"/>
    <mergeCell ref="B84:B85"/>
    <mergeCell ref="B109:B110"/>
    <mergeCell ref="A111:A112"/>
    <mergeCell ref="B111:B112"/>
    <mergeCell ref="A113:C113"/>
    <mergeCell ref="A86:A87"/>
    <mergeCell ref="B86:B87"/>
    <mergeCell ref="A88:C88"/>
    <mergeCell ref="A89:A108"/>
    <mergeCell ref="B89:B108"/>
    <mergeCell ref="B131:B132"/>
    <mergeCell ref="A136:A153"/>
    <mergeCell ref="B136:B153"/>
    <mergeCell ref="A154:A155"/>
    <mergeCell ref="B154:B155"/>
    <mergeCell ref="A114:A130"/>
    <mergeCell ref="B114:B130"/>
    <mergeCell ref="A109:A110"/>
    <mergeCell ref="J3:J4"/>
    <mergeCell ref="A214:A215"/>
    <mergeCell ref="B214:B215"/>
    <mergeCell ref="A177:A178"/>
    <mergeCell ref="B177:B178"/>
    <mergeCell ref="A133:A134"/>
    <mergeCell ref="B133:B134"/>
    <mergeCell ref="A135:C135"/>
    <mergeCell ref="A157:A174"/>
    <mergeCell ref="B157:B174"/>
    <mergeCell ref="A175:A176"/>
    <mergeCell ref="B175:B176"/>
    <mergeCell ref="A131:A132"/>
    <mergeCell ref="A224:K224"/>
    <mergeCell ref="A225:B266"/>
    <mergeCell ref="A216:C216"/>
    <mergeCell ref="A217:C217"/>
    <mergeCell ref="A179:C179"/>
    <mergeCell ref="A180:A197"/>
    <mergeCell ref="B180:B197"/>
    <mergeCell ref="A198:C198"/>
    <mergeCell ref="A199:A213"/>
    <mergeCell ref="B199:B213"/>
  </mergeCells>
  <pageMargins left="0.70866141732283472" right="0.70866141732283472" top="0.74803149606299213" bottom="0.74803149606299213" header="0.31496062992125984" footer="0.31496062992125984"/>
  <pageSetup paperSize="9" scale="52" orientation="portrait" r:id="rId1"/>
  <rowBreaks count="3" manualBreakCount="3">
    <brk id="88" max="9" man="1"/>
    <brk id="156" max="9" man="1"/>
    <brk id="219" max="9" man="1"/>
  </rowBreaks>
  <colBreaks count="1" manualBreakCount="1">
    <brk id="1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69"/>
  <sheetViews>
    <sheetView workbookViewId="0">
      <pane xSplit="2" ySplit="4" topLeftCell="C5" activePane="bottomRight" state="frozen"/>
      <selection activeCell="D8" sqref="D8"/>
      <selection pane="topRight" activeCell="D8" sqref="D8"/>
      <selection pane="bottomLeft" activeCell="D8" sqref="D8"/>
      <selection pane="bottomRight" activeCell="D8" sqref="D8"/>
    </sheetView>
  </sheetViews>
  <sheetFormatPr defaultRowHeight="15" x14ac:dyDescent="0.25"/>
  <cols>
    <col min="1" max="1" width="42.7109375" customWidth="1"/>
    <col min="3" max="3" width="7.7109375" customWidth="1"/>
    <col min="4" max="5" width="13.7109375" customWidth="1"/>
    <col min="6" max="6" width="10.28515625" customWidth="1"/>
    <col min="7" max="9" width="10.28515625" bestFit="1" customWidth="1"/>
    <col min="10" max="10" width="13.85546875" bestFit="1" customWidth="1"/>
    <col min="11" max="11" width="16.42578125" style="122" customWidth="1"/>
    <col min="12" max="12" width="13.85546875" customWidth="1"/>
  </cols>
  <sheetData>
    <row r="1" spans="1:12" ht="21" x14ac:dyDescent="0.25">
      <c r="A1" s="341" t="s">
        <v>0</v>
      </c>
      <c r="B1" s="341"/>
      <c r="C1" s="341"/>
      <c r="D1" s="341"/>
      <c r="E1" s="341"/>
      <c r="F1" s="341"/>
      <c r="G1" s="341"/>
      <c r="H1" s="341"/>
      <c r="I1" s="341"/>
      <c r="J1" s="341"/>
      <c r="K1" s="341"/>
      <c r="L1" s="341"/>
    </row>
    <row r="2" spans="1:12" x14ac:dyDescent="0.25">
      <c r="B2" s="5"/>
      <c r="E2" s="4"/>
      <c r="F2" s="4"/>
      <c r="G2" s="4"/>
      <c r="H2" s="4"/>
      <c r="I2" s="4"/>
      <c r="J2" s="4"/>
      <c r="K2" s="111"/>
    </row>
    <row r="3" spans="1:12" ht="15" customHeight="1" x14ac:dyDescent="0.25">
      <c r="A3" s="342" t="s">
        <v>104</v>
      </c>
      <c r="B3" s="344" t="s">
        <v>105</v>
      </c>
      <c r="C3" s="342" t="s">
        <v>3</v>
      </c>
      <c r="D3" s="342" t="s">
        <v>4</v>
      </c>
      <c r="E3" s="346" t="s">
        <v>96</v>
      </c>
      <c r="F3" s="348" t="s">
        <v>106</v>
      </c>
      <c r="G3" s="349"/>
      <c r="H3" s="349"/>
      <c r="I3" s="350"/>
      <c r="J3" s="346" t="s">
        <v>107</v>
      </c>
      <c r="K3" s="351" t="s">
        <v>108</v>
      </c>
      <c r="L3" s="352" t="s">
        <v>109</v>
      </c>
    </row>
    <row r="4" spans="1:12" ht="25.5" x14ac:dyDescent="0.25">
      <c r="A4" s="343"/>
      <c r="B4" s="345"/>
      <c r="C4" s="343"/>
      <c r="D4" s="343"/>
      <c r="E4" s="347"/>
      <c r="F4" s="124" t="s">
        <v>70</v>
      </c>
      <c r="G4" s="125" t="s">
        <v>71</v>
      </c>
      <c r="H4" s="125" t="s">
        <v>71</v>
      </c>
      <c r="I4" s="125" t="s">
        <v>71</v>
      </c>
      <c r="J4" s="347"/>
      <c r="K4" s="351"/>
      <c r="L4" s="352"/>
    </row>
    <row r="5" spans="1:12" x14ac:dyDescent="0.25">
      <c r="A5" s="255" t="s">
        <v>6</v>
      </c>
      <c r="B5" s="268" t="s">
        <v>21</v>
      </c>
      <c r="C5" s="2" t="s">
        <v>16</v>
      </c>
      <c r="D5" s="3">
        <v>54810810</v>
      </c>
      <c r="E5" s="3">
        <v>54848819</v>
      </c>
      <c r="F5" s="3"/>
      <c r="G5" s="3"/>
      <c r="H5" s="3"/>
      <c r="I5" s="3"/>
      <c r="J5" s="20">
        <f>E5+F5+G5+H5+I5</f>
        <v>54848819</v>
      </c>
      <c r="K5" s="112">
        <v>22925848</v>
      </c>
      <c r="L5" s="3">
        <f>J5-K5</f>
        <v>31922971</v>
      </c>
    </row>
    <row r="6" spans="1:12" x14ac:dyDescent="0.25">
      <c r="A6" s="256"/>
      <c r="B6" s="268"/>
      <c r="C6" s="2" t="s">
        <v>17</v>
      </c>
      <c r="D6" s="3">
        <v>7273070</v>
      </c>
      <c r="E6" s="3">
        <v>7273070</v>
      </c>
      <c r="F6" s="3"/>
      <c r="G6" s="3"/>
      <c r="H6" s="3"/>
      <c r="I6" s="3"/>
      <c r="J6" s="20">
        <f t="shared" ref="J6:J23" si="0">E6+F6+G6+H6+I6</f>
        <v>7273070</v>
      </c>
      <c r="K6" s="112">
        <v>7273070</v>
      </c>
      <c r="L6" s="3">
        <f t="shared" ref="L6:L23" si="1">J6-K6</f>
        <v>0</v>
      </c>
    </row>
    <row r="7" spans="1:12" x14ac:dyDescent="0.25">
      <c r="A7" s="256"/>
      <c r="B7" s="268"/>
      <c r="C7" s="2" t="s">
        <v>18</v>
      </c>
      <c r="D7" s="3">
        <v>96985672</v>
      </c>
      <c r="E7" s="3">
        <v>96985672</v>
      </c>
      <c r="F7" s="3"/>
      <c r="G7" s="3"/>
      <c r="H7" s="3"/>
      <c r="I7" s="3"/>
      <c r="J7" s="20">
        <f t="shared" si="0"/>
        <v>96985672</v>
      </c>
      <c r="K7" s="112">
        <v>48995943</v>
      </c>
      <c r="L7" s="3">
        <f t="shared" si="1"/>
        <v>47989729</v>
      </c>
    </row>
    <row r="8" spans="1:12" x14ac:dyDescent="0.25">
      <c r="A8" s="256"/>
      <c r="B8" s="252">
        <v>104042</v>
      </c>
      <c r="C8" s="2" t="s">
        <v>22</v>
      </c>
      <c r="D8" s="3">
        <v>200000</v>
      </c>
      <c r="E8" s="3">
        <v>200000</v>
      </c>
      <c r="F8" s="3"/>
      <c r="G8" s="3"/>
      <c r="H8" s="3"/>
      <c r="I8" s="3"/>
      <c r="J8" s="20">
        <f t="shared" si="0"/>
        <v>200000</v>
      </c>
      <c r="K8" s="112">
        <v>0</v>
      </c>
      <c r="L8" s="3">
        <f t="shared" si="1"/>
        <v>200000</v>
      </c>
    </row>
    <row r="9" spans="1:12" x14ac:dyDescent="0.25">
      <c r="A9" s="256"/>
      <c r="B9" s="253"/>
      <c r="C9" s="2" t="s">
        <v>19</v>
      </c>
      <c r="D9" s="3">
        <v>13200</v>
      </c>
      <c r="E9" s="3">
        <v>16540</v>
      </c>
      <c r="F9" s="3"/>
      <c r="G9" s="3"/>
      <c r="H9" s="3"/>
      <c r="I9" s="3"/>
      <c r="J9" s="20">
        <f t="shared" si="0"/>
        <v>16540</v>
      </c>
      <c r="K9" s="112">
        <v>5379</v>
      </c>
      <c r="L9" s="3">
        <f t="shared" si="1"/>
        <v>11161</v>
      </c>
    </row>
    <row r="10" spans="1:12" x14ac:dyDescent="0.25">
      <c r="A10" s="256"/>
      <c r="B10" s="253"/>
      <c r="C10" s="2" t="s">
        <v>20</v>
      </c>
      <c r="D10" s="3">
        <v>500</v>
      </c>
      <c r="E10" s="3">
        <v>211</v>
      </c>
      <c r="F10" s="3"/>
      <c r="G10" s="3"/>
      <c r="H10" s="3"/>
      <c r="I10" s="3"/>
      <c r="J10" s="20">
        <f t="shared" si="0"/>
        <v>211</v>
      </c>
      <c r="K10" s="112">
        <v>101</v>
      </c>
      <c r="L10" s="3">
        <f t="shared" si="1"/>
        <v>110</v>
      </c>
    </row>
    <row r="11" spans="1:12" x14ac:dyDescent="0.25">
      <c r="A11" s="256"/>
      <c r="B11" s="254"/>
      <c r="C11" s="2" t="s">
        <v>84</v>
      </c>
      <c r="D11" s="3">
        <v>0</v>
      </c>
      <c r="E11" s="3">
        <v>9238</v>
      </c>
      <c r="F11" s="3"/>
      <c r="G11" s="3"/>
      <c r="H11" s="3"/>
      <c r="I11" s="3"/>
      <c r="J11" s="20">
        <f t="shared" si="0"/>
        <v>9238</v>
      </c>
      <c r="K11" s="112">
        <v>3234</v>
      </c>
      <c r="L11" s="3">
        <f t="shared" si="1"/>
        <v>6004</v>
      </c>
    </row>
    <row r="12" spans="1:12" x14ac:dyDescent="0.25">
      <c r="A12" s="256"/>
      <c r="B12" s="252">
        <v>104043</v>
      </c>
      <c r="C12" s="2" t="s">
        <v>20</v>
      </c>
      <c r="D12" s="3">
        <v>500</v>
      </c>
      <c r="E12" s="3">
        <v>210</v>
      </c>
      <c r="F12" s="3"/>
      <c r="G12" s="3"/>
      <c r="H12" s="3"/>
      <c r="I12" s="3"/>
      <c r="J12" s="20">
        <f t="shared" si="0"/>
        <v>210</v>
      </c>
      <c r="K12" s="112">
        <v>100</v>
      </c>
      <c r="L12" s="3">
        <f t="shared" si="1"/>
        <v>110</v>
      </c>
    </row>
    <row r="13" spans="1:12" x14ac:dyDescent="0.25">
      <c r="A13" s="257"/>
      <c r="B13" s="254"/>
      <c r="C13" s="2" t="s">
        <v>84</v>
      </c>
      <c r="D13" s="3">
        <v>0</v>
      </c>
      <c r="E13" s="3">
        <v>1</v>
      </c>
      <c r="F13" s="3"/>
      <c r="G13" s="3"/>
      <c r="H13" s="3"/>
      <c r="I13" s="3"/>
      <c r="J13" s="20">
        <f t="shared" si="0"/>
        <v>1</v>
      </c>
      <c r="K13" s="112">
        <v>1</v>
      </c>
      <c r="L13" s="3">
        <f t="shared" si="1"/>
        <v>0</v>
      </c>
    </row>
    <row r="14" spans="1:12" x14ac:dyDescent="0.25">
      <c r="A14" s="258" t="s">
        <v>7</v>
      </c>
      <c r="B14" s="268" t="s">
        <v>21</v>
      </c>
      <c r="C14" s="2" t="s">
        <v>16</v>
      </c>
      <c r="D14" s="3">
        <v>245982</v>
      </c>
      <c r="E14" s="3">
        <v>245982</v>
      </c>
      <c r="F14" s="3"/>
      <c r="G14" s="3"/>
      <c r="H14" s="3"/>
      <c r="I14" s="3"/>
      <c r="J14" s="20">
        <f t="shared" si="0"/>
        <v>245982</v>
      </c>
      <c r="K14" s="112">
        <v>118624</v>
      </c>
      <c r="L14" s="3">
        <f t="shared" si="1"/>
        <v>127358</v>
      </c>
    </row>
    <row r="15" spans="1:12" x14ac:dyDescent="0.25">
      <c r="A15" s="258"/>
      <c r="B15" s="268"/>
      <c r="C15" s="2" t="s">
        <v>17</v>
      </c>
      <c r="D15" s="3">
        <v>1005557</v>
      </c>
      <c r="E15" s="3">
        <v>1005557</v>
      </c>
      <c r="F15" s="3"/>
      <c r="G15" s="3"/>
      <c r="H15" s="3"/>
      <c r="I15" s="3"/>
      <c r="J15" s="20">
        <f t="shared" si="0"/>
        <v>1005557</v>
      </c>
      <c r="K15" s="112">
        <v>1005557</v>
      </c>
      <c r="L15" s="3">
        <f t="shared" si="1"/>
        <v>0</v>
      </c>
    </row>
    <row r="16" spans="1:12" x14ac:dyDescent="0.25">
      <c r="A16" s="258" t="s">
        <v>8</v>
      </c>
      <c r="B16" s="268" t="s">
        <v>21</v>
      </c>
      <c r="C16" s="2" t="s">
        <v>16</v>
      </c>
      <c r="D16" s="3">
        <v>3086953</v>
      </c>
      <c r="E16" s="3">
        <v>3103704</v>
      </c>
      <c r="F16" s="3"/>
      <c r="G16" s="3"/>
      <c r="H16" s="3"/>
      <c r="I16" s="3"/>
      <c r="J16" s="20">
        <f t="shared" si="0"/>
        <v>3103704</v>
      </c>
      <c r="K16" s="112">
        <v>1560228</v>
      </c>
      <c r="L16" s="3">
        <f t="shared" si="1"/>
        <v>1543476</v>
      </c>
    </row>
    <row r="17" spans="1:12" x14ac:dyDescent="0.25">
      <c r="A17" s="258"/>
      <c r="B17" s="268"/>
      <c r="C17" s="2" t="s">
        <v>17</v>
      </c>
      <c r="D17" s="3">
        <v>440959</v>
      </c>
      <c r="E17" s="3">
        <v>440959</v>
      </c>
      <c r="F17" s="3"/>
      <c r="G17" s="3"/>
      <c r="H17" s="3"/>
      <c r="I17" s="3"/>
      <c r="J17" s="20">
        <f t="shared" si="0"/>
        <v>440959</v>
      </c>
      <c r="K17" s="112">
        <v>440959</v>
      </c>
      <c r="L17" s="3">
        <f t="shared" si="1"/>
        <v>0</v>
      </c>
    </row>
    <row r="18" spans="1:12" x14ac:dyDescent="0.25">
      <c r="A18" s="258" t="s">
        <v>9</v>
      </c>
      <c r="B18" s="268" t="s">
        <v>21</v>
      </c>
      <c r="C18" s="2" t="s">
        <v>16</v>
      </c>
      <c r="D18" s="3">
        <v>1403439</v>
      </c>
      <c r="E18" s="3">
        <v>1414887</v>
      </c>
      <c r="F18" s="3"/>
      <c r="G18" s="3"/>
      <c r="H18" s="3"/>
      <c r="I18" s="3"/>
      <c r="J18" s="20">
        <f t="shared" si="0"/>
        <v>1414887</v>
      </c>
      <c r="K18" s="112">
        <v>421684</v>
      </c>
      <c r="L18" s="3">
        <f t="shared" si="1"/>
        <v>993203</v>
      </c>
    </row>
    <row r="19" spans="1:12" x14ac:dyDescent="0.25">
      <c r="A19" s="258"/>
      <c r="B19" s="268"/>
      <c r="C19" s="2" t="s">
        <v>17</v>
      </c>
      <c r="D19" s="3">
        <v>599759</v>
      </c>
      <c r="E19" s="3">
        <v>599759</v>
      </c>
      <c r="F19" s="3"/>
      <c r="G19" s="3"/>
      <c r="H19" s="3"/>
      <c r="I19" s="3"/>
      <c r="J19" s="20">
        <f t="shared" si="0"/>
        <v>599759</v>
      </c>
      <c r="K19" s="112">
        <v>599759</v>
      </c>
      <c r="L19" s="3">
        <f t="shared" si="1"/>
        <v>0</v>
      </c>
    </row>
    <row r="20" spans="1:12" x14ac:dyDescent="0.25">
      <c r="A20" s="255" t="s">
        <v>54</v>
      </c>
      <c r="B20" s="252" t="s">
        <v>21</v>
      </c>
      <c r="C20" s="2" t="s">
        <v>16</v>
      </c>
      <c r="D20" s="3">
        <v>4056383</v>
      </c>
      <c r="E20" s="3">
        <v>4056383</v>
      </c>
      <c r="F20" s="3"/>
      <c r="G20" s="3"/>
      <c r="H20" s="3"/>
      <c r="I20" s="3"/>
      <c r="J20" s="20">
        <f t="shared" si="0"/>
        <v>4056383</v>
      </c>
      <c r="K20" s="112">
        <v>1077957</v>
      </c>
      <c r="L20" s="3">
        <f t="shared" si="1"/>
        <v>2978426</v>
      </c>
    </row>
    <row r="21" spans="1:12" x14ac:dyDescent="0.25">
      <c r="A21" s="257"/>
      <c r="B21" s="254"/>
      <c r="C21" s="2" t="s">
        <v>17</v>
      </c>
      <c r="D21" s="3">
        <v>226299</v>
      </c>
      <c r="E21" s="3">
        <v>226299</v>
      </c>
      <c r="F21" s="3"/>
      <c r="G21" s="3"/>
      <c r="H21" s="3"/>
      <c r="I21" s="3"/>
      <c r="J21" s="20">
        <f t="shared" si="0"/>
        <v>226299</v>
      </c>
      <c r="K21" s="112">
        <v>226299</v>
      </c>
      <c r="L21" s="3">
        <f t="shared" si="1"/>
        <v>0</v>
      </c>
    </row>
    <row r="22" spans="1:12" x14ac:dyDescent="0.25">
      <c r="A22" s="258" t="s">
        <v>10</v>
      </c>
      <c r="B22" s="268" t="s">
        <v>21</v>
      </c>
      <c r="C22" s="2" t="s">
        <v>16</v>
      </c>
      <c r="D22" s="3">
        <v>53627392</v>
      </c>
      <c r="E22" s="3">
        <v>53627392</v>
      </c>
      <c r="F22" s="3"/>
      <c r="G22" s="3"/>
      <c r="H22" s="3"/>
      <c r="I22" s="3"/>
      <c r="J22" s="20">
        <f t="shared" si="0"/>
        <v>53627392</v>
      </c>
      <c r="K22" s="112">
        <v>16810012</v>
      </c>
      <c r="L22" s="3">
        <f t="shared" si="1"/>
        <v>36817380</v>
      </c>
    </row>
    <row r="23" spans="1:12" x14ac:dyDescent="0.25">
      <c r="A23" s="258"/>
      <c r="B23" s="268"/>
      <c r="C23" s="2" t="s">
        <v>17</v>
      </c>
      <c r="D23" s="3">
        <v>6467166</v>
      </c>
      <c r="E23" s="3">
        <v>6467166</v>
      </c>
      <c r="F23" s="3"/>
      <c r="G23" s="3"/>
      <c r="H23" s="3"/>
      <c r="I23" s="3"/>
      <c r="J23" s="20">
        <f t="shared" si="0"/>
        <v>6467166</v>
      </c>
      <c r="K23" s="112">
        <v>6467166</v>
      </c>
      <c r="L23" s="3">
        <f t="shared" si="1"/>
        <v>0</v>
      </c>
    </row>
    <row r="24" spans="1:12" ht="30" customHeight="1" x14ac:dyDescent="0.25">
      <c r="A24" s="353" t="s">
        <v>73</v>
      </c>
      <c r="B24" s="354"/>
      <c r="C24" s="355"/>
      <c r="D24" s="126">
        <f t="shared" ref="D24:L24" si="2">SUM(D5:D23)</f>
        <v>230443641</v>
      </c>
      <c r="E24" s="126">
        <f t="shared" si="2"/>
        <v>230521849</v>
      </c>
      <c r="F24" s="126">
        <f t="shared" si="2"/>
        <v>0</v>
      </c>
      <c r="G24" s="126">
        <f t="shared" si="2"/>
        <v>0</v>
      </c>
      <c r="H24" s="126">
        <f t="shared" si="2"/>
        <v>0</v>
      </c>
      <c r="I24" s="126">
        <f t="shared" si="2"/>
        <v>0</v>
      </c>
      <c r="J24" s="126">
        <f t="shared" si="2"/>
        <v>230521849</v>
      </c>
      <c r="K24" s="127">
        <f t="shared" si="2"/>
        <v>107931921</v>
      </c>
      <c r="L24" s="126">
        <f t="shared" si="2"/>
        <v>122589928</v>
      </c>
    </row>
    <row r="25" spans="1:12" x14ac:dyDescent="0.25">
      <c r="A25" s="258" t="s">
        <v>11</v>
      </c>
      <c r="B25" s="252" t="s">
        <v>23</v>
      </c>
      <c r="C25" s="2" t="s">
        <v>24</v>
      </c>
      <c r="D25" s="3">
        <v>35883092</v>
      </c>
      <c r="E25" s="3">
        <v>35716284</v>
      </c>
      <c r="F25" s="3">
        <v>-12058</v>
      </c>
      <c r="G25" s="3"/>
      <c r="H25" s="3"/>
      <c r="I25" s="3"/>
      <c r="J25" s="20">
        <f t="shared" ref="J25:J31" si="3">E25+F25+G25+H25+I25</f>
        <v>35704226</v>
      </c>
      <c r="K25" s="112">
        <v>15831914</v>
      </c>
      <c r="L25" s="3">
        <f t="shared" ref="L25:L31" si="4">J25-K25</f>
        <v>19872312</v>
      </c>
    </row>
    <row r="26" spans="1:12" x14ac:dyDescent="0.25">
      <c r="A26" s="258"/>
      <c r="B26" s="253"/>
      <c r="C26" s="2" t="s">
        <v>25</v>
      </c>
      <c r="D26" s="3">
        <v>1542000</v>
      </c>
      <c r="E26" s="3">
        <v>1542000</v>
      </c>
      <c r="F26" s="3"/>
      <c r="G26" s="3"/>
      <c r="H26" s="3"/>
      <c r="I26" s="3"/>
      <c r="J26" s="20">
        <f t="shared" si="3"/>
        <v>1542000</v>
      </c>
      <c r="K26" s="112">
        <v>725000</v>
      </c>
      <c r="L26" s="3">
        <f t="shared" si="4"/>
        <v>817000</v>
      </c>
    </row>
    <row r="27" spans="1:12" x14ac:dyDescent="0.25">
      <c r="A27" s="258"/>
      <c r="B27" s="253"/>
      <c r="C27" s="2" t="s">
        <v>26</v>
      </c>
      <c r="D27" s="3">
        <v>80000</v>
      </c>
      <c r="E27" s="3">
        <v>80000</v>
      </c>
      <c r="F27" s="3"/>
      <c r="G27" s="3"/>
      <c r="H27" s="3"/>
      <c r="I27" s="3"/>
      <c r="J27" s="20">
        <f t="shared" si="3"/>
        <v>80000</v>
      </c>
      <c r="K27" s="112">
        <v>0</v>
      </c>
      <c r="L27" s="3">
        <f t="shared" si="4"/>
        <v>80000</v>
      </c>
    </row>
    <row r="28" spans="1:12" x14ac:dyDescent="0.25">
      <c r="A28" s="258"/>
      <c r="B28" s="253"/>
      <c r="C28" s="2" t="s">
        <v>27</v>
      </c>
      <c r="D28" s="3">
        <v>893400</v>
      </c>
      <c r="E28" s="3">
        <v>893400</v>
      </c>
      <c r="F28" s="3"/>
      <c r="G28" s="3"/>
      <c r="H28" s="3"/>
      <c r="I28" s="3"/>
      <c r="J28" s="20">
        <f t="shared" si="3"/>
        <v>893400</v>
      </c>
      <c r="K28" s="112">
        <v>329750</v>
      </c>
      <c r="L28" s="3">
        <f t="shared" si="4"/>
        <v>563650</v>
      </c>
    </row>
    <row r="29" spans="1:12" x14ac:dyDescent="0.25">
      <c r="A29" s="258"/>
      <c r="B29" s="253"/>
      <c r="C29" s="2" t="s">
        <v>28</v>
      </c>
      <c r="D29" s="3">
        <v>190000</v>
      </c>
      <c r="E29" s="3">
        <v>190000</v>
      </c>
      <c r="F29" s="3"/>
      <c r="G29" s="3"/>
      <c r="H29" s="3"/>
      <c r="I29" s="3"/>
      <c r="J29" s="20">
        <f t="shared" si="3"/>
        <v>190000</v>
      </c>
      <c r="K29" s="112">
        <v>93000</v>
      </c>
      <c r="L29" s="3">
        <f t="shared" si="4"/>
        <v>97000</v>
      </c>
    </row>
    <row r="30" spans="1:12" x14ac:dyDescent="0.25">
      <c r="A30" s="258"/>
      <c r="B30" s="253"/>
      <c r="C30" s="2" t="s">
        <v>29</v>
      </c>
      <c r="D30" s="3">
        <v>1086500</v>
      </c>
      <c r="E30" s="3">
        <v>1265178</v>
      </c>
      <c r="F30" s="3">
        <v>12058</v>
      </c>
      <c r="G30" s="3"/>
      <c r="H30" s="3"/>
      <c r="I30" s="3"/>
      <c r="J30" s="20">
        <f t="shared" si="3"/>
        <v>1277236</v>
      </c>
      <c r="K30" s="112">
        <v>380261</v>
      </c>
      <c r="L30" s="3">
        <f t="shared" si="4"/>
        <v>896975</v>
      </c>
    </row>
    <row r="31" spans="1:12" x14ac:dyDescent="0.25">
      <c r="A31" s="258"/>
      <c r="B31" s="253"/>
      <c r="C31" s="2" t="s">
        <v>30</v>
      </c>
      <c r="D31" s="3">
        <v>100000</v>
      </c>
      <c r="E31" s="3">
        <v>100000</v>
      </c>
      <c r="F31" s="3"/>
      <c r="G31" s="3"/>
      <c r="H31" s="3"/>
      <c r="I31" s="3"/>
      <c r="J31" s="20">
        <f t="shared" si="3"/>
        <v>100000</v>
      </c>
      <c r="K31" s="112">
        <v>1500</v>
      </c>
      <c r="L31" s="3">
        <f t="shared" si="4"/>
        <v>98500</v>
      </c>
    </row>
    <row r="32" spans="1:12" x14ac:dyDescent="0.25">
      <c r="A32" s="258"/>
      <c r="B32" s="253"/>
      <c r="C32" s="6" t="s">
        <v>53</v>
      </c>
      <c r="D32" s="7">
        <f>SUM(D25:D31)</f>
        <v>39774992</v>
      </c>
      <c r="E32" s="7">
        <f>SUM(E25:E31)</f>
        <v>39786862</v>
      </c>
      <c r="F32" s="7">
        <f t="shared" ref="F32:L32" si="5">SUM(F25:F31)</f>
        <v>0</v>
      </c>
      <c r="G32" s="7">
        <f t="shared" si="5"/>
        <v>0</v>
      </c>
      <c r="H32" s="7">
        <f t="shared" si="5"/>
        <v>0</v>
      </c>
      <c r="I32" s="7">
        <f t="shared" si="5"/>
        <v>0</v>
      </c>
      <c r="J32" s="7">
        <f t="shared" si="5"/>
        <v>39786862</v>
      </c>
      <c r="K32" s="114">
        <f t="shared" si="5"/>
        <v>17361425</v>
      </c>
      <c r="L32" s="7">
        <f t="shared" si="5"/>
        <v>22425437</v>
      </c>
    </row>
    <row r="33" spans="1:12" x14ac:dyDescent="0.25">
      <c r="A33" s="258"/>
      <c r="B33" s="253"/>
      <c r="C33" s="86" t="s">
        <v>31</v>
      </c>
      <c r="D33" s="87">
        <v>7793417</v>
      </c>
      <c r="E33" s="87">
        <v>7795732</v>
      </c>
      <c r="F33" s="87"/>
      <c r="G33" s="87"/>
      <c r="H33" s="87"/>
      <c r="I33" s="87"/>
      <c r="J33" s="88">
        <f t="shared" ref="J33:J47" si="6">E33+F33+G33+H33+I33</f>
        <v>7795732</v>
      </c>
      <c r="K33" s="115">
        <v>3652266</v>
      </c>
      <c r="L33" s="89">
        <f t="shared" ref="L33:L47" si="7">J33-K33</f>
        <v>4143466</v>
      </c>
    </row>
    <row r="34" spans="1:12" x14ac:dyDescent="0.25">
      <c r="A34" s="258"/>
      <c r="B34" s="253"/>
      <c r="C34" s="2" t="s">
        <v>32</v>
      </c>
      <c r="D34" s="3">
        <v>105000</v>
      </c>
      <c r="E34" s="3">
        <v>105000</v>
      </c>
      <c r="F34" s="3"/>
      <c r="G34" s="3"/>
      <c r="H34" s="3"/>
      <c r="I34" s="3"/>
      <c r="J34" s="20">
        <f t="shared" si="6"/>
        <v>105000</v>
      </c>
      <c r="K34" s="112">
        <v>24818</v>
      </c>
      <c r="L34" s="3">
        <f t="shared" si="7"/>
        <v>80182</v>
      </c>
    </row>
    <row r="35" spans="1:12" x14ac:dyDescent="0.25">
      <c r="A35" s="258"/>
      <c r="B35" s="253"/>
      <c r="C35" s="2" t="s">
        <v>33</v>
      </c>
      <c r="D35" s="3">
        <v>500000</v>
      </c>
      <c r="E35" s="3">
        <v>500000</v>
      </c>
      <c r="F35" s="3"/>
      <c r="G35" s="3"/>
      <c r="H35" s="3"/>
      <c r="I35" s="3"/>
      <c r="J35" s="20">
        <f t="shared" si="6"/>
        <v>500000</v>
      </c>
      <c r="K35" s="112">
        <v>1371</v>
      </c>
      <c r="L35" s="3">
        <f t="shared" si="7"/>
        <v>498629</v>
      </c>
    </row>
    <row r="36" spans="1:12" x14ac:dyDescent="0.25">
      <c r="A36" s="258"/>
      <c r="B36" s="253"/>
      <c r="C36" s="2" t="s">
        <v>34</v>
      </c>
      <c r="D36" s="3">
        <v>213000</v>
      </c>
      <c r="E36" s="3">
        <v>213000</v>
      </c>
      <c r="F36" s="3"/>
      <c r="G36" s="3"/>
      <c r="H36" s="3"/>
      <c r="I36" s="3"/>
      <c r="J36" s="20">
        <f t="shared" si="6"/>
        <v>213000</v>
      </c>
      <c r="K36" s="112">
        <v>61188</v>
      </c>
      <c r="L36" s="3">
        <f t="shared" si="7"/>
        <v>151812</v>
      </c>
    </row>
    <row r="37" spans="1:12" x14ac:dyDescent="0.25">
      <c r="A37" s="258"/>
      <c r="B37" s="253"/>
      <c r="C37" s="2" t="s">
        <v>35</v>
      </c>
      <c r="D37" s="3">
        <v>162000</v>
      </c>
      <c r="E37" s="3">
        <v>162000</v>
      </c>
      <c r="F37" s="3"/>
      <c r="G37" s="3"/>
      <c r="H37" s="3"/>
      <c r="I37" s="3"/>
      <c r="J37" s="20">
        <f t="shared" si="6"/>
        <v>162000</v>
      </c>
      <c r="K37" s="112">
        <v>32973</v>
      </c>
      <c r="L37" s="3">
        <f t="shared" si="7"/>
        <v>129027</v>
      </c>
    </row>
    <row r="38" spans="1:12" x14ac:dyDescent="0.25">
      <c r="A38" s="258"/>
      <c r="B38" s="253"/>
      <c r="C38" s="2" t="s">
        <v>36</v>
      </c>
      <c r="D38" s="3">
        <v>569540</v>
      </c>
      <c r="E38" s="3">
        <v>569540</v>
      </c>
      <c r="F38" s="3"/>
      <c r="G38" s="3"/>
      <c r="H38" s="3"/>
      <c r="I38" s="3"/>
      <c r="J38" s="20">
        <f t="shared" si="6"/>
        <v>569540</v>
      </c>
      <c r="K38" s="112">
        <v>326391</v>
      </c>
      <c r="L38" s="3">
        <f t="shared" si="7"/>
        <v>243149</v>
      </c>
    </row>
    <row r="39" spans="1:12" x14ac:dyDescent="0.25">
      <c r="A39" s="258"/>
      <c r="B39" s="253"/>
      <c r="C39" s="2" t="s">
        <v>37</v>
      </c>
      <c r="D39" s="3">
        <v>3000</v>
      </c>
      <c r="E39" s="3">
        <v>3000</v>
      </c>
      <c r="F39" s="3"/>
      <c r="G39" s="3"/>
      <c r="H39" s="3"/>
      <c r="I39" s="3"/>
      <c r="J39" s="20">
        <f t="shared" si="6"/>
        <v>3000</v>
      </c>
      <c r="K39" s="112">
        <v>0</v>
      </c>
      <c r="L39" s="3">
        <f t="shared" si="7"/>
        <v>3000</v>
      </c>
    </row>
    <row r="40" spans="1:12" x14ac:dyDescent="0.25">
      <c r="A40" s="258"/>
      <c r="B40" s="253"/>
      <c r="C40" s="2" t="s">
        <v>38</v>
      </c>
      <c r="D40" s="3">
        <v>460000</v>
      </c>
      <c r="E40" s="3">
        <v>456500</v>
      </c>
      <c r="F40" s="3"/>
      <c r="G40" s="3"/>
      <c r="H40" s="3"/>
      <c r="I40" s="3"/>
      <c r="J40" s="20">
        <f t="shared" si="6"/>
        <v>456500</v>
      </c>
      <c r="K40" s="112">
        <v>113646</v>
      </c>
      <c r="L40" s="3">
        <f t="shared" si="7"/>
        <v>342854</v>
      </c>
    </row>
    <row r="41" spans="1:12" x14ac:dyDescent="0.25">
      <c r="A41" s="258"/>
      <c r="B41" s="253"/>
      <c r="C41" s="2" t="s">
        <v>39</v>
      </c>
      <c r="D41" s="3">
        <v>13200</v>
      </c>
      <c r="E41" s="3">
        <v>16540</v>
      </c>
      <c r="F41" s="3"/>
      <c r="G41" s="3"/>
      <c r="H41" s="3"/>
      <c r="I41" s="3"/>
      <c r="J41" s="20">
        <f t="shared" si="6"/>
        <v>16540</v>
      </c>
      <c r="K41" s="112">
        <v>6420</v>
      </c>
      <c r="L41" s="3">
        <f t="shared" si="7"/>
        <v>10120</v>
      </c>
    </row>
    <row r="42" spans="1:12" x14ac:dyDescent="0.25">
      <c r="A42" s="258"/>
      <c r="B42" s="253"/>
      <c r="C42" s="2" t="s">
        <v>40</v>
      </c>
      <c r="D42" s="3">
        <v>137800</v>
      </c>
      <c r="E42" s="3">
        <v>137800</v>
      </c>
      <c r="F42" s="3"/>
      <c r="G42" s="3"/>
      <c r="H42" s="3"/>
      <c r="I42" s="3"/>
      <c r="J42" s="20">
        <f t="shared" si="6"/>
        <v>137800</v>
      </c>
      <c r="K42" s="112">
        <v>26300</v>
      </c>
      <c r="L42" s="3">
        <f t="shared" si="7"/>
        <v>111500</v>
      </c>
    </row>
    <row r="43" spans="1:12" x14ac:dyDescent="0.25">
      <c r="A43" s="258"/>
      <c r="B43" s="253"/>
      <c r="C43" s="2" t="s">
        <v>41</v>
      </c>
      <c r="D43" s="3">
        <v>582236</v>
      </c>
      <c r="E43" s="3">
        <v>583896</v>
      </c>
      <c r="F43" s="3"/>
      <c r="G43" s="3"/>
      <c r="H43" s="3"/>
      <c r="I43" s="3"/>
      <c r="J43" s="20">
        <f t="shared" si="6"/>
        <v>583896</v>
      </c>
      <c r="K43" s="112">
        <v>360647</v>
      </c>
      <c r="L43" s="3">
        <f t="shared" si="7"/>
        <v>223249</v>
      </c>
    </row>
    <row r="44" spans="1:12" x14ac:dyDescent="0.25">
      <c r="A44" s="258"/>
      <c r="B44" s="253"/>
      <c r="C44" s="2" t="s">
        <v>42</v>
      </c>
      <c r="D44" s="3">
        <v>552000</v>
      </c>
      <c r="E44" s="3">
        <v>539440</v>
      </c>
      <c r="F44" s="3"/>
      <c r="G44" s="3"/>
      <c r="H44" s="3"/>
      <c r="I44" s="3"/>
      <c r="J44" s="20">
        <f t="shared" si="6"/>
        <v>539440</v>
      </c>
      <c r="K44" s="112">
        <v>198515</v>
      </c>
      <c r="L44" s="3">
        <f t="shared" si="7"/>
        <v>340925</v>
      </c>
    </row>
    <row r="45" spans="1:12" x14ac:dyDescent="0.25">
      <c r="A45" s="258"/>
      <c r="B45" s="253"/>
      <c r="C45" s="2" t="s">
        <v>43</v>
      </c>
      <c r="D45" s="3">
        <v>30000</v>
      </c>
      <c r="E45" s="3">
        <v>30000</v>
      </c>
      <c r="F45" s="3"/>
      <c r="G45" s="3"/>
      <c r="H45" s="3"/>
      <c r="I45" s="3"/>
      <c r="J45" s="20">
        <f t="shared" si="6"/>
        <v>30000</v>
      </c>
      <c r="K45" s="112">
        <v>0</v>
      </c>
      <c r="L45" s="3">
        <f t="shared" si="7"/>
        <v>30000</v>
      </c>
    </row>
    <row r="46" spans="1:12" x14ac:dyDescent="0.25">
      <c r="A46" s="258"/>
      <c r="B46" s="253"/>
      <c r="C46" s="2" t="s">
        <v>44</v>
      </c>
      <c r="D46" s="3">
        <v>455834</v>
      </c>
      <c r="E46" s="3">
        <v>218435</v>
      </c>
      <c r="F46" s="3"/>
      <c r="G46" s="3"/>
      <c r="H46" s="3"/>
      <c r="I46" s="3"/>
      <c r="J46" s="20">
        <f t="shared" si="6"/>
        <v>218435</v>
      </c>
      <c r="K46" s="112">
        <v>90465</v>
      </c>
      <c r="L46" s="3">
        <f t="shared" si="7"/>
        <v>127970</v>
      </c>
    </row>
    <row r="47" spans="1:12" x14ac:dyDescent="0.25">
      <c r="A47" s="258"/>
      <c r="B47" s="253"/>
      <c r="C47" s="2" t="s">
        <v>45</v>
      </c>
      <c r="D47" s="3">
        <v>80000</v>
      </c>
      <c r="E47" s="3">
        <v>75764</v>
      </c>
      <c r="F47" s="3"/>
      <c r="G47" s="3"/>
      <c r="H47" s="3"/>
      <c r="I47" s="3"/>
      <c r="J47" s="20">
        <f t="shared" si="6"/>
        <v>75764</v>
      </c>
      <c r="K47" s="112">
        <v>32642</v>
      </c>
      <c r="L47" s="3">
        <f t="shared" si="7"/>
        <v>43122</v>
      </c>
    </row>
    <row r="48" spans="1:12" x14ac:dyDescent="0.25">
      <c r="A48" s="258"/>
      <c r="B48" s="253"/>
      <c r="C48" s="6" t="s">
        <v>49</v>
      </c>
      <c r="D48" s="7">
        <f>SUM(D34:D47)</f>
        <v>3863610</v>
      </c>
      <c r="E48" s="7">
        <f>SUM(E34:E47)</f>
        <v>3610915</v>
      </c>
      <c r="F48" s="7">
        <f t="shared" ref="F48:L48" si="8">SUM(F34:F47)</f>
        <v>0</v>
      </c>
      <c r="G48" s="7">
        <f t="shared" si="8"/>
        <v>0</v>
      </c>
      <c r="H48" s="7">
        <f t="shared" si="8"/>
        <v>0</v>
      </c>
      <c r="I48" s="7">
        <f t="shared" si="8"/>
        <v>0</v>
      </c>
      <c r="J48" s="7">
        <f t="shared" si="8"/>
        <v>3610915</v>
      </c>
      <c r="K48" s="114">
        <f t="shared" si="8"/>
        <v>1275376</v>
      </c>
      <c r="L48" s="7">
        <f t="shared" si="8"/>
        <v>2335539</v>
      </c>
    </row>
    <row r="49" spans="1:12" x14ac:dyDescent="0.25">
      <c r="A49" s="258"/>
      <c r="B49" s="253"/>
      <c r="C49" s="2" t="s">
        <v>50</v>
      </c>
      <c r="D49" s="3">
        <v>78740</v>
      </c>
      <c r="E49" s="3">
        <v>78740</v>
      </c>
      <c r="F49" s="3"/>
      <c r="G49" s="3"/>
      <c r="H49" s="3"/>
      <c r="I49" s="3"/>
      <c r="J49" s="20">
        <f t="shared" ref="J49:J50" si="9">E49+F49+G49+H49+I49</f>
        <v>78740</v>
      </c>
      <c r="K49" s="112">
        <v>0</v>
      </c>
      <c r="L49" s="3">
        <f t="shared" ref="L49:L50" si="10">J49-K49</f>
        <v>78740</v>
      </c>
    </row>
    <row r="50" spans="1:12" x14ac:dyDescent="0.25">
      <c r="A50" s="258"/>
      <c r="B50" s="253"/>
      <c r="C50" s="2" t="s">
        <v>51</v>
      </c>
      <c r="D50" s="3">
        <v>21260</v>
      </c>
      <c r="E50" s="3">
        <v>21260</v>
      </c>
      <c r="F50" s="3"/>
      <c r="G50" s="3"/>
      <c r="H50" s="3"/>
      <c r="I50" s="3"/>
      <c r="J50" s="20">
        <f t="shared" si="9"/>
        <v>21260</v>
      </c>
      <c r="K50" s="112">
        <v>0</v>
      </c>
      <c r="L50" s="3">
        <f t="shared" si="10"/>
        <v>21260</v>
      </c>
    </row>
    <row r="51" spans="1:12" x14ac:dyDescent="0.25">
      <c r="A51" s="258"/>
      <c r="B51" s="254"/>
      <c r="C51" s="6" t="s">
        <v>52</v>
      </c>
      <c r="D51" s="7">
        <f>SUM(D49:D50)</f>
        <v>100000</v>
      </c>
      <c r="E51" s="7">
        <f>SUM(E49:E50)</f>
        <v>100000</v>
      </c>
      <c r="F51" s="7">
        <f t="shared" ref="F51:L51" si="11">SUM(F49:F50)</f>
        <v>0</v>
      </c>
      <c r="G51" s="7">
        <f t="shared" si="11"/>
        <v>0</v>
      </c>
      <c r="H51" s="7">
        <f t="shared" si="11"/>
        <v>0</v>
      </c>
      <c r="I51" s="7">
        <f t="shared" si="11"/>
        <v>0</v>
      </c>
      <c r="J51" s="7">
        <f t="shared" si="11"/>
        <v>100000</v>
      </c>
      <c r="K51" s="114">
        <f t="shared" si="11"/>
        <v>0</v>
      </c>
      <c r="L51" s="7">
        <f t="shared" si="11"/>
        <v>100000</v>
      </c>
    </row>
    <row r="52" spans="1:12" x14ac:dyDescent="0.25">
      <c r="A52" s="258"/>
      <c r="B52" s="268" t="s">
        <v>46</v>
      </c>
      <c r="C52" s="2" t="s">
        <v>24</v>
      </c>
      <c r="D52" s="3">
        <v>25123345</v>
      </c>
      <c r="E52" s="3">
        <v>25143281</v>
      </c>
      <c r="F52" s="3"/>
      <c r="G52" s="3"/>
      <c r="H52" s="3"/>
      <c r="I52" s="3"/>
      <c r="J52" s="20">
        <f t="shared" ref="J52:J60" si="12">E52+F52+G52+H52+I52</f>
        <v>25143281</v>
      </c>
      <c r="K52" s="112">
        <v>11265735</v>
      </c>
      <c r="L52" s="3">
        <f t="shared" ref="L52:L60" si="13">J52-K52</f>
        <v>13877546</v>
      </c>
    </row>
    <row r="53" spans="1:12" x14ac:dyDescent="0.25">
      <c r="A53" s="258"/>
      <c r="B53" s="268"/>
      <c r="C53" s="2" t="s">
        <v>47</v>
      </c>
      <c r="D53" s="3">
        <v>2040480</v>
      </c>
      <c r="E53" s="3">
        <v>2040480</v>
      </c>
      <c r="F53" s="3"/>
      <c r="G53" s="3"/>
      <c r="H53" s="3"/>
      <c r="I53" s="3"/>
      <c r="J53" s="20">
        <f t="shared" si="12"/>
        <v>2040480</v>
      </c>
      <c r="K53" s="112">
        <v>946537</v>
      </c>
      <c r="L53" s="3">
        <f t="shared" si="13"/>
        <v>1093943</v>
      </c>
    </row>
    <row r="54" spans="1:12" x14ac:dyDescent="0.25">
      <c r="A54" s="258"/>
      <c r="B54" s="268"/>
      <c r="C54" s="2" t="s">
        <v>48</v>
      </c>
      <c r="D54" s="3">
        <v>0</v>
      </c>
      <c r="E54" s="3">
        <v>0</v>
      </c>
      <c r="F54" s="3"/>
      <c r="G54" s="3"/>
      <c r="H54" s="3"/>
      <c r="I54" s="3"/>
      <c r="J54" s="20">
        <f t="shared" si="12"/>
        <v>0</v>
      </c>
      <c r="K54" s="112">
        <v>0</v>
      </c>
      <c r="L54" s="3">
        <f t="shared" si="13"/>
        <v>0</v>
      </c>
    </row>
    <row r="55" spans="1:12" x14ac:dyDescent="0.25">
      <c r="A55" s="258"/>
      <c r="B55" s="268"/>
      <c r="C55" s="2" t="s">
        <v>25</v>
      </c>
      <c r="D55" s="3">
        <v>1025000</v>
      </c>
      <c r="E55" s="3">
        <v>1025000</v>
      </c>
      <c r="F55" s="3"/>
      <c r="G55" s="3"/>
      <c r="H55" s="3"/>
      <c r="I55" s="3"/>
      <c r="J55" s="20">
        <f t="shared" si="12"/>
        <v>1025000</v>
      </c>
      <c r="K55" s="112">
        <v>450000</v>
      </c>
      <c r="L55" s="3">
        <f t="shared" si="13"/>
        <v>575000</v>
      </c>
    </row>
    <row r="56" spans="1:12" x14ac:dyDescent="0.25">
      <c r="A56" s="258"/>
      <c r="B56" s="268"/>
      <c r="C56" s="2" t="s">
        <v>26</v>
      </c>
      <c r="D56" s="3">
        <v>60000</v>
      </c>
      <c r="E56" s="3">
        <v>60000</v>
      </c>
      <c r="F56" s="3"/>
      <c r="G56" s="3"/>
      <c r="H56" s="3"/>
      <c r="I56" s="3"/>
      <c r="J56" s="20">
        <f t="shared" si="12"/>
        <v>60000</v>
      </c>
      <c r="K56" s="112">
        <v>0</v>
      </c>
      <c r="L56" s="3">
        <f t="shared" si="13"/>
        <v>60000</v>
      </c>
    </row>
    <row r="57" spans="1:12" x14ac:dyDescent="0.25">
      <c r="A57" s="258"/>
      <c r="B57" s="268"/>
      <c r="C57" s="2" t="s">
        <v>27</v>
      </c>
      <c r="D57" s="3">
        <v>240000</v>
      </c>
      <c r="E57" s="3">
        <v>240000</v>
      </c>
      <c r="F57" s="3">
        <v>-5202</v>
      </c>
      <c r="G57" s="3"/>
      <c r="H57" s="3"/>
      <c r="I57" s="3"/>
      <c r="J57" s="20">
        <f t="shared" si="12"/>
        <v>234798</v>
      </c>
      <c r="K57" s="112">
        <v>71370</v>
      </c>
      <c r="L57" s="3">
        <f t="shared" si="13"/>
        <v>163428</v>
      </c>
    </row>
    <row r="58" spans="1:12" x14ac:dyDescent="0.25">
      <c r="A58" s="258"/>
      <c r="B58" s="268"/>
      <c r="C58" s="2" t="s">
        <v>28</v>
      </c>
      <c r="D58" s="3">
        <v>147000</v>
      </c>
      <c r="E58" s="3">
        <v>147000</v>
      </c>
      <c r="F58" s="3"/>
      <c r="G58" s="3"/>
      <c r="H58" s="3"/>
      <c r="I58" s="3"/>
      <c r="J58" s="20">
        <f t="shared" si="12"/>
        <v>147000</v>
      </c>
      <c r="K58" s="112">
        <v>57000</v>
      </c>
      <c r="L58" s="3">
        <f t="shared" si="13"/>
        <v>90000</v>
      </c>
    </row>
    <row r="59" spans="1:12" x14ac:dyDescent="0.25">
      <c r="A59" s="258"/>
      <c r="B59" s="268"/>
      <c r="C59" s="2" t="s">
        <v>29</v>
      </c>
      <c r="D59" s="3">
        <v>553500</v>
      </c>
      <c r="E59" s="3">
        <v>553500</v>
      </c>
      <c r="F59" s="3"/>
      <c r="G59" s="3"/>
      <c r="H59" s="3"/>
      <c r="I59" s="3"/>
      <c r="J59" s="20">
        <f t="shared" si="12"/>
        <v>553500</v>
      </c>
      <c r="K59" s="112">
        <v>271735</v>
      </c>
      <c r="L59" s="3">
        <f t="shared" si="13"/>
        <v>281765</v>
      </c>
    </row>
    <row r="60" spans="1:12" x14ac:dyDescent="0.25">
      <c r="A60" s="258"/>
      <c r="B60" s="268"/>
      <c r="C60" s="2" t="s">
        <v>30</v>
      </c>
      <c r="D60" s="3">
        <v>100000</v>
      </c>
      <c r="E60" s="3">
        <v>100000</v>
      </c>
      <c r="F60" s="3"/>
      <c r="G60" s="3"/>
      <c r="H60" s="3"/>
      <c r="I60" s="3"/>
      <c r="J60" s="20">
        <f t="shared" si="12"/>
        <v>100000</v>
      </c>
      <c r="K60" s="112">
        <v>1500</v>
      </c>
      <c r="L60" s="3">
        <f t="shared" si="13"/>
        <v>98500</v>
      </c>
    </row>
    <row r="61" spans="1:12" x14ac:dyDescent="0.25">
      <c r="A61" s="258"/>
      <c r="B61" s="268"/>
      <c r="C61" s="6" t="s">
        <v>53</v>
      </c>
      <c r="D61" s="7">
        <f>SUM(D52:D60)</f>
        <v>29289325</v>
      </c>
      <c r="E61" s="7">
        <f>SUM(E52:E60)</f>
        <v>29309261</v>
      </c>
      <c r="F61" s="7">
        <f t="shared" ref="F61:L61" si="14">SUM(F52:F60)</f>
        <v>-5202</v>
      </c>
      <c r="G61" s="7">
        <f t="shared" si="14"/>
        <v>0</v>
      </c>
      <c r="H61" s="7">
        <f t="shared" si="14"/>
        <v>0</v>
      </c>
      <c r="I61" s="7">
        <f t="shared" si="14"/>
        <v>0</v>
      </c>
      <c r="J61" s="7">
        <f t="shared" si="14"/>
        <v>29304059</v>
      </c>
      <c r="K61" s="114">
        <f t="shared" si="14"/>
        <v>13063877</v>
      </c>
      <c r="L61" s="7">
        <f t="shared" si="14"/>
        <v>16240182</v>
      </c>
    </row>
    <row r="62" spans="1:12" x14ac:dyDescent="0.25">
      <c r="A62" s="258"/>
      <c r="B62" s="268"/>
      <c r="C62" s="86" t="s">
        <v>31</v>
      </c>
      <c r="D62" s="87">
        <v>5849797</v>
      </c>
      <c r="E62" s="87">
        <v>5853685</v>
      </c>
      <c r="F62" s="87"/>
      <c r="G62" s="87"/>
      <c r="H62" s="87"/>
      <c r="I62" s="87"/>
      <c r="J62" s="88">
        <f t="shared" ref="J62:J75" si="15">E62+F62+G62+H62+I62</f>
        <v>5853685</v>
      </c>
      <c r="K62" s="115">
        <v>2776198</v>
      </c>
      <c r="L62" s="89">
        <f t="shared" ref="L62:L75" si="16">J62-K62</f>
        <v>3077487</v>
      </c>
    </row>
    <row r="63" spans="1:12" x14ac:dyDescent="0.25">
      <c r="A63" s="258"/>
      <c r="B63" s="268"/>
      <c r="C63" s="2" t="s">
        <v>32</v>
      </c>
      <c r="D63" s="3">
        <v>105000</v>
      </c>
      <c r="E63" s="3">
        <v>105000</v>
      </c>
      <c r="F63" s="3"/>
      <c r="G63" s="3"/>
      <c r="H63" s="3"/>
      <c r="I63" s="3"/>
      <c r="J63" s="20">
        <f t="shared" si="15"/>
        <v>105000</v>
      </c>
      <c r="K63" s="112">
        <v>24820</v>
      </c>
      <c r="L63" s="3">
        <f t="shared" si="16"/>
        <v>80180</v>
      </c>
    </row>
    <row r="64" spans="1:12" x14ac:dyDescent="0.25">
      <c r="A64" s="258"/>
      <c r="B64" s="268"/>
      <c r="C64" s="2" t="s">
        <v>33</v>
      </c>
      <c r="D64" s="3">
        <v>700000</v>
      </c>
      <c r="E64" s="3">
        <v>700000</v>
      </c>
      <c r="F64" s="3"/>
      <c r="G64" s="3"/>
      <c r="H64" s="3"/>
      <c r="I64" s="3"/>
      <c r="J64" s="20">
        <f t="shared" si="15"/>
        <v>700000</v>
      </c>
      <c r="K64" s="112">
        <v>14443</v>
      </c>
      <c r="L64" s="3">
        <f t="shared" si="16"/>
        <v>685557</v>
      </c>
    </row>
    <row r="65" spans="1:12" x14ac:dyDescent="0.25">
      <c r="A65" s="258"/>
      <c r="B65" s="268"/>
      <c r="C65" s="2" t="s">
        <v>34</v>
      </c>
      <c r="D65" s="3">
        <v>213000</v>
      </c>
      <c r="E65" s="3">
        <v>213000</v>
      </c>
      <c r="F65" s="3"/>
      <c r="G65" s="3"/>
      <c r="H65" s="3"/>
      <c r="I65" s="3"/>
      <c r="J65" s="20">
        <f t="shared" si="15"/>
        <v>213000</v>
      </c>
      <c r="K65" s="112">
        <v>61189</v>
      </c>
      <c r="L65" s="3">
        <f t="shared" si="16"/>
        <v>151811</v>
      </c>
    </row>
    <row r="66" spans="1:12" x14ac:dyDescent="0.25">
      <c r="A66" s="258"/>
      <c r="B66" s="268"/>
      <c r="C66" s="2" t="s">
        <v>35</v>
      </c>
      <c r="D66" s="3">
        <v>288000</v>
      </c>
      <c r="E66" s="3">
        <v>122200</v>
      </c>
      <c r="F66" s="3"/>
      <c r="G66" s="3"/>
      <c r="H66" s="3"/>
      <c r="I66" s="3"/>
      <c r="J66" s="20">
        <f t="shared" si="15"/>
        <v>122200</v>
      </c>
      <c r="K66" s="112">
        <v>55905</v>
      </c>
      <c r="L66" s="3">
        <f t="shared" si="16"/>
        <v>66295</v>
      </c>
    </row>
    <row r="67" spans="1:12" x14ac:dyDescent="0.25">
      <c r="A67" s="258"/>
      <c r="B67" s="268"/>
      <c r="C67" s="2" t="s">
        <v>36</v>
      </c>
      <c r="D67" s="3">
        <v>669540</v>
      </c>
      <c r="E67" s="3">
        <v>669540</v>
      </c>
      <c r="F67" s="3"/>
      <c r="G67" s="3"/>
      <c r="H67" s="3"/>
      <c r="I67" s="3"/>
      <c r="J67" s="20">
        <f t="shared" si="15"/>
        <v>669540</v>
      </c>
      <c r="K67" s="112">
        <v>395115</v>
      </c>
      <c r="L67" s="3">
        <f t="shared" si="16"/>
        <v>274425</v>
      </c>
    </row>
    <row r="68" spans="1:12" x14ac:dyDescent="0.25">
      <c r="A68" s="258"/>
      <c r="B68" s="268"/>
      <c r="C68" s="2" t="s">
        <v>37</v>
      </c>
      <c r="D68" s="3">
        <v>123000</v>
      </c>
      <c r="E68" s="3">
        <v>123000</v>
      </c>
      <c r="F68" s="3"/>
      <c r="G68" s="3"/>
      <c r="H68" s="3"/>
      <c r="I68" s="3"/>
      <c r="J68" s="20">
        <f t="shared" si="15"/>
        <v>123000</v>
      </c>
      <c r="K68" s="112">
        <v>0</v>
      </c>
      <c r="L68" s="3">
        <f t="shared" si="16"/>
        <v>123000</v>
      </c>
    </row>
    <row r="69" spans="1:12" x14ac:dyDescent="0.25">
      <c r="A69" s="258"/>
      <c r="B69" s="268"/>
      <c r="C69" s="2" t="s">
        <v>38</v>
      </c>
      <c r="D69" s="3">
        <v>460000</v>
      </c>
      <c r="E69" s="3">
        <v>460000</v>
      </c>
      <c r="F69" s="3"/>
      <c r="G69" s="3"/>
      <c r="H69" s="3"/>
      <c r="I69" s="3"/>
      <c r="J69" s="20">
        <f t="shared" si="15"/>
        <v>460000</v>
      </c>
      <c r="K69" s="112">
        <v>113649</v>
      </c>
      <c r="L69" s="3">
        <f t="shared" si="16"/>
        <v>346351</v>
      </c>
    </row>
    <row r="70" spans="1:12" x14ac:dyDescent="0.25">
      <c r="A70" s="258"/>
      <c r="B70" s="268"/>
      <c r="C70" s="2" t="s">
        <v>40</v>
      </c>
      <c r="D70" s="3">
        <v>1361904</v>
      </c>
      <c r="E70" s="3">
        <v>1361904</v>
      </c>
      <c r="F70" s="3"/>
      <c r="G70" s="3"/>
      <c r="H70" s="3"/>
      <c r="I70" s="3"/>
      <c r="J70" s="20">
        <f t="shared" si="15"/>
        <v>1361904</v>
      </c>
      <c r="K70" s="112">
        <v>272068</v>
      </c>
      <c r="L70" s="3">
        <f t="shared" si="16"/>
        <v>1089836</v>
      </c>
    </row>
    <row r="71" spans="1:12" x14ac:dyDescent="0.25">
      <c r="A71" s="258"/>
      <c r="B71" s="268"/>
      <c r="C71" s="2" t="s">
        <v>41</v>
      </c>
      <c r="D71" s="3">
        <v>982236</v>
      </c>
      <c r="E71" s="3">
        <v>982236</v>
      </c>
      <c r="F71" s="3">
        <v>-1685</v>
      </c>
      <c r="G71" s="3"/>
      <c r="H71" s="3"/>
      <c r="I71" s="3"/>
      <c r="J71" s="20">
        <f t="shared" si="15"/>
        <v>980551</v>
      </c>
      <c r="K71" s="112">
        <v>323924</v>
      </c>
      <c r="L71" s="3">
        <f t="shared" si="16"/>
        <v>656627</v>
      </c>
    </row>
    <row r="72" spans="1:12" x14ac:dyDescent="0.25">
      <c r="A72" s="258"/>
      <c r="B72" s="268"/>
      <c r="C72" s="2" t="s">
        <v>42</v>
      </c>
      <c r="D72" s="3">
        <v>1200000</v>
      </c>
      <c r="E72" s="3">
        <v>1147960</v>
      </c>
      <c r="F72" s="3">
        <v>-7285</v>
      </c>
      <c r="G72" s="3"/>
      <c r="H72" s="3"/>
      <c r="I72" s="3"/>
      <c r="J72" s="20">
        <f t="shared" si="15"/>
        <v>1140675</v>
      </c>
      <c r="K72" s="112">
        <v>201725</v>
      </c>
      <c r="L72" s="3">
        <f t="shared" si="16"/>
        <v>938950</v>
      </c>
    </row>
    <row r="73" spans="1:12" x14ac:dyDescent="0.25">
      <c r="A73" s="258"/>
      <c r="B73" s="268"/>
      <c r="C73" s="2" t="s">
        <v>43</v>
      </c>
      <c r="D73" s="3">
        <v>30000</v>
      </c>
      <c r="E73" s="3">
        <v>30000</v>
      </c>
      <c r="F73" s="3"/>
      <c r="G73" s="3"/>
      <c r="H73" s="3"/>
      <c r="I73" s="3"/>
      <c r="J73" s="20">
        <f t="shared" si="15"/>
        <v>30000</v>
      </c>
      <c r="K73" s="112">
        <v>0</v>
      </c>
      <c r="L73" s="3">
        <f t="shared" si="16"/>
        <v>30000</v>
      </c>
    </row>
    <row r="74" spans="1:12" x14ac:dyDescent="0.25">
      <c r="A74" s="258"/>
      <c r="B74" s="268"/>
      <c r="C74" s="2" t="s">
        <v>44</v>
      </c>
      <c r="D74" s="3">
        <v>1041508</v>
      </c>
      <c r="E74" s="3">
        <v>980423</v>
      </c>
      <c r="F74" s="3"/>
      <c r="G74" s="3"/>
      <c r="H74" s="3"/>
      <c r="I74" s="3"/>
      <c r="J74" s="20">
        <f t="shared" si="15"/>
        <v>980423</v>
      </c>
      <c r="K74" s="112">
        <v>160634</v>
      </c>
      <c r="L74" s="3">
        <f t="shared" si="16"/>
        <v>819789</v>
      </c>
    </row>
    <row r="75" spans="1:12" x14ac:dyDescent="0.25">
      <c r="A75" s="258"/>
      <c r="B75" s="268"/>
      <c r="C75" s="2" t="s">
        <v>45</v>
      </c>
      <c r="D75" s="3">
        <v>433021</v>
      </c>
      <c r="E75" s="3">
        <v>160403</v>
      </c>
      <c r="F75" s="3"/>
      <c r="G75" s="3"/>
      <c r="H75" s="3"/>
      <c r="I75" s="3"/>
      <c r="J75" s="20">
        <f t="shared" si="15"/>
        <v>160403</v>
      </c>
      <c r="K75" s="112">
        <v>0</v>
      </c>
      <c r="L75" s="3">
        <f t="shared" si="16"/>
        <v>160403</v>
      </c>
    </row>
    <row r="76" spans="1:12" x14ac:dyDescent="0.25">
      <c r="A76" s="258"/>
      <c r="B76" s="268"/>
      <c r="C76" s="6" t="s">
        <v>49</v>
      </c>
      <c r="D76" s="7">
        <f>SUM(D63:D75)</f>
        <v>7607209</v>
      </c>
      <c r="E76" s="7">
        <f>SUM(E63:E75)</f>
        <v>7055666</v>
      </c>
      <c r="F76" s="7">
        <f t="shared" ref="F76:L76" si="17">SUM(F63:F75)</f>
        <v>-8970</v>
      </c>
      <c r="G76" s="7">
        <f t="shared" si="17"/>
        <v>0</v>
      </c>
      <c r="H76" s="7">
        <f t="shared" si="17"/>
        <v>0</v>
      </c>
      <c r="I76" s="7">
        <f t="shared" si="17"/>
        <v>0</v>
      </c>
      <c r="J76" s="7">
        <f t="shared" si="17"/>
        <v>7046696</v>
      </c>
      <c r="K76" s="114">
        <f t="shared" si="17"/>
        <v>1623472</v>
      </c>
      <c r="L76" s="7">
        <f t="shared" si="17"/>
        <v>5423224</v>
      </c>
    </row>
    <row r="77" spans="1:12" x14ac:dyDescent="0.25">
      <c r="A77" s="258"/>
      <c r="B77" s="268"/>
      <c r="C77" s="2" t="s">
        <v>50</v>
      </c>
      <c r="D77" s="3">
        <v>78740</v>
      </c>
      <c r="E77" s="3">
        <v>78740</v>
      </c>
      <c r="F77" s="3"/>
      <c r="G77" s="3"/>
      <c r="H77" s="3"/>
      <c r="I77" s="3"/>
      <c r="J77" s="20">
        <f t="shared" ref="J77:J78" si="18">E77+F77+G77+H77+I77</f>
        <v>78740</v>
      </c>
      <c r="K77" s="112">
        <v>0</v>
      </c>
      <c r="L77" s="3">
        <f t="shared" ref="L77:L78" si="19">J77-K77</f>
        <v>78740</v>
      </c>
    </row>
    <row r="78" spans="1:12" x14ac:dyDescent="0.25">
      <c r="A78" s="258"/>
      <c r="B78" s="268"/>
      <c r="C78" s="2" t="s">
        <v>51</v>
      </c>
      <c r="D78" s="3">
        <v>21260</v>
      </c>
      <c r="E78" s="3">
        <v>21260</v>
      </c>
      <c r="F78" s="3"/>
      <c r="G78" s="3"/>
      <c r="H78" s="3"/>
      <c r="I78" s="3"/>
      <c r="J78" s="20">
        <f t="shared" si="18"/>
        <v>21260</v>
      </c>
      <c r="K78" s="112">
        <v>0</v>
      </c>
      <c r="L78" s="3">
        <f t="shared" si="19"/>
        <v>21260</v>
      </c>
    </row>
    <row r="79" spans="1:12" x14ac:dyDescent="0.25">
      <c r="A79" s="258"/>
      <c r="B79" s="268"/>
      <c r="C79" s="6" t="s">
        <v>52</v>
      </c>
      <c r="D79" s="7">
        <f>SUM(D77:D78)</f>
        <v>100000</v>
      </c>
      <c r="E79" s="7">
        <f>SUM(E77:E78)</f>
        <v>100000</v>
      </c>
      <c r="F79" s="7">
        <f t="shared" ref="F79:L79" si="20">SUM(F77:F78)</f>
        <v>0</v>
      </c>
      <c r="G79" s="7">
        <f t="shared" si="20"/>
        <v>0</v>
      </c>
      <c r="H79" s="7">
        <f t="shared" si="20"/>
        <v>0</v>
      </c>
      <c r="I79" s="7">
        <f t="shared" si="20"/>
        <v>0</v>
      </c>
      <c r="J79" s="7">
        <f t="shared" si="20"/>
        <v>100000</v>
      </c>
      <c r="K79" s="114">
        <f t="shared" si="20"/>
        <v>0</v>
      </c>
      <c r="L79" s="7">
        <f t="shared" si="20"/>
        <v>100000</v>
      </c>
    </row>
    <row r="80" spans="1:12" x14ac:dyDescent="0.25">
      <c r="A80" s="259" t="s">
        <v>58</v>
      </c>
      <c r="B80" s="261" t="s">
        <v>46</v>
      </c>
      <c r="C80" s="15" t="s">
        <v>29</v>
      </c>
      <c r="D80" s="24">
        <v>410400</v>
      </c>
      <c r="E80" s="24">
        <v>410400</v>
      </c>
      <c r="F80" s="11"/>
      <c r="G80" s="11"/>
      <c r="H80" s="11"/>
      <c r="I80" s="11"/>
      <c r="J80" s="20">
        <f t="shared" ref="J80:J87" si="21">E80+F80+G80+H80+I80</f>
        <v>410400</v>
      </c>
      <c r="K80" s="112">
        <v>213800</v>
      </c>
      <c r="L80" s="3">
        <f t="shared" ref="L80:L87" si="22">J80-K80</f>
        <v>196600</v>
      </c>
    </row>
    <row r="81" spans="1:12" x14ac:dyDescent="0.25">
      <c r="A81" s="260"/>
      <c r="B81" s="262"/>
      <c r="C81" s="15" t="s">
        <v>31</v>
      </c>
      <c r="D81" s="24">
        <v>76266</v>
      </c>
      <c r="E81" s="24">
        <v>76266</v>
      </c>
      <c r="F81" s="11"/>
      <c r="G81" s="11"/>
      <c r="H81" s="11"/>
      <c r="I81" s="11"/>
      <c r="J81" s="20">
        <f t="shared" si="21"/>
        <v>76266</v>
      </c>
      <c r="K81" s="112">
        <v>41692</v>
      </c>
      <c r="L81" s="3">
        <f t="shared" si="22"/>
        <v>34574</v>
      </c>
    </row>
    <row r="82" spans="1:12" x14ac:dyDescent="0.25">
      <c r="A82" s="259" t="s">
        <v>59</v>
      </c>
      <c r="B82" s="261" t="s">
        <v>23</v>
      </c>
      <c r="C82" s="15" t="s">
        <v>29</v>
      </c>
      <c r="D82" s="24">
        <v>603600</v>
      </c>
      <c r="E82" s="24">
        <v>603600</v>
      </c>
      <c r="F82" s="11"/>
      <c r="G82" s="11"/>
      <c r="H82" s="11"/>
      <c r="I82" s="11"/>
      <c r="J82" s="20">
        <f t="shared" si="21"/>
        <v>603600</v>
      </c>
      <c r="K82" s="112">
        <v>182800</v>
      </c>
      <c r="L82" s="3">
        <f t="shared" si="22"/>
        <v>420800</v>
      </c>
    </row>
    <row r="83" spans="1:12" x14ac:dyDescent="0.25">
      <c r="A83" s="260"/>
      <c r="B83" s="262"/>
      <c r="C83" s="15" t="s">
        <v>31</v>
      </c>
      <c r="D83" s="24">
        <v>112169</v>
      </c>
      <c r="E83" s="24">
        <v>112169</v>
      </c>
      <c r="F83" s="11"/>
      <c r="G83" s="11"/>
      <c r="H83" s="11"/>
      <c r="I83" s="11"/>
      <c r="J83" s="20">
        <f t="shared" si="21"/>
        <v>112169</v>
      </c>
      <c r="K83" s="112">
        <v>35645</v>
      </c>
      <c r="L83" s="3">
        <f t="shared" si="22"/>
        <v>76524</v>
      </c>
    </row>
    <row r="84" spans="1:12" x14ac:dyDescent="0.25">
      <c r="A84" s="259" t="s">
        <v>60</v>
      </c>
      <c r="B84" s="261" t="s">
        <v>23</v>
      </c>
      <c r="C84" s="15" t="s">
        <v>24</v>
      </c>
      <c r="D84" s="24">
        <v>10676226</v>
      </c>
      <c r="E84" s="24">
        <v>10676226</v>
      </c>
      <c r="F84" s="11"/>
      <c r="G84" s="11"/>
      <c r="H84" s="11"/>
      <c r="I84" s="11"/>
      <c r="J84" s="20">
        <f t="shared" si="21"/>
        <v>10676226</v>
      </c>
      <c r="K84" s="112">
        <v>5154754</v>
      </c>
      <c r="L84" s="3">
        <f t="shared" si="22"/>
        <v>5521472</v>
      </c>
    </row>
    <row r="85" spans="1:12" x14ac:dyDescent="0.25">
      <c r="A85" s="260"/>
      <c r="B85" s="262"/>
      <c r="C85" s="15" t="s">
        <v>31</v>
      </c>
      <c r="D85" s="24">
        <v>1989265</v>
      </c>
      <c r="E85" s="24">
        <v>1989265</v>
      </c>
      <c r="F85" s="11"/>
      <c r="G85" s="11"/>
      <c r="H85" s="11"/>
      <c r="I85" s="11"/>
      <c r="J85" s="20">
        <f t="shared" si="21"/>
        <v>1989265</v>
      </c>
      <c r="K85" s="112">
        <v>1005181</v>
      </c>
      <c r="L85" s="3">
        <f t="shared" si="22"/>
        <v>984084</v>
      </c>
    </row>
    <row r="86" spans="1:12" x14ac:dyDescent="0.25">
      <c r="A86" s="259" t="s">
        <v>61</v>
      </c>
      <c r="B86" s="261" t="s">
        <v>46</v>
      </c>
      <c r="C86" s="15" t="s">
        <v>24</v>
      </c>
      <c r="D86" s="24">
        <v>8397674</v>
      </c>
      <c r="E86" s="24">
        <v>8397674</v>
      </c>
      <c r="F86" s="11"/>
      <c r="G86" s="11"/>
      <c r="H86" s="11"/>
      <c r="I86" s="11"/>
      <c r="J86" s="20">
        <f t="shared" si="21"/>
        <v>8397674</v>
      </c>
      <c r="K86" s="112">
        <v>3773069</v>
      </c>
      <c r="L86" s="3">
        <f t="shared" si="22"/>
        <v>4624605</v>
      </c>
    </row>
    <row r="87" spans="1:12" x14ac:dyDescent="0.25">
      <c r="A87" s="260"/>
      <c r="B87" s="262"/>
      <c r="C87" s="15" t="s">
        <v>31</v>
      </c>
      <c r="D87" s="24">
        <v>1563353</v>
      </c>
      <c r="E87" s="24">
        <v>1563353</v>
      </c>
      <c r="F87" s="11"/>
      <c r="G87" s="11"/>
      <c r="H87" s="11"/>
      <c r="I87" s="11"/>
      <c r="J87" s="20">
        <f t="shared" si="21"/>
        <v>1563353</v>
      </c>
      <c r="K87" s="112">
        <v>735746</v>
      </c>
      <c r="L87" s="3">
        <f t="shared" si="22"/>
        <v>827607</v>
      </c>
    </row>
    <row r="88" spans="1:12" x14ac:dyDescent="0.25">
      <c r="A88" s="353" t="s">
        <v>76</v>
      </c>
      <c r="B88" s="354"/>
      <c r="C88" s="355"/>
      <c r="D88" s="126">
        <f t="shared" ref="D88:E88" si="23">SUM(D32+D33+D48+D51+D61+D62+D76+D79+D80+D81+D82+D83+D84+D85+D86+D87)</f>
        <v>118207303</v>
      </c>
      <c r="E88" s="126">
        <f t="shared" si="23"/>
        <v>117441074</v>
      </c>
      <c r="F88" s="126">
        <f t="shared" ref="F88:L88" si="24">SUM(F32+F33+F48+F51+F61+F62+F76+F79+F80+F81+F82+F83+F84+F85+F86+F87)</f>
        <v>-14172</v>
      </c>
      <c r="G88" s="126">
        <f t="shared" si="24"/>
        <v>0</v>
      </c>
      <c r="H88" s="126">
        <f t="shared" si="24"/>
        <v>0</v>
      </c>
      <c r="I88" s="126">
        <f t="shared" si="24"/>
        <v>0</v>
      </c>
      <c r="J88" s="126">
        <f t="shared" si="24"/>
        <v>117426902</v>
      </c>
      <c r="K88" s="128">
        <f t="shared" si="24"/>
        <v>50895301</v>
      </c>
      <c r="L88" s="126">
        <f t="shared" si="24"/>
        <v>66531601</v>
      </c>
    </row>
    <row r="89" spans="1:12" x14ac:dyDescent="0.25">
      <c r="A89" s="258" t="s">
        <v>12</v>
      </c>
      <c r="B89" s="268" t="s">
        <v>23</v>
      </c>
      <c r="C89" s="2" t="s">
        <v>24</v>
      </c>
      <c r="D89" s="3">
        <v>4811583</v>
      </c>
      <c r="E89" s="3">
        <v>4811583</v>
      </c>
      <c r="F89" s="3"/>
      <c r="G89" s="3"/>
      <c r="H89" s="3"/>
      <c r="I89" s="3"/>
      <c r="J89" s="20">
        <f t="shared" ref="J89:J95" si="25">E89+F89+G89+H89+I89</f>
        <v>4811583</v>
      </c>
      <c r="K89" s="112">
        <v>2310999</v>
      </c>
      <c r="L89" s="3">
        <f t="shared" ref="L89:L95" si="26">J89-K89</f>
        <v>2500584</v>
      </c>
    </row>
    <row r="90" spans="1:12" x14ac:dyDescent="0.25">
      <c r="A90" s="258"/>
      <c r="B90" s="268"/>
      <c r="C90" s="2" t="s">
        <v>25</v>
      </c>
      <c r="D90" s="3">
        <v>200000</v>
      </c>
      <c r="E90" s="3">
        <v>200000</v>
      </c>
      <c r="F90" s="3"/>
      <c r="G90" s="3"/>
      <c r="H90" s="3"/>
      <c r="I90" s="3"/>
      <c r="J90" s="20">
        <f t="shared" si="25"/>
        <v>200000</v>
      </c>
      <c r="K90" s="112">
        <v>100000</v>
      </c>
      <c r="L90" s="3">
        <f t="shared" si="26"/>
        <v>100000</v>
      </c>
    </row>
    <row r="91" spans="1:12" x14ac:dyDescent="0.25">
      <c r="A91" s="258"/>
      <c r="B91" s="268"/>
      <c r="C91" s="2" t="s">
        <v>26</v>
      </c>
      <c r="D91" s="3">
        <v>10000</v>
      </c>
      <c r="E91" s="3">
        <v>10000</v>
      </c>
      <c r="F91" s="3"/>
      <c r="G91" s="3"/>
      <c r="H91" s="3"/>
      <c r="I91" s="3"/>
      <c r="J91" s="20">
        <f t="shared" si="25"/>
        <v>10000</v>
      </c>
      <c r="K91" s="112">
        <v>0</v>
      </c>
      <c r="L91" s="3">
        <f t="shared" si="26"/>
        <v>10000</v>
      </c>
    </row>
    <row r="92" spans="1:12" x14ac:dyDescent="0.25">
      <c r="A92" s="258"/>
      <c r="B92" s="268"/>
      <c r="C92" s="2" t="s">
        <v>27</v>
      </c>
      <c r="D92" s="3">
        <v>198000</v>
      </c>
      <c r="E92" s="3">
        <v>198000</v>
      </c>
      <c r="F92" s="3"/>
      <c r="G92" s="3"/>
      <c r="H92" s="3"/>
      <c r="I92" s="3"/>
      <c r="J92" s="20">
        <f t="shared" si="25"/>
        <v>198000</v>
      </c>
      <c r="K92" s="112">
        <v>61560</v>
      </c>
      <c r="L92" s="3">
        <f t="shared" si="26"/>
        <v>136440</v>
      </c>
    </row>
    <row r="93" spans="1:12" x14ac:dyDescent="0.25">
      <c r="A93" s="258"/>
      <c r="B93" s="268"/>
      <c r="C93" s="2" t="s">
        <v>28</v>
      </c>
      <c r="D93" s="3">
        <v>24000</v>
      </c>
      <c r="E93" s="3">
        <v>24000</v>
      </c>
      <c r="F93" s="3"/>
      <c r="G93" s="3"/>
      <c r="H93" s="3"/>
      <c r="I93" s="3"/>
      <c r="J93" s="20">
        <f t="shared" si="25"/>
        <v>24000</v>
      </c>
      <c r="K93" s="112">
        <v>12000</v>
      </c>
      <c r="L93" s="3">
        <f t="shared" si="26"/>
        <v>12000</v>
      </c>
    </row>
    <row r="94" spans="1:12" x14ac:dyDescent="0.25">
      <c r="A94" s="258"/>
      <c r="B94" s="268"/>
      <c r="C94" s="2" t="s">
        <v>29</v>
      </c>
      <c r="D94" s="3">
        <v>75000</v>
      </c>
      <c r="E94" s="3">
        <v>75000</v>
      </c>
      <c r="F94" s="3"/>
      <c r="G94" s="3"/>
      <c r="H94" s="3"/>
      <c r="I94" s="3"/>
      <c r="J94" s="20">
        <f t="shared" si="25"/>
        <v>75000</v>
      </c>
      <c r="K94" s="112">
        <v>0</v>
      </c>
      <c r="L94" s="3">
        <f t="shared" si="26"/>
        <v>75000</v>
      </c>
    </row>
    <row r="95" spans="1:12" x14ac:dyDescent="0.25">
      <c r="A95" s="258"/>
      <c r="B95" s="268"/>
      <c r="C95" s="2" t="s">
        <v>30</v>
      </c>
      <c r="D95" s="3">
        <v>0</v>
      </c>
      <c r="E95" s="3">
        <v>0</v>
      </c>
      <c r="F95" s="3"/>
      <c r="G95" s="3"/>
      <c r="H95" s="3"/>
      <c r="I95" s="3"/>
      <c r="J95" s="20">
        <f t="shared" si="25"/>
        <v>0</v>
      </c>
      <c r="K95" s="112">
        <v>0</v>
      </c>
      <c r="L95" s="3">
        <f t="shared" si="26"/>
        <v>0</v>
      </c>
    </row>
    <row r="96" spans="1:12" x14ac:dyDescent="0.25">
      <c r="A96" s="258"/>
      <c r="B96" s="268"/>
      <c r="C96" s="6" t="s">
        <v>53</v>
      </c>
      <c r="D96" s="7">
        <f>SUM(D89:D95)</f>
        <v>5318583</v>
      </c>
      <c r="E96" s="7">
        <f>SUM(E89:E95)</f>
        <v>5318583</v>
      </c>
      <c r="F96" s="7">
        <f t="shared" ref="F96:L96" si="27">SUM(F89:F95)</f>
        <v>0</v>
      </c>
      <c r="G96" s="7">
        <f t="shared" si="27"/>
        <v>0</v>
      </c>
      <c r="H96" s="7">
        <f t="shared" si="27"/>
        <v>0</v>
      </c>
      <c r="I96" s="7">
        <f t="shared" si="27"/>
        <v>0</v>
      </c>
      <c r="J96" s="7">
        <f t="shared" si="27"/>
        <v>5318583</v>
      </c>
      <c r="K96" s="114">
        <f t="shared" si="27"/>
        <v>2484559</v>
      </c>
      <c r="L96" s="7">
        <f t="shared" si="27"/>
        <v>2834024</v>
      </c>
    </row>
    <row r="97" spans="1:12" x14ac:dyDescent="0.25">
      <c r="A97" s="258"/>
      <c r="B97" s="268"/>
      <c r="C97" s="86" t="s">
        <v>31</v>
      </c>
      <c r="D97" s="87">
        <v>1035556</v>
      </c>
      <c r="E97" s="87">
        <v>1035556</v>
      </c>
      <c r="F97" s="87"/>
      <c r="G97" s="87"/>
      <c r="H97" s="87"/>
      <c r="I97" s="87"/>
      <c r="J97" s="88">
        <f t="shared" ref="J97:J107" si="28">E97+F97+G97+H97+I97</f>
        <v>1035556</v>
      </c>
      <c r="K97" s="115">
        <v>511030</v>
      </c>
      <c r="L97" s="89">
        <f t="shared" ref="L97:L107" si="29">J97-K97</f>
        <v>524526</v>
      </c>
    </row>
    <row r="98" spans="1:12" x14ac:dyDescent="0.25">
      <c r="A98" s="258"/>
      <c r="B98" s="268"/>
      <c r="C98" s="2" t="s">
        <v>32</v>
      </c>
      <c r="D98" s="3">
        <v>100000</v>
      </c>
      <c r="E98" s="3">
        <v>100000</v>
      </c>
      <c r="F98" s="3"/>
      <c r="G98" s="3"/>
      <c r="H98" s="3"/>
      <c r="I98" s="3"/>
      <c r="J98" s="20">
        <f t="shared" si="28"/>
        <v>100000</v>
      </c>
      <c r="K98" s="112">
        <v>0</v>
      </c>
      <c r="L98" s="3">
        <f t="shared" si="29"/>
        <v>100000</v>
      </c>
    </row>
    <row r="99" spans="1:12" x14ac:dyDescent="0.25">
      <c r="A99" s="258"/>
      <c r="B99" s="268"/>
      <c r="C99" s="2" t="s">
        <v>33</v>
      </c>
      <c r="D99" s="3">
        <v>100000</v>
      </c>
      <c r="E99" s="3">
        <v>100000</v>
      </c>
      <c r="F99" s="3"/>
      <c r="G99" s="3"/>
      <c r="H99" s="3"/>
      <c r="I99" s="3"/>
      <c r="J99" s="20">
        <f t="shared" si="28"/>
        <v>100000</v>
      </c>
      <c r="K99" s="112">
        <v>0</v>
      </c>
      <c r="L99" s="3">
        <f t="shared" si="29"/>
        <v>100000</v>
      </c>
    </row>
    <row r="100" spans="1:12" x14ac:dyDescent="0.25">
      <c r="A100" s="258"/>
      <c r="B100" s="268"/>
      <c r="C100" s="2" t="s">
        <v>34</v>
      </c>
      <c r="D100" s="3">
        <v>210000</v>
      </c>
      <c r="E100" s="3">
        <v>210000</v>
      </c>
      <c r="F100" s="3"/>
      <c r="G100" s="3"/>
      <c r="H100" s="3"/>
      <c r="I100" s="3"/>
      <c r="J100" s="20">
        <f t="shared" si="28"/>
        <v>210000</v>
      </c>
      <c r="K100" s="112">
        <v>0</v>
      </c>
      <c r="L100" s="3">
        <f t="shared" si="29"/>
        <v>210000</v>
      </c>
    </row>
    <row r="101" spans="1:12" x14ac:dyDescent="0.25">
      <c r="A101" s="258"/>
      <c r="B101" s="268"/>
      <c r="C101" s="2" t="s">
        <v>35</v>
      </c>
      <c r="D101" s="3">
        <v>110000</v>
      </c>
      <c r="E101" s="3">
        <v>110000</v>
      </c>
      <c r="F101" s="3"/>
      <c r="G101" s="3"/>
      <c r="H101" s="3"/>
      <c r="I101" s="3"/>
      <c r="J101" s="20">
        <f t="shared" si="28"/>
        <v>110000</v>
      </c>
      <c r="K101" s="112">
        <v>0</v>
      </c>
      <c r="L101" s="3">
        <f t="shared" si="29"/>
        <v>110000</v>
      </c>
    </row>
    <row r="102" spans="1:12" x14ac:dyDescent="0.25">
      <c r="A102" s="258"/>
      <c r="B102" s="268"/>
      <c r="C102" s="2" t="s">
        <v>36</v>
      </c>
      <c r="D102" s="3">
        <v>500000</v>
      </c>
      <c r="E102" s="3">
        <v>500000</v>
      </c>
      <c r="F102" s="3"/>
      <c r="G102" s="3"/>
      <c r="H102" s="3"/>
      <c r="I102" s="3"/>
      <c r="J102" s="20">
        <f t="shared" si="28"/>
        <v>500000</v>
      </c>
      <c r="K102" s="112">
        <v>304331</v>
      </c>
      <c r="L102" s="3">
        <f t="shared" si="29"/>
        <v>195669</v>
      </c>
    </row>
    <row r="103" spans="1:12" x14ac:dyDescent="0.25">
      <c r="A103" s="258"/>
      <c r="B103" s="268"/>
      <c r="C103" s="2" t="s">
        <v>38</v>
      </c>
      <c r="D103" s="3">
        <v>140000</v>
      </c>
      <c r="E103" s="3">
        <v>140000</v>
      </c>
      <c r="F103" s="3"/>
      <c r="G103" s="3"/>
      <c r="H103" s="3"/>
      <c r="I103" s="3"/>
      <c r="J103" s="20">
        <f t="shared" si="28"/>
        <v>140000</v>
      </c>
      <c r="K103" s="112">
        <v>0</v>
      </c>
      <c r="L103" s="3">
        <f t="shared" si="29"/>
        <v>140000</v>
      </c>
    </row>
    <row r="104" spans="1:12" x14ac:dyDescent="0.25">
      <c r="A104" s="258"/>
      <c r="B104" s="268"/>
      <c r="C104" s="2" t="s">
        <v>40</v>
      </c>
      <c r="D104" s="3">
        <v>16800</v>
      </c>
      <c r="E104" s="3">
        <v>16800</v>
      </c>
      <c r="F104" s="3"/>
      <c r="G104" s="3"/>
      <c r="H104" s="3"/>
      <c r="I104" s="3"/>
      <c r="J104" s="20">
        <f t="shared" si="28"/>
        <v>16800</v>
      </c>
      <c r="K104" s="112">
        <v>3400</v>
      </c>
      <c r="L104" s="3">
        <f t="shared" si="29"/>
        <v>13400</v>
      </c>
    </row>
    <row r="105" spans="1:12" x14ac:dyDescent="0.25">
      <c r="A105" s="258"/>
      <c r="B105" s="268"/>
      <c r="C105" s="2" t="s">
        <v>41</v>
      </c>
      <c r="D105" s="3">
        <v>80000</v>
      </c>
      <c r="E105" s="3">
        <v>80000</v>
      </c>
      <c r="F105" s="3"/>
      <c r="G105" s="3"/>
      <c r="H105" s="3"/>
      <c r="I105" s="3"/>
      <c r="J105" s="20">
        <f t="shared" si="28"/>
        <v>80000</v>
      </c>
      <c r="K105" s="112">
        <v>30980</v>
      </c>
      <c r="L105" s="3">
        <f t="shared" si="29"/>
        <v>49020</v>
      </c>
    </row>
    <row r="106" spans="1:12" x14ac:dyDescent="0.25">
      <c r="A106" s="258"/>
      <c r="B106" s="268"/>
      <c r="C106" s="2" t="s">
        <v>42</v>
      </c>
      <c r="D106" s="3">
        <v>240000</v>
      </c>
      <c r="E106" s="3">
        <v>240000</v>
      </c>
      <c r="F106" s="3"/>
      <c r="G106" s="3"/>
      <c r="H106" s="3"/>
      <c r="I106" s="3"/>
      <c r="J106" s="20">
        <f t="shared" si="28"/>
        <v>240000</v>
      </c>
      <c r="K106" s="112">
        <v>93255</v>
      </c>
      <c r="L106" s="3">
        <f t="shared" si="29"/>
        <v>146745</v>
      </c>
    </row>
    <row r="107" spans="1:12" x14ac:dyDescent="0.25">
      <c r="A107" s="258"/>
      <c r="B107" s="268"/>
      <c r="C107" s="2" t="s">
        <v>44</v>
      </c>
      <c r="D107" s="3">
        <v>200600</v>
      </c>
      <c r="E107" s="3">
        <v>200600</v>
      </c>
      <c r="F107" s="3"/>
      <c r="G107" s="3"/>
      <c r="H107" s="3"/>
      <c r="I107" s="3"/>
      <c r="J107" s="20">
        <f t="shared" si="28"/>
        <v>200600</v>
      </c>
      <c r="K107" s="112">
        <v>23581</v>
      </c>
      <c r="L107" s="3">
        <f t="shared" si="29"/>
        <v>177019</v>
      </c>
    </row>
    <row r="108" spans="1:12" x14ac:dyDescent="0.25">
      <c r="A108" s="258"/>
      <c r="B108" s="268"/>
      <c r="C108" s="6" t="s">
        <v>49</v>
      </c>
      <c r="D108" s="7">
        <f>SUM(D98:D107)</f>
        <v>1697400</v>
      </c>
      <c r="E108" s="7">
        <f>SUM(E98:E107)</f>
        <v>1697400</v>
      </c>
      <c r="F108" s="7">
        <f t="shared" ref="F108:L108" si="30">SUM(F98:F107)</f>
        <v>0</v>
      </c>
      <c r="G108" s="7">
        <f t="shared" si="30"/>
        <v>0</v>
      </c>
      <c r="H108" s="7">
        <f t="shared" si="30"/>
        <v>0</v>
      </c>
      <c r="I108" s="7">
        <f t="shared" si="30"/>
        <v>0</v>
      </c>
      <c r="J108" s="7">
        <f t="shared" si="30"/>
        <v>1697400</v>
      </c>
      <c r="K108" s="114">
        <f t="shared" si="30"/>
        <v>455547</v>
      </c>
      <c r="L108" s="7">
        <f t="shared" si="30"/>
        <v>1241853</v>
      </c>
    </row>
    <row r="109" spans="1:12" x14ac:dyDescent="0.25">
      <c r="A109" s="255" t="s">
        <v>62</v>
      </c>
      <c r="B109" s="252" t="s">
        <v>23</v>
      </c>
      <c r="C109" s="15" t="s">
        <v>29</v>
      </c>
      <c r="D109" s="24">
        <v>111600</v>
      </c>
      <c r="E109" s="24">
        <v>111600</v>
      </c>
      <c r="F109" s="11"/>
      <c r="G109" s="11"/>
      <c r="H109" s="11"/>
      <c r="I109" s="11"/>
      <c r="J109" s="20">
        <f t="shared" ref="J109:J112" si="31">E109+F109+G109+H109+I109</f>
        <v>111600</v>
      </c>
      <c r="K109" s="112">
        <v>35800</v>
      </c>
      <c r="L109" s="3">
        <f t="shared" ref="L109:L112" si="32">J109-K109</f>
        <v>75800</v>
      </c>
    </row>
    <row r="110" spans="1:12" x14ac:dyDescent="0.25">
      <c r="A110" s="257"/>
      <c r="B110" s="254"/>
      <c r="C110" s="15" t="s">
        <v>31</v>
      </c>
      <c r="D110" s="24">
        <v>20739</v>
      </c>
      <c r="E110" s="24">
        <v>20739</v>
      </c>
      <c r="F110" s="11"/>
      <c r="G110" s="11"/>
      <c r="H110" s="11"/>
      <c r="I110" s="11"/>
      <c r="J110" s="20">
        <f t="shared" si="31"/>
        <v>20739</v>
      </c>
      <c r="K110" s="112">
        <v>6978</v>
      </c>
      <c r="L110" s="3">
        <f t="shared" si="32"/>
        <v>13761</v>
      </c>
    </row>
    <row r="111" spans="1:12" x14ac:dyDescent="0.25">
      <c r="A111" s="255" t="s">
        <v>63</v>
      </c>
      <c r="B111" s="252" t="s">
        <v>23</v>
      </c>
      <c r="C111" s="15" t="s">
        <v>24</v>
      </c>
      <c r="D111" s="24">
        <v>1460272</v>
      </c>
      <c r="E111" s="24">
        <v>1460272</v>
      </c>
      <c r="F111" s="11"/>
      <c r="G111" s="11"/>
      <c r="H111" s="11"/>
      <c r="I111" s="11"/>
      <c r="J111" s="20">
        <f t="shared" si="31"/>
        <v>1460272</v>
      </c>
      <c r="K111" s="112">
        <v>749148</v>
      </c>
      <c r="L111" s="3">
        <f t="shared" si="32"/>
        <v>711124</v>
      </c>
    </row>
    <row r="112" spans="1:12" x14ac:dyDescent="0.25">
      <c r="A112" s="257"/>
      <c r="B112" s="254"/>
      <c r="C112" s="15" t="s">
        <v>31</v>
      </c>
      <c r="D112" s="24">
        <v>272168</v>
      </c>
      <c r="E112" s="24">
        <v>272168</v>
      </c>
      <c r="F112" s="11"/>
      <c r="G112" s="11"/>
      <c r="H112" s="11"/>
      <c r="I112" s="11"/>
      <c r="J112" s="20">
        <f t="shared" si="31"/>
        <v>272168</v>
      </c>
      <c r="K112" s="112">
        <v>146083</v>
      </c>
      <c r="L112" s="3">
        <f t="shared" si="32"/>
        <v>126085</v>
      </c>
    </row>
    <row r="113" spans="1:12" x14ac:dyDescent="0.25">
      <c r="A113" s="353" t="s">
        <v>77</v>
      </c>
      <c r="B113" s="354"/>
      <c r="C113" s="355"/>
      <c r="D113" s="126">
        <f>SUM(D96+D97+D108+D109+D110+D111+D112)</f>
        <v>9916318</v>
      </c>
      <c r="E113" s="126">
        <f>SUM(E96+E97+E108+E109+E110+E111+E112)</f>
        <v>9916318</v>
      </c>
      <c r="F113" s="126">
        <f t="shared" ref="F113:L113" si="33">SUM(F96+F97+F108+F109+F110+F111+F112)</f>
        <v>0</v>
      </c>
      <c r="G113" s="126">
        <f t="shared" si="33"/>
        <v>0</v>
      </c>
      <c r="H113" s="126">
        <f t="shared" si="33"/>
        <v>0</v>
      </c>
      <c r="I113" s="126">
        <f t="shared" si="33"/>
        <v>0</v>
      </c>
      <c r="J113" s="126">
        <f t="shared" si="33"/>
        <v>9916318</v>
      </c>
      <c r="K113" s="128">
        <f t="shared" si="33"/>
        <v>4389145</v>
      </c>
      <c r="L113" s="126">
        <f t="shared" si="33"/>
        <v>5527173</v>
      </c>
    </row>
    <row r="114" spans="1:12" x14ac:dyDescent="0.25">
      <c r="A114" s="258" t="s">
        <v>13</v>
      </c>
      <c r="B114" s="268" t="s">
        <v>23</v>
      </c>
      <c r="C114" s="2" t="s">
        <v>24</v>
      </c>
      <c r="D114" s="3">
        <v>4871210</v>
      </c>
      <c r="E114" s="3">
        <v>4885228</v>
      </c>
      <c r="F114" s="3">
        <v>-28601</v>
      </c>
      <c r="G114" s="3"/>
      <c r="H114" s="3"/>
      <c r="I114" s="3"/>
      <c r="J114" s="20">
        <f t="shared" ref="J114:J119" si="34">E114+F114+G114+H114+I114</f>
        <v>4856627</v>
      </c>
      <c r="K114" s="112">
        <v>2338900</v>
      </c>
      <c r="L114" s="3">
        <f t="shared" ref="L114:L119" si="35">J114-K114</f>
        <v>2517727</v>
      </c>
    </row>
    <row r="115" spans="1:12" x14ac:dyDescent="0.25">
      <c r="A115" s="258"/>
      <c r="B115" s="268"/>
      <c r="C115" s="2" t="s">
        <v>25</v>
      </c>
      <c r="D115" s="3">
        <v>200000</v>
      </c>
      <c r="E115" s="3">
        <v>200000</v>
      </c>
      <c r="F115" s="3"/>
      <c r="G115" s="3"/>
      <c r="H115" s="3"/>
      <c r="I115" s="3"/>
      <c r="J115" s="20">
        <f t="shared" si="34"/>
        <v>200000</v>
      </c>
      <c r="K115" s="112">
        <v>100000</v>
      </c>
      <c r="L115" s="3">
        <f t="shared" si="35"/>
        <v>100000</v>
      </c>
    </row>
    <row r="116" spans="1:12" x14ac:dyDescent="0.25">
      <c r="A116" s="258"/>
      <c r="B116" s="268"/>
      <c r="C116" s="2" t="s">
        <v>26</v>
      </c>
      <c r="D116" s="3">
        <v>10000</v>
      </c>
      <c r="E116" s="3">
        <v>10000</v>
      </c>
      <c r="F116" s="3"/>
      <c r="G116" s="3"/>
      <c r="H116" s="3"/>
      <c r="I116" s="3"/>
      <c r="J116" s="20">
        <f t="shared" si="34"/>
        <v>10000</v>
      </c>
      <c r="K116" s="112">
        <v>0</v>
      </c>
      <c r="L116" s="3">
        <f t="shared" si="35"/>
        <v>10000</v>
      </c>
    </row>
    <row r="117" spans="1:12" x14ac:dyDescent="0.25">
      <c r="A117" s="258"/>
      <c r="B117" s="268"/>
      <c r="C117" s="2" t="s">
        <v>28</v>
      </c>
      <c r="D117" s="3">
        <v>24000</v>
      </c>
      <c r="E117" s="3">
        <v>24000</v>
      </c>
      <c r="F117" s="3"/>
      <c r="G117" s="3"/>
      <c r="H117" s="3"/>
      <c r="I117" s="3"/>
      <c r="J117" s="20">
        <f t="shared" si="34"/>
        <v>24000</v>
      </c>
      <c r="K117" s="112">
        <v>12000</v>
      </c>
      <c r="L117" s="3">
        <f t="shared" si="35"/>
        <v>12000</v>
      </c>
    </row>
    <row r="118" spans="1:12" x14ac:dyDescent="0.25">
      <c r="A118" s="258"/>
      <c r="B118" s="268"/>
      <c r="C118" s="2" t="s">
        <v>29</v>
      </c>
      <c r="D118" s="3">
        <v>75000</v>
      </c>
      <c r="E118" s="3">
        <v>75000</v>
      </c>
      <c r="F118" s="3">
        <v>28601</v>
      </c>
      <c r="G118" s="3"/>
      <c r="H118" s="3"/>
      <c r="I118" s="3"/>
      <c r="J118" s="20">
        <f t="shared" si="34"/>
        <v>103601</v>
      </c>
      <c r="K118" s="112">
        <v>28601</v>
      </c>
      <c r="L118" s="3">
        <f t="shared" si="35"/>
        <v>75000</v>
      </c>
    </row>
    <row r="119" spans="1:12" x14ac:dyDescent="0.25">
      <c r="A119" s="258"/>
      <c r="B119" s="268"/>
      <c r="C119" s="2" t="s">
        <v>30</v>
      </c>
      <c r="D119" s="3">
        <v>0</v>
      </c>
      <c r="E119" s="3">
        <v>0</v>
      </c>
      <c r="F119" s="3"/>
      <c r="G119" s="3"/>
      <c r="H119" s="3"/>
      <c r="I119" s="3"/>
      <c r="J119" s="20">
        <f t="shared" si="34"/>
        <v>0</v>
      </c>
      <c r="K119" s="112">
        <v>0</v>
      </c>
      <c r="L119" s="3">
        <f t="shared" si="35"/>
        <v>0</v>
      </c>
    </row>
    <row r="120" spans="1:12" x14ac:dyDescent="0.25">
      <c r="A120" s="258"/>
      <c r="B120" s="268"/>
      <c r="C120" s="6" t="s">
        <v>53</v>
      </c>
      <c r="D120" s="7">
        <f>SUM(D114:D119)</f>
        <v>5180210</v>
      </c>
      <c r="E120" s="7">
        <f>SUM(E114:E119)</f>
        <v>5194228</v>
      </c>
      <c r="F120" s="7">
        <f t="shared" ref="F120:L120" si="36">SUM(F114:F119)</f>
        <v>0</v>
      </c>
      <c r="G120" s="7">
        <f t="shared" si="36"/>
        <v>0</v>
      </c>
      <c r="H120" s="7">
        <f t="shared" si="36"/>
        <v>0</v>
      </c>
      <c r="I120" s="7">
        <f t="shared" si="36"/>
        <v>0</v>
      </c>
      <c r="J120" s="7">
        <f t="shared" si="36"/>
        <v>5194228</v>
      </c>
      <c r="K120" s="114">
        <f t="shared" si="36"/>
        <v>2479501</v>
      </c>
      <c r="L120" s="7">
        <f t="shared" si="36"/>
        <v>2714727</v>
      </c>
    </row>
    <row r="121" spans="1:12" x14ac:dyDescent="0.25">
      <c r="A121" s="258"/>
      <c r="B121" s="268"/>
      <c r="C121" s="86" t="s">
        <v>31</v>
      </c>
      <c r="D121" s="87">
        <v>1046402</v>
      </c>
      <c r="E121" s="87">
        <v>1049135</v>
      </c>
      <c r="F121" s="87"/>
      <c r="G121" s="87"/>
      <c r="H121" s="87"/>
      <c r="I121" s="87"/>
      <c r="J121" s="88">
        <f t="shared" ref="J121:J129" si="37">E121+F121+G121+H121+I121</f>
        <v>1049135</v>
      </c>
      <c r="K121" s="115">
        <v>522047</v>
      </c>
      <c r="L121" s="89">
        <f t="shared" ref="L121:L129" si="38">J121-K121</f>
        <v>527088</v>
      </c>
    </row>
    <row r="122" spans="1:12" x14ac:dyDescent="0.25">
      <c r="A122" s="258"/>
      <c r="B122" s="268"/>
      <c r="C122" s="2" t="s">
        <v>32</v>
      </c>
      <c r="D122" s="3">
        <v>50000</v>
      </c>
      <c r="E122" s="3">
        <v>50000</v>
      </c>
      <c r="F122" s="3"/>
      <c r="G122" s="3"/>
      <c r="H122" s="3"/>
      <c r="I122" s="3"/>
      <c r="J122" s="20">
        <f t="shared" si="37"/>
        <v>50000</v>
      </c>
      <c r="K122" s="112">
        <v>0</v>
      </c>
      <c r="L122" s="3">
        <f t="shared" si="38"/>
        <v>50000</v>
      </c>
    </row>
    <row r="123" spans="1:12" x14ac:dyDescent="0.25">
      <c r="A123" s="258"/>
      <c r="B123" s="268"/>
      <c r="C123" s="2" t="s">
        <v>33</v>
      </c>
      <c r="D123" s="3">
        <v>100000</v>
      </c>
      <c r="E123" s="3">
        <v>100000</v>
      </c>
      <c r="F123" s="3"/>
      <c r="G123" s="3"/>
      <c r="H123" s="3"/>
      <c r="I123" s="3"/>
      <c r="J123" s="20">
        <f t="shared" si="37"/>
        <v>100000</v>
      </c>
      <c r="K123" s="112">
        <v>0</v>
      </c>
      <c r="L123" s="3">
        <f t="shared" si="38"/>
        <v>100000</v>
      </c>
    </row>
    <row r="124" spans="1:12" x14ac:dyDescent="0.25">
      <c r="A124" s="258"/>
      <c r="B124" s="268"/>
      <c r="C124" s="2" t="s">
        <v>34</v>
      </c>
      <c r="D124" s="3">
        <v>150000</v>
      </c>
      <c r="E124" s="3">
        <v>116000</v>
      </c>
      <c r="F124" s="3"/>
      <c r="G124" s="3"/>
      <c r="H124" s="3"/>
      <c r="I124" s="3"/>
      <c r="J124" s="20">
        <f t="shared" si="37"/>
        <v>116000</v>
      </c>
      <c r="K124" s="112">
        <v>0</v>
      </c>
      <c r="L124" s="3">
        <f t="shared" si="38"/>
        <v>116000</v>
      </c>
    </row>
    <row r="125" spans="1:12" x14ac:dyDescent="0.25">
      <c r="A125" s="258"/>
      <c r="B125" s="268"/>
      <c r="C125" s="2" t="s">
        <v>38</v>
      </c>
      <c r="D125" s="3">
        <v>50000</v>
      </c>
      <c r="E125" s="3">
        <v>50000</v>
      </c>
      <c r="F125" s="3"/>
      <c r="G125" s="3"/>
      <c r="H125" s="3"/>
      <c r="I125" s="3"/>
      <c r="J125" s="20">
        <f t="shared" si="37"/>
        <v>50000</v>
      </c>
      <c r="K125" s="112">
        <v>0</v>
      </c>
      <c r="L125" s="3">
        <f t="shared" si="38"/>
        <v>50000</v>
      </c>
    </row>
    <row r="126" spans="1:12" x14ac:dyDescent="0.25">
      <c r="A126" s="258"/>
      <c r="B126" s="268"/>
      <c r="C126" s="2" t="s">
        <v>40</v>
      </c>
      <c r="D126" s="3">
        <v>16800</v>
      </c>
      <c r="E126" s="3">
        <v>16800</v>
      </c>
      <c r="F126" s="3"/>
      <c r="G126" s="3"/>
      <c r="H126" s="3"/>
      <c r="I126" s="3"/>
      <c r="J126" s="20">
        <f t="shared" si="37"/>
        <v>16800</v>
      </c>
      <c r="K126" s="112">
        <v>3400</v>
      </c>
      <c r="L126" s="3">
        <f t="shared" si="38"/>
        <v>13400</v>
      </c>
    </row>
    <row r="127" spans="1:12" x14ac:dyDescent="0.25">
      <c r="A127" s="258"/>
      <c r="B127" s="268"/>
      <c r="C127" s="2" t="s">
        <v>41</v>
      </c>
      <c r="D127" s="3">
        <v>0</v>
      </c>
      <c r="E127" s="3">
        <v>34000</v>
      </c>
      <c r="F127" s="3">
        <v>6280</v>
      </c>
      <c r="G127" s="3"/>
      <c r="H127" s="3"/>
      <c r="I127" s="3"/>
      <c r="J127" s="20">
        <f t="shared" si="37"/>
        <v>40280</v>
      </c>
      <c r="K127" s="112">
        <v>30980</v>
      </c>
      <c r="L127" s="3">
        <f t="shared" si="38"/>
        <v>9300</v>
      </c>
    </row>
    <row r="128" spans="1:12" x14ac:dyDescent="0.25">
      <c r="A128" s="258"/>
      <c r="B128" s="268"/>
      <c r="C128" s="2" t="s">
        <v>42</v>
      </c>
      <c r="D128" s="3">
        <v>240000</v>
      </c>
      <c r="E128" s="3">
        <v>240000</v>
      </c>
      <c r="F128" s="3">
        <v>-6280</v>
      </c>
      <c r="G128" s="3"/>
      <c r="H128" s="3"/>
      <c r="I128" s="3"/>
      <c r="J128" s="20">
        <f t="shared" si="37"/>
        <v>233720</v>
      </c>
      <c r="K128" s="112">
        <v>78225</v>
      </c>
      <c r="L128" s="3">
        <f t="shared" si="38"/>
        <v>155495</v>
      </c>
    </row>
    <row r="129" spans="1:12" x14ac:dyDescent="0.25">
      <c r="A129" s="258"/>
      <c r="B129" s="268"/>
      <c r="C129" s="2" t="s">
        <v>44</v>
      </c>
      <c r="D129" s="3">
        <v>94500</v>
      </c>
      <c r="E129" s="3">
        <v>94500</v>
      </c>
      <c r="F129" s="3"/>
      <c r="G129" s="3"/>
      <c r="H129" s="3"/>
      <c r="I129" s="3"/>
      <c r="J129" s="20">
        <f t="shared" si="37"/>
        <v>94500</v>
      </c>
      <c r="K129" s="112">
        <v>8364</v>
      </c>
      <c r="L129" s="3">
        <f t="shared" si="38"/>
        <v>86136</v>
      </c>
    </row>
    <row r="130" spans="1:12" x14ac:dyDescent="0.25">
      <c r="A130" s="258"/>
      <c r="B130" s="268"/>
      <c r="C130" s="6" t="s">
        <v>49</v>
      </c>
      <c r="D130" s="7">
        <f>SUM(D122:D129)</f>
        <v>701300</v>
      </c>
      <c r="E130" s="7">
        <f>SUM(E122:E129)</f>
        <v>701300</v>
      </c>
      <c r="F130" s="7">
        <f t="shared" ref="F130:L130" si="39">SUM(F122:F129)</f>
        <v>0</v>
      </c>
      <c r="G130" s="7">
        <f t="shared" si="39"/>
        <v>0</v>
      </c>
      <c r="H130" s="7">
        <f t="shared" si="39"/>
        <v>0</v>
      </c>
      <c r="I130" s="7">
        <f t="shared" si="39"/>
        <v>0</v>
      </c>
      <c r="J130" s="7">
        <f t="shared" si="39"/>
        <v>701300</v>
      </c>
      <c r="K130" s="114">
        <f t="shared" si="39"/>
        <v>120969</v>
      </c>
      <c r="L130" s="7">
        <f t="shared" si="39"/>
        <v>580331</v>
      </c>
    </row>
    <row r="131" spans="1:12" x14ac:dyDescent="0.25">
      <c r="A131" s="255" t="s">
        <v>64</v>
      </c>
      <c r="B131" s="252" t="s">
        <v>23</v>
      </c>
      <c r="C131" s="15" t="s">
        <v>29</v>
      </c>
      <c r="D131" s="24">
        <v>39600</v>
      </c>
      <c r="E131" s="24">
        <v>39600</v>
      </c>
      <c r="F131" s="11"/>
      <c r="G131" s="11"/>
      <c r="H131" s="11"/>
      <c r="I131" s="11"/>
      <c r="J131" s="20">
        <f t="shared" ref="J131:J134" si="40">E131+F131+G131+H131+I131</f>
        <v>39600</v>
      </c>
      <c r="K131" s="112">
        <v>19800</v>
      </c>
      <c r="L131" s="3">
        <f t="shared" ref="L131:L134" si="41">J131-K131</f>
        <v>19800</v>
      </c>
    </row>
    <row r="132" spans="1:12" x14ac:dyDescent="0.25">
      <c r="A132" s="257"/>
      <c r="B132" s="254"/>
      <c r="C132" s="15" t="s">
        <v>31</v>
      </c>
      <c r="D132" s="24">
        <v>7359</v>
      </c>
      <c r="E132" s="24">
        <v>7359</v>
      </c>
      <c r="F132" s="11"/>
      <c r="G132" s="11"/>
      <c r="H132" s="11"/>
      <c r="I132" s="11"/>
      <c r="J132" s="20">
        <f t="shared" si="40"/>
        <v>7359</v>
      </c>
      <c r="K132" s="112">
        <v>3861</v>
      </c>
      <c r="L132" s="3">
        <f t="shared" si="41"/>
        <v>3498</v>
      </c>
    </row>
    <row r="133" spans="1:12" x14ac:dyDescent="0.25">
      <c r="A133" s="255" t="s">
        <v>65</v>
      </c>
      <c r="B133" s="252" t="s">
        <v>23</v>
      </c>
      <c r="C133" s="15" t="s">
        <v>24</v>
      </c>
      <c r="D133" s="24">
        <v>1357158</v>
      </c>
      <c r="E133" s="24">
        <v>1357158</v>
      </c>
      <c r="F133" s="11"/>
      <c r="G133" s="11"/>
      <c r="H133" s="11"/>
      <c r="I133" s="11"/>
      <c r="J133" s="20">
        <f t="shared" si="40"/>
        <v>1357158</v>
      </c>
      <c r="K133" s="112">
        <v>679116</v>
      </c>
      <c r="L133" s="3">
        <f t="shared" si="41"/>
        <v>678042</v>
      </c>
    </row>
    <row r="134" spans="1:12" x14ac:dyDescent="0.25">
      <c r="A134" s="257"/>
      <c r="B134" s="254"/>
      <c r="C134" s="15" t="s">
        <v>31</v>
      </c>
      <c r="D134" s="24">
        <v>253327</v>
      </c>
      <c r="E134" s="24">
        <v>253327</v>
      </c>
      <c r="F134" s="11"/>
      <c r="G134" s="11"/>
      <c r="H134" s="11"/>
      <c r="I134" s="11"/>
      <c r="J134" s="20">
        <f t="shared" si="40"/>
        <v>253327</v>
      </c>
      <c r="K134" s="112">
        <v>132425</v>
      </c>
      <c r="L134" s="3">
        <f t="shared" si="41"/>
        <v>120902</v>
      </c>
    </row>
    <row r="135" spans="1:12" x14ac:dyDescent="0.25">
      <c r="A135" s="353" t="s">
        <v>78</v>
      </c>
      <c r="B135" s="354"/>
      <c r="C135" s="355"/>
      <c r="D135" s="126">
        <f>SUM(D120+D121+D130+D131+D132+D133+D134)</f>
        <v>8585356</v>
      </c>
      <c r="E135" s="126">
        <f>SUM(E120+E121+E130+E131+E132+E133+E134)</f>
        <v>8602107</v>
      </c>
      <c r="F135" s="126">
        <f t="shared" ref="F135:L135" si="42">SUM(F120+F121+F130+F131+F132+F133+F134)</f>
        <v>0</v>
      </c>
      <c r="G135" s="126">
        <f t="shared" si="42"/>
        <v>0</v>
      </c>
      <c r="H135" s="126">
        <f t="shared" si="42"/>
        <v>0</v>
      </c>
      <c r="I135" s="126">
        <f t="shared" si="42"/>
        <v>0</v>
      </c>
      <c r="J135" s="126">
        <f t="shared" si="42"/>
        <v>8602107</v>
      </c>
      <c r="K135" s="128">
        <f t="shared" si="42"/>
        <v>3957719</v>
      </c>
      <c r="L135" s="126">
        <f t="shared" si="42"/>
        <v>4644388</v>
      </c>
    </row>
    <row r="136" spans="1:12" x14ac:dyDescent="0.25">
      <c r="A136" s="258" t="s">
        <v>14</v>
      </c>
      <c r="B136" s="268" t="s">
        <v>23</v>
      </c>
      <c r="C136" s="2" t="s">
        <v>24</v>
      </c>
      <c r="D136" s="3">
        <v>4756797</v>
      </c>
      <c r="E136" s="3">
        <v>4688588</v>
      </c>
      <c r="F136" s="3">
        <v>-20518</v>
      </c>
      <c r="G136" s="3"/>
      <c r="H136" s="3"/>
      <c r="I136" s="3"/>
      <c r="J136" s="20">
        <f t="shared" ref="J136:J142" si="43">E136+F136+G136+H136+I136</f>
        <v>4668070</v>
      </c>
      <c r="K136" s="112">
        <v>2191576</v>
      </c>
      <c r="L136" s="3">
        <f t="shared" ref="L136:L142" si="44">J136-K136</f>
        <v>2476494</v>
      </c>
    </row>
    <row r="137" spans="1:12" x14ac:dyDescent="0.25">
      <c r="A137" s="258"/>
      <c r="B137" s="268"/>
      <c r="C137" s="2" t="s">
        <v>25</v>
      </c>
      <c r="D137" s="3">
        <v>200000</v>
      </c>
      <c r="E137" s="3">
        <v>200000</v>
      </c>
      <c r="F137" s="3"/>
      <c r="G137" s="3"/>
      <c r="H137" s="3"/>
      <c r="I137" s="3"/>
      <c r="J137" s="20">
        <f t="shared" si="43"/>
        <v>200000</v>
      </c>
      <c r="K137" s="112">
        <v>100000</v>
      </c>
      <c r="L137" s="3">
        <f t="shared" si="44"/>
        <v>100000</v>
      </c>
    </row>
    <row r="138" spans="1:12" x14ac:dyDescent="0.25">
      <c r="A138" s="258"/>
      <c r="B138" s="268"/>
      <c r="C138" s="2" t="s">
        <v>26</v>
      </c>
      <c r="D138" s="3">
        <v>10000</v>
      </c>
      <c r="E138" s="3">
        <v>10000</v>
      </c>
      <c r="F138" s="3"/>
      <c r="G138" s="3"/>
      <c r="H138" s="3"/>
      <c r="I138" s="3"/>
      <c r="J138" s="20">
        <f t="shared" si="43"/>
        <v>10000</v>
      </c>
      <c r="K138" s="112">
        <v>0</v>
      </c>
      <c r="L138" s="3">
        <f t="shared" si="44"/>
        <v>10000</v>
      </c>
    </row>
    <row r="139" spans="1:12" x14ac:dyDescent="0.25">
      <c r="A139" s="258"/>
      <c r="B139" s="268"/>
      <c r="C139" s="2" t="s">
        <v>27</v>
      </c>
      <c r="D139" s="3">
        <v>255000</v>
      </c>
      <c r="E139" s="3">
        <v>255000</v>
      </c>
      <c r="F139" s="3"/>
      <c r="G139" s="3"/>
      <c r="H139" s="3"/>
      <c r="I139" s="3"/>
      <c r="J139" s="20">
        <f t="shared" si="43"/>
        <v>255000</v>
      </c>
      <c r="K139" s="112">
        <v>88970</v>
      </c>
      <c r="L139" s="3">
        <f t="shared" si="44"/>
        <v>166030</v>
      </c>
    </row>
    <row r="140" spans="1:12" x14ac:dyDescent="0.25">
      <c r="A140" s="258"/>
      <c r="B140" s="268"/>
      <c r="C140" s="2" t="s">
        <v>28</v>
      </c>
      <c r="D140" s="3">
        <v>24000</v>
      </c>
      <c r="E140" s="3">
        <v>24000</v>
      </c>
      <c r="F140" s="3"/>
      <c r="G140" s="3"/>
      <c r="H140" s="3"/>
      <c r="I140" s="3"/>
      <c r="J140" s="20">
        <f t="shared" si="43"/>
        <v>24000</v>
      </c>
      <c r="K140" s="112">
        <v>12000</v>
      </c>
      <c r="L140" s="3">
        <f t="shared" si="44"/>
        <v>12000</v>
      </c>
    </row>
    <row r="141" spans="1:12" x14ac:dyDescent="0.25">
      <c r="A141" s="258"/>
      <c r="B141" s="268"/>
      <c r="C141" s="2" t="s">
        <v>29</v>
      </c>
      <c r="D141" s="3">
        <v>0</v>
      </c>
      <c r="E141" s="3">
        <v>77789</v>
      </c>
      <c r="F141" s="3">
        <v>20518</v>
      </c>
      <c r="G141" s="3"/>
      <c r="H141" s="3"/>
      <c r="I141" s="3"/>
      <c r="J141" s="20">
        <f t="shared" si="43"/>
        <v>98307</v>
      </c>
      <c r="K141" s="112">
        <v>98307</v>
      </c>
      <c r="L141" s="3">
        <f t="shared" si="44"/>
        <v>0</v>
      </c>
    </row>
    <row r="142" spans="1:12" x14ac:dyDescent="0.25">
      <c r="A142" s="258"/>
      <c r="B142" s="268"/>
      <c r="C142" s="2" t="s">
        <v>30</v>
      </c>
      <c r="D142" s="3">
        <v>0</v>
      </c>
      <c r="E142" s="3">
        <v>0</v>
      </c>
      <c r="F142" s="3"/>
      <c r="G142" s="3"/>
      <c r="H142" s="3"/>
      <c r="I142" s="3"/>
      <c r="J142" s="20">
        <f t="shared" si="43"/>
        <v>0</v>
      </c>
      <c r="K142" s="112">
        <v>0</v>
      </c>
      <c r="L142" s="3">
        <f t="shared" si="44"/>
        <v>0</v>
      </c>
    </row>
    <row r="143" spans="1:12" x14ac:dyDescent="0.25">
      <c r="A143" s="258"/>
      <c r="B143" s="268"/>
      <c r="C143" s="6" t="s">
        <v>53</v>
      </c>
      <c r="D143" s="7">
        <f>SUM(D136:D142)</f>
        <v>5245797</v>
      </c>
      <c r="E143" s="7">
        <f>SUM(E136:E142)</f>
        <v>5255377</v>
      </c>
      <c r="F143" s="7">
        <f t="shared" ref="F143:L143" si="45">SUM(F136:F142)</f>
        <v>0</v>
      </c>
      <c r="G143" s="7">
        <f t="shared" si="45"/>
        <v>0</v>
      </c>
      <c r="H143" s="7">
        <f t="shared" si="45"/>
        <v>0</v>
      </c>
      <c r="I143" s="7">
        <f t="shared" si="45"/>
        <v>0</v>
      </c>
      <c r="J143" s="7">
        <f t="shared" si="45"/>
        <v>5255377</v>
      </c>
      <c r="K143" s="114">
        <f t="shared" si="45"/>
        <v>2490853</v>
      </c>
      <c r="L143" s="7">
        <f t="shared" si="45"/>
        <v>2764524</v>
      </c>
    </row>
    <row r="144" spans="1:12" x14ac:dyDescent="0.25">
      <c r="A144" s="258"/>
      <c r="B144" s="268"/>
      <c r="C144" s="86" t="s">
        <v>31</v>
      </c>
      <c r="D144" s="87">
        <v>1025121</v>
      </c>
      <c r="E144" s="87">
        <v>1026989</v>
      </c>
      <c r="F144" s="87"/>
      <c r="G144" s="87"/>
      <c r="H144" s="87"/>
      <c r="I144" s="87"/>
      <c r="J144" s="88">
        <f t="shared" ref="J144:J152" si="46">E144+F144+G144+H144+I144</f>
        <v>1026989</v>
      </c>
      <c r="K144" s="115">
        <v>506910</v>
      </c>
      <c r="L144" s="89">
        <f t="shared" ref="L144:L152" si="47">J144-K144</f>
        <v>520079</v>
      </c>
    </row>
    <row r="145" spans="1:12" x14ac:dyDescent="0.25">
      <c r="A145" s="258"/>
      <c r="B145" s="268"/>
      <c r="C145" s="2" t="s">
        <v>32</v>
      </c>
      <c r="D145" s="3">
        <v>80000</v>
      </c>
      <c r="E145" s="3">
        <v>80000</v>
      </c>
      <c r="F145" s="3"/>
      <c r="G145" s="3"/>
      <c r="H145" s="3"/>
      <c r="I145" s="3"/>
      <c r="J145" s="20">
        <f t="shared" si="46"/>
        <v>80000</v>
      </c>
      <c r="K145" s="112">
        <v>0</v>
      </c>
      <c r="L145" s="3">
        <f t="shared" si="47"/>
        <v>80000</v>
      </c>
    </row>
    <row r="146" spans="1:12" x14ac:dyDescent="0.25">
      <c r="A146" s="258"/>
      <c r="B146" s="268"/>
      <c r="C146" s="2" t="s">
        <v>33</v>
      </c>
      <c r="D146" s="3">
        <v>110000</v>
      </c>
      <c r="E146" s="3">
        <v>110000</v>
      </c>
      <c r="F146" s="3"/>
      <c r="G146" s="3"/>
      <c r="H146" s="3"/>
      <c r="I146" s="3"/>
      <c r="J146" s="20">
        <f t="shared" si="46"/>
        <v>110000</v>
      </c>
      <c r="K146" s="112">
        <v>0</v>
      </c>
      <c r="L146" s="3">
        <f t="shared" si="47"/>
        <v>110000</v>
      </c>
    </row>
    <row r="147" spans="1:12" x14ac:dyDescent="0.25">
      <c r="A147" s="258"/>
      <c r="B147" s="268"/>
      <c r="C147" s="2" t="s">
        <v>34</v>
      </c>
      <c r="D147" s="3">
        <v>150000</v>
      </c>
      <c r="E147" s="3">
        <v>136000</v>
      </c>
      <c r="F147" s="3"/>
      <c r="G147" s="3"/>
      <c r="H147" s="3"/>
      <c r="I147" s="3"/>
      <c r="J147" s="20">
        <f t="shared" si="46"/>
        <v>136000</v>
      </c>
      <c r="K147" s="112">
        <v>0</v>
      </c>
      <c r="L147" s="3">
        <f t="shared" si="47"/>
        <v>136000</v>
      </c>
    </row>
    <row r="148" spans="1:12" x14ac:dyDescent="0.25">
      <c r="A148" s="258"/>
      <c r="B148" s="268"/>
      <c r="C148" s="2" t="s">
        <v>38</v>
      </c>
      <c r="D148" s="3">
        <v>144000</v>
      </c>
      <c r="E148" s="3">
        <v>144000</v>
      </c>
      <c r="F148" s="3"/>
      <c r="G148" s="3"/>
      <c r="H148" s="3"/>
      <c r="I148" s="3"/>
      <c r="J148" s="20">
        <f t="shared" si="46"/>
        <v>144000</v>
      </c>
      <c r="K148" s="112">
        <v>0</v>
      </c>
      <c r="L148" s="3">
        <f t="shared" si="47"/>
        <v>144000</v>
      </c>
    </row>
    <row r="149" spans="1:12" x14ac:dyDescent="0.25">
      <c r="A149" s="258"/>
      <c r="B149" s="268"/>
      <c r="C149" s="2" t="s">
        <v>40</v>
      </c>
      <c r="D149" s="3">
        <v>16800</v>
      </c>
      <c r="E149" s="3">
        <v>16800</v>
      </c>
      <c r="F149" s="3"/>
      <c r="G149" s="3"/>
      <c r="H149" s="3"/>
      <c r="I149" s="3"/>
      <c r="J149" s="20">
        <f t="shared" si="46"/>
        <v>16800</v>
      </c>
      <c r="K149" s="112">
        <v>3400</v>
      </c>
      <c r="L149" s="3">
        <f t="shared" si="47"/>
        <v>13400</v>
      </c>
    </row>
    <row r="150" spans="1:12" x14ac:dyDescent="0.25">
      <c r="A150" s="258"/>
      <c r="B150" s="268"/>
      <c r="C150" s="2" t="s">
        <v>41</v>
      </c>
      <c r="D150" s="3">
        <v>40000</v>
      </c>
      <c r="E150" s="3">
        <v>54000</v>
      </c>
      <c r="F150" s="3">
        <v>6280</v>
      </c>
      <c r="G150" s="3"/>
      <c r="H150" s="3"/>
      <c r="I150" s="3"/>
      <c r="J150" s="20">
        <f t="shared" si="46"/>
        <v>60280</v>
      </c>
      <c r="K150" s="112">
        <v>50980</v>
      </c>
      <c r="L150" s="3">
        <f t="shared" si="47"/>
        <v>9300</v>
      </c>
    </row>
    <row r="151" spans="1:12" x14ac:dyDescent="0.25">
      <c r="A151" s="258"/>
      <c r="B151" s="268"/>
      <c r="C151" s="2" t="s">
        <v>42</v>
      </c>
      <c r="D151" s="3">
        <v>150000</v>
      </c>
      <c r="E151" s="3">
        <v>150000</v>
      </c>
      <c r="F151" s="3">
        <v>-6280</v>
      </c>
      <c r="G151" s="3"/>
      <c r="H151" s="3"/>
      <c r="I151" s="3"/>
      <c r="J151" s="20">
        <f t="shared" si="46"/>
        <v>143720</v>
      </c>
      <c r="K151" s="112">
        <v>57015</v>
      </c>
      <c r="L151" s="3">
        <f t="shared" si="47"/>
        <v>86705</v>
      </c>
    </row>
    <row r="152" spans="1:12" x14ac:dyDescent="0.25">
      <c r="A152" s="258"/>
      <c r="B152" s="268"/>
      <c r="C152" s="2" t="s">
        <v>44</v>
      </c>
      <c r="D152" s="3">
        <v>141480</v>
      </c>
      <c r="E152" s="3">
        <v>141480</v>
      </c>
      <c r="F152" s="3"/>
      <c r="G152" s="3"/>
      <c r="H152" s="3"/>
      <c r="I152" s="3"/>
      <c r="J152" s="20">
        <f t="shared" si="46"/>
        <v>141480</v>
      </c>
      <c r="K152" s="112">
        <v>8365</v>
      </c>
      <c r="L152" s="3">
        <f t="shared" si="47"/>
        <v>133115</v>
      </c>
    </row>
    <row r="153" spans="1:12" x14ac:dyDescent="0.25">
      <c r="A153" s="258"/>
      <c r="B153" s="268"/>
      <c r="C153" s="6" t="s">
        <v>49</v>
      </c>
      <c r="D153" s="7">
        <f>SUM(D145:D152)</f>
        <v>832280</v>
      </c>
      <c r="E153" s="7">
        <f>SUM(E145:E152)</f>
        <v>832280</v>
      </c>
      <c r="F153" s="7">
        <f t="shared" ref="F153:L153" si="48">SUM(F145:F152)</f>
        <v>0</v>
      </c>
      <c r="G153" s="7">
        <f t="shared" si="48"/>
        <v>0</v>
      </c>
      <c r="H153" s="7">
        <f t="shared" si="48"/>
        <v>0</v>
      </c>
      <c r="I153" s="7">
        <f t="shared" si="48"/>
        <v>0</v>
      </c>
      <c r="J153" s="7">
        <f t="shared" si="48"/>
        <v>832280</v>
      </c>
      <c r="K153" s="114">
        <f t="shared" si="48"/>
        <v>119760</v>
      </c>
      <c r="L153" s="7">
        <f t="shared" si="48"/>
        <v>712520</v>
      </c>
    </row>
    <row r="154" spans="1:12" x14ac:dyDescent="0.25">
      <c r="A154" s="255" t="s">
        <v>66</v>
      </c>
      <c r="B154" s="252" t="s">
        <v>23</v>
      </c>
      <c r="C154" s="15" t="s">
        <v>24</v>
      </c>
      <c r="D154" s="24">
        <v>832628</v>
      </c>
      <c r="E154" s="24">
        <v>832628</v>
      </c>
      <c r="F154" s="11"/>
      <c r="G154" s="11"/>
      <c r="H154" s="11"/>
      <c r="I154" s="11"/>
      <c r="J154" s="20">
        <f t="shared" ref="J154:J155" si="49">E154+F154+G154+H154+I154</f>
        <v>832628</v>
      </c>
      <c r="K154" s="112">
        <v>404926</v>
      </c>
      <c r="L154" s="3">
        <f t="shared" ref="L154:L155" si="50">J154-K154</f>
        <v>427702</v>
      </c>
    </row>
    <row r="155" spans="1:12" x14ac:dyDescent="0.25">
      <c r="A155" s="257"/>
      <c r="B155" s="254"/>
      <c r="C155" s="15" t="s">
        <v>31</v>
      </c>
      <c r="D155" s="24">
        <v>155410</v>
      </c>
      <c r="E155" s="24">
        <v>155410</v>
      </c>
      <c r="F155" s="11"/>
      <c r="G155" s="11"/>
      <c r="H155" s="11"/>
      <c r="I155" s="11"/>
      <c r="J155" s="20">
        <f t="shared" si="49"/>
        <v>155410</v>
      </c>
      <c r="K155" s="112">
        <v>78960</v>
      </c>
      <c r="L155" s="3">
        <f t="shared" si="50"/>
        <v>76450</v>
      </c>
    </row>
    <row r="156" spans="1:12" x14ac:dyDescent="0.25">
      <c r="A156" s="353" t="s">
        <v>79</v>
      </c>
      <c r="B156" s="354"/>
      <c r="C156" s="355"/>
      <c r="D156" s="126">
        <f>SUM(D143+D144+D153+D154+D155)</f>
        <v>8091236</v>
      </c>
      <c r="E156" s="126">
        <f>SUM(E143+E144+E153+E154+E155)</f>
        <v>8102684</v>
      </c>
      <c r="F156" s="126">
        <f t="shared" ref="F156:L156" si="51">SUM(F143+F144+F153+F154+F155)</f>
        <v>0</v>
      </c>
      <c r="G156" s="126">
        <f t="shared" si="51"/>
        <v>0</v>
      </c>
      <c r="H156" s="126">
        <f t="shared" si="51"/>
        <v>0</v>
      </c>
      <c r="I156" s="126">
        <f t="shared" si="51"/>
        <v>0</v>
      </c>
      <c r="J156" s="126">
        <f t="shared" si="51"/>
        <v>8102684</v>
      </c>
      <c r="K156" s="128">
        <f t="shared" si="51"/>
        <v>3601409</v>
      </c>
      <c r="L156" s="126">
        <f t="shared" si="51"/>
        <v>4501275</v>
      </c>
    </row>
    <row r="157" spans="1:12" x14ac:dyDescent="0.25">
      <c r="A157" s="258" t="s">
        <v>55</v>
      </c>
      <c r="B157" s="268" t="s">
        <v>23</v>
      </c>
      <c r="C157" s="10" t="s">
        <v>24</v>
      </c>
      <c r="D157" s="24">
        <v>5055869</v>
      </c>
      <c r="E157" s="24">
        <v>5055869</v>
      </c>
      <c r="F157" s="11"/>
      <c r="G157" s="11"/>
      <c r="H157" s="11"/>
      <c r="I157" s="11"/>
      <c r="J157" s="20">
        <f t="shared" ref="J157:J162" si="52">E157+F157+G157+H157+I157</f>
        <v>5055869</v>
      </c>
      <c r="K157" s="112">
        <v>2430996</v>
      </c>
      <c r="L157" s="3">
        <f t="shared" ref="L157:L162" si="53">J157-K157</f>
        <v>2624873</v>
      </c>
    </row>
    <row r="158" spans="1:12" x14ac:dyDescent="0.25">
      <c r="A158" s="258"/>
      <c r="B158" s="268"/>
      <c r="C158" s="10" t="s">
        <v>25</v>
      </c>
      <c r="D158" s="24">
        <v>425000</v>
      </c>
      <c r="E158" s="24">
        <v>425000</v>
      </c>
      <c r="F158" s="11"/>
      <c r="G158" s="11"/>
      <c r="H158" s="11"/>
      <c r="I158" s="11"/>
      <c r="J158" s="20">
        <f t="shared" si="52"/>
        <v>425000</v>
      </c>
      <c r="K158" s="112">
        <v>212500</v>
      </c>
      <c r="L158" s="3">
        <f t="shared" si="53"/>
        <v>212500</v>
      </c>
    </row>
    <row r="159" spans="1:12" x14ac:dyDescent="0.25">
      <c r="A159" s="258"/>
      <c r="B159" s="268"/>
      <c r="C159" s="10" t="s">
        <v>26</v>
      </c>
      <c r="D159" s="24">
        <v>10000</v>
      </c>
      <c r="E159" s="24">
        <v>10000</v>
      </c>
      <c r="F159" s="11"/>
      <c r="G159" s="11"/>
      <c r="H159" s="11"/>
      <c r="I159" s="11"/>
      <c r="J159" s="20">
        <f t="shared" si="52"/>
        <v>10000</v>
      </c>
      <c r="K159" s="112">
        <v>0</v>
      </c>
      <c r="L159" s="3">
        <f t="shared" si="53"/>
        <v>10000</v>
      </c>
    </row>
    <row r="160" spans="1:12" x14ac:dyDescent="0.25">
      <c r="A160" s="258"/>
      <c r="B160" s="268"/>
      <c r="C160" s="10" t="s">
        <v>28</v>
      </c>
      <c r="D160" s="24">
        <v>24000</v>
      </c>
      <c r="E160" s="24">
        <v>24000</v>
      </c>
      <c r="F160" s="11"/>
      <c r="G160" s="11"/>
      <c r="H160" s="11"/>
      <c r="I160" s="11"/>
      <c r="J160" s="20">
        <f t="shared" si="52"/>
        <v>24000</v>
      </c>
      <c r="K160" s="112">
        <v>12000</v>
      </c>
      <c r="L160" s="3">
        <f t="shared" si="53"/>
        <v>12000</v>
      </c>
    </row>
    <row r="161" spans="1:12" x14ac:dyDescent="0.25">
      <c r="A161" s="258"/>
      <c r="B161" s="268"/>
      <c r="C161" s="10" t="s">
        <v>29</v>
      </c>
      <c r="D161" s="24">
        <v>75000</v>
      </c>
      <c r="E161" s="24">
        <v>75000</v>
      </c>
      <c r="F161" s="11"/>
      <c r="G161" s="11"/>
      <c r="H161" s="11"/>
      <c r="I161" s="11"/>
      <c r="J161" s="20">
        <f t="shared" si="52"/>
        <v>75000</v>
      </c>
      <c r="K161" s="112">
        <v>0</v>
      </c>
      <c r="L161" s="3">
        <f t="shared" si="53"/>
        <v>75000</v>
      </c>
    </row>
    <row r="162" spans="1:12" x14ac:dyDescent="0.25">
      <c r="A162" s="258"/>
      <c r="B162" s="268"/>
      <c r="C162" s="10" t="s">
        <v>30</v>
      </c>
      <c r="D162" s="24">
        <v>0</v>
      </c>
      <c r="E162" s="24">
        <v>0</v>
      </c>
      <c r="F162" s="11"/>
      <c r="G162" s="11"/>
      <c r="H162" s="11"/>
      <c r="I162" s="11"/>
      <c r="J162" s="20">
        <f t="shared" si="52"/>
        <v>0</v>
      </c>
      <c r="K162" s="112">
        <v>0</v>
      </c>
      <c r="L162" s="3">
        <f t="shared" si="53"/>
        <v>0</v>
      </c>
    </row>
    <row r="163" spans="1:12" x14ac:dyDescent="0.25">
      <c r="A163" s="258"/>
      <c r="B163" s="268"/>
      <c r="C163" s="6" t="s">
        <v>53</v>
      </c>
      <c r="D163" s="7">
        <f>SUM(D157:D162)</f>
        <v>5589869</v>
      </c>
      <c r="E163" s="7">
        <f>SUM(E157:E162)</f>
        <v>5589869</v>
      </c>
      <c r="F163" s="7">
        <f t="shared" ref="F163:L163" si="54">SUM(F157:F162)</f>
        <v>0</v>
      </c>
      <c r="G163" s="7">
        <f t="shared" si="54"/>
        <v>0</v>
      </c>
      <c r="H163" s="7">
        <f t="shared" si="54"/>
        <v>0</v>
      </c>
      <c r="I163" s="7">
        <f t="shared" si="54"/>
        <v>0</v>
      </c>
      <c r="J163" s="7">
        <f t="shared" si="54"/>
        <v>5589869</v>
      </c>
      <c r="K163" s="114">
        <f t="shared" si="54"/>
        <v>2655496</v>
      </c>
      <c r="L163" s="7">
        <f t="shared" si="54"/>
        <v>2934373</v>
      </c>
    </row>
    <row r="164" spans="1:12" x14ac:dyDescent="0.25">
      <c r="A164" s="258"/>
      <c r="B164" s="268"/>
      <c r="C164" s="86" t="s">
        <v>31</v>
      </c>
      <c r="D164" s="87">
        <v>1124913</v>
      </c>
      <c r="E164" s="87">
        <v>1124913</v>
      </c>
      <c r="F164" s="87"/>
      <c r="G164" s="87"/>
      <c r="H164" s="87"/>
      <c r="I164" s="87"/>
      <c r="J164" s="88">
        <f t="shared" ref="J164:J173" si="55">E164+F164+G164+H164+I164</f>
        <v>1124913</v>
      </c>
      <c r="K164" s="115">
        <v>556361</v>
      </c>
      <c r="L164" s="89">
        <f t="shared" ref="L164:L173" si="56">J164-K164</f>
        <v>568552</v>
      </c>
    </row>
    <row r="165" spans="1:12" x14ac:dyDescent="0.25">
      <c r="A165" s="258"/>
      <c r="B165" s="268"/>
      <c r="C165" s="10" t="s">
        <v>32</v>
      </c>
      <c r="D165" s="24">
        <v>100000</v>
      </c>
      <c r="E165" s="24">
        <v>100000</v>
      </c>
      <c r="F165" s="11"/>
      <c r="G165" s="11"/>
      <c r="H165" s="11"/>
      <c r="I165" s="11"/>
      <c r="J165" s="20">
        <f t="shared" si="55"/>
        <v>100000</v>
      </c>
      <c r="K165" s="112">
        <v>0</v>
      </c>
      <c r="L165" s="3">
        <f t="shared" si="56"/>
        <v>100000</v>
      </c>
    </row>
    <row r="166" spans="1:12" x14ac:dyDescent="0.25">
      <c r="A166" s="258"/>
      <c r="B166" s="268"/>
      <c r="C166" s="10" t="s">
        <v>33</v>
      </c>
      <c r="D166" s="24">
        <v>100000</v>
      </c>
      <c r="E166" s="24">
        <v>100000</v>
      </c>
      <c r="F166" s="11"/>
      <c r="G166" s="11"/>
      <c r="H166" s="11"/>
      <c r="I166" s="11"/>
      <c r="J166" s="20">
        <f t="shared" si="55"/>
        <v>100000</v>
      </c>
      <c r="K166" s="112">
        <v>0</v>
      </c>
      <c r="L166" s="3">
        <f t="shared" si="56"/>
        <v>100000</v>
      </c>
    </row>
    <row r="167" spans="1:12" x14ac:dyDescent="0.25">
      <c r="A167" s="258"/>
      <c r="B167" s="268"/>
      <c r="C167" s="10" t="s">
        <v>34</v>
      </c>
      <c r="D167" s="24">
        <v>100000</v>
      </c>
      <c r="E167" s="24">
        <v>100000</v>
      </c>
      <c r="F167" s="11"/>
      <c r="G167" s="11"/>
      <c r="H167" s="11"/>
      <c r="I167" s="11"/>
      <c r="J167" s="20">
        <f t="shared" si="55"/>
        <v>100000</v>
      </c>
      <c r="K167" s="112">
        <v>0</v>
      </c>
      <c r="L167" s="3">
        <f t="shared" si="56"/>
        <v>100000</v>
      </c>
    </row>
    <row r="168" spans="1:12" x14ac:dyDescent="0.25">
      <c r="A168" s="258"/>
      <c r="B168" s="268"/>
      <c r="C168" s="10" t="s">
        <v>35</v>
      </c>
      <c r="D168" s="24">
        <v>50000</v>
      </c>
      <c r="E168" s="24">
        <v>50000</v>
      </c>
      <c r="F168" s="11"/>
      <c r="G168" s="11"/>
      <c r="H168" s="11"/>
      <c r="I168" s="11"/>
      <c r="J168" s="20">
        <f t="shared" si="55"/>
        <v>50000</v>
      </c>
      <c r="K168" s="112">
        <v>0</v>
      </c>
      <c r="L168" s="3">
        <f t="shared" si="56"/>
        <v>50000</v>
      </c>
    </row>
    <row r="169" spans="1:12" x14ac:dyDescent="0.25">
      <c r="A169" s="258"/>
      <c r="B169" s="268"/>
      <c r="C169" s="10" t="s">
        <v>38</v>
      </c>
      <c r="D169" s="24">
        <v>140000</v>
      </c>
      <c r="E169" s="24">
        <v>140000</v>
      </c>
      <c r="F169" s="11"/>
      <c r="G169" s="11"/>
      <c r="H169" s="11"/>
      <c r="I169" s="11"/>
      <c r="J169" s="20">
        <f t="shared" si="55"/>
        <v>140000</v>
      </c>
      <c r="K169" s="112">
        <v>26259</v>
      </c>
      <c r="L169" s="3">
        <f t="shared" si="56"/>
        <v>113741</v>
      </c>
    </row>
    <row r="170" spans="1:12" x14ac:dyDescent="0.25">
      <c r="A170" s="258"/>
      <c r="B170" s="268"/>
      <c r="C170" s="10" t="s">
        <v>40</v>
      </c>
      <c r="D170" s="24">
        <v>15000</v>
      </c>
      <c r="E170" s="24">
        <v>15000</v>
      </c>
      <c r="F170" s="11"/>
      <c r="G170" s="11"/>
      <c r="H170" s="11"/>
      <c r="I170" s="11"/>
      <c r="J170" s="20">
        <f t="shared" si="55"/>
        <v>15000</v>
      </c>
      <c r="K170" s="112">
        <v>2950</v>
      </c>
      <c r="L170" s="3">
        <f t="shared" si="56"/>
        <v>12050</v>
      </c>
    </row>
    <row r="171" spans="1:12" x14ac:dyDescent="0.25">
      <c r="A171" s="258"/>
      <c r="B171" s="268"/>
      <c r="C171" s="10" t="s">
        <v>41</v>
      </c>
      <c r="D171" s="24">
        <v>80000</v>
      </c>
      <c r="E171" s="24">
        <v>80000</v>
      </c>
      <c r="F171" s="11"/>
      <c r="G171" s="11"/>
      <c r="H171" s="11"/>
      <c r="I171" s="11"/>
      <c r="J171" s="20">
        <f t="shared" si="55"/>
        <v>80000</v>
      </c>
      <c r="K171" s="112">
        <v>30980</v>
      </c>
      <c r="L171" s="3">
        <f t="shared" si="56"/>
        <v>49020</v>
      </c>
    </row>
    <row r="172" spans="1:12" x14ac:dyDescent="0.25">
      <c r="A172" s="258"/>
      <c r="B172" s="268"/>
      <c r="C172" s="10" t="s">
        <v>42</v>
      </c>
      <c r="D172" s="24">
        <v>240000</v>
      </c>
      <c r="E172" s="24">
        <v>240000</v>
      </c>
      <c r="F172" s="11"/>
      <c r="G172" s="11"/>
      <c r="H172" s="11"/>
      <c r="I172" s="11"/>
      <c r="J172" s="20">
        <f t="shared" si="55"/>
        <v>240000</v>
      </c>
      <c r="K172" s="112">
        <v>138980</v>
      </c>
      <c r="L172" s="3">
        <f t="shared" si="56"/>
        <v>101020</v>
      </c>
    </row>
    <row r="173" spans="1:12" x14ac:dyDescent="0.25">
      <c r="A173" s="258"/>
      <c r="B173" s="268"/>
      <c r="C173" s="10" t="s">
        <v>44</v>
      </c>
      <c r="D173" s="24">
        <v>142900</v>
      </c>
      <c r="E173" s="24">
        <v>142900</v>
      </c>
      <c r="F173" s="11"/>
      <c r="G173" s="11"/>
      <c r="H173" s="11"/>
      <c r="I173" s="11"/>
      <c r="J173" s="20">
        <f t="shared" si="55"/>
        <v>142900</v>
      </c>
      <c r="K173" s="112">
        <v>15455</v>
      </c>
      <c r="L173" s="3">
        <f t="shared" si="56"/>
        <v>127445</v>
      </c>
    </row>
    <row r="174" spans="1:12" x14ac:dyDescent="0.25">
      <c r="A174" s="258"/>
      <c r="B174" s="268"/>
      <c r="C174" s="6" t="s">
        <v>49</v>
      </c>
      <c r="D174" s="7">
        <f>SUM(D165:D173)</f>
        <v>967900</v>
      </c>
      <c r="E174" s="7">
        <f>SUM(E165:E173)</f>
        <v>967900</v>
      </c>
      <c r="F174" s="7">
        <f t="shared" ref="F174:L174" si="57">SUM(F165:F173)</f>
        <v>0</v>
      </c>
      <c r="G174" s="7">
        <f t="shared" si="57"/>
        <v>0</v>
      </c>
      <c r="H174" s="7">
        <f t="shared" si="57"/>
        <v>0</v>
      </c>
      <c r="I174" s="7">
        <f t="shared" si="57"/>
        <v>0</v>
      </c>
      <c r="J174" s="7">
        <f t="shared" si="57"/>
        <v>967900</v>
      </c>
      <c r="K174" s="114">
        <f t="shared" si="57"/>
        <v>214624</v>
      </c>
      <c r="L174" s="7">
        <f t="shared" si="57"/>
        <v>753276</v>
      </c>
    </row>
    <row r="175" spans="1:12" x14ac:dyDescent="0.25">
      <c r="A175" s="255" t="s">
        <v>67</v>
      </c>
      <c r="B175" s="252" t="s">
        <v>23</v>
      </c>
      <c r="C175" s="25" t="s">
        <v>29</v>
      </c>
      <c r="D175" s="24">
        <v>157200</v>
      </c>
      <c r="E175" s="24">
        <v>157200</v>
      </c>
      <c r="F175" s="11"/>
      <c r="G175" s="11"/>
      <c r="H175" s="11"/>
      <c r="I175" s="11"/>
      <c r="J175" s="20">
        <f t="shared" ref="J175:J191" si="58">E175+F175+G175+H175+I175</f>
        <v>157200</v>
      </c>
      <c r="K175" s="112">
        <v>39600</v>
      </c>
      <c r="L175" s="3">
        <f t="shared" ref="L175:L191" si="59">J175-K175</f>
        <v>117600</v>
      </c>
    </row>
    <row r="176" spans="1:12" x14ac:dyDescent="0.25">
      <c r="A176" s="257"/>
      <c r="B176" s="254"/>
      <c r="C176" s="25" t="s">
        <v>31</v>
      </c>
      <c r="D176" s="24">
        <v>29213</v>
      </c>
      <c r="E176" s="24">
        <v>29213</v>
      </c>
      <c r="F176" s="11"/>
      <c r="G176" s="11"/>
      <c r="H176" s="11"/>
      <c r="I176" s="11"/>
      <c r="J176" s="20">
        <f t="shared" si="58"/>
        <v>29213</v>
      </c>
      <c r="K176" s="112">
        <v>7723</v>
      </c>
      <c r="L176" s="3">
        <f t="shared" si="59"/>
        <v>21490</v>
      </c>
    </row>
    <row r="177" spans="1:12" x14ac:dyDescent="0.25">
      <c r="A177" s="255" t="s">
        <v>75</v>
      </c>
      <c r="B177" s="252" t="s">
        <v>23</v>
      </c>
      <c r="C177" s="15" t="s">
        <v>24</v>
      </c>
      <c r="D177" s="24">
        <v>1604509</v>
      </c>
      <c r="E177" s="24">
        <v>1604509</v>
      </c>
      <c r="F177" s="11"/>
      <c r="G177" s="11"/>
      <c r="H177" s="11"/>
      <c r="I177" s="11"/>
      <c r="J177" s="20">
        <f t="shared" si="58"/>
        <v>1604509</v>
      </c>
      <c r="K177" s="112">
        <v>819437</v>
      </c>
      <c r="L177" s="3">
        <f t="shared" si="59"/>
        <v>785072</v>
      </c>
    </row>
    <row r="178" spans="1:12" x14ac:dyDescent="0.25">
      <c r="A178" s="257"/>
      <c r="B178" s="254"/>
      <c r="C178" s="15" t="s">
        <v>31</v>
      </c>
      <c r="D178" s="24">
        <v>299119</v>
      </c>
      <c r="E178" s="24">
        <v>299119</v>
      </c>
      <c r="F178" s="11"/>
      <c r="G178" s="11"/>
      <c r="H178" s="11"/>
      <c r="I178" s="11"/>
      <c r="J178" s="20">
        <f t="shared" si="58"/>
        <v>299119</v>
      </c>
      <c r="K178" s="112">
        <v>159792</v>
      </c>
      <c r="L178" s="3">
        <f t="shared" si="59"/>
        <v>139327</v>
      </c>
    </row>
    <row r="179" spans="1:12" x14ac:dyDescent="0.25">
      <c r="A179" s="356" t="s">
        <v>80</v>
      </c>
      <c r="B179" s="356"/>
      <c r="C179" s="356"/>
      <c r="D179" s="127">
        <f>SUM(D163+D164+D174+D175+D176+D177+D178)</f>
        <v>9772723</v>
      </c>
      <c r="E179" s="127">
        <f>SUM(E163+E164+E174+E175+E176+E177+E178)</f>
        <v>9772723</v>
      </c>
      <c r="F179" s="127">
        <f t="shared" ref="F179:L179" si="60">SUM(F163+F164+F174+F175+F176+F177+F178)</f>
        <v>0</v>
      </c>
      <c r="G179" s="127">
        <f t="shared" si="60"/>
        <v>0</v>
      </c>
      <c r="H179" s="127">
        <f t="shared" si="60"/>
        <v>0</v>
      </c>
      <c r="I179" s="127">
        <f t="shared" si="60"/>
        <v>0</v>
      </c>
      <c r="J179" s="127">
        <f t="shared" si="60"/>
        <v>9772723</v>
      </c>
      <c r="K179" s="128">
        <f t="shared" si="60"/>
        <v>4453033</v>
      </c>
      <c r="L179" s="127">
        <f t="shared" si="60"/>
        <v>5319690</v>
      </c>
    </row>
    <row r="180" spans="1:12" x14ac:dyDescent="0.25">
      <c r="A180" s="258" t="s">
        <v>15</v>
      </c>
      <c r="B180" s="252" t="s">
        <v>23</v>
      </c>
      <c r="C180" s="43" t="s">
        <v>24</v>
      </c>
      <c r="D180" s="44">
        <v>11144060</v>
      </c>
      <c r="E180" s="44">
        <v>11144060</v>
      </c>
      <c r="F180" s="44"/>
      <c r="G180" s="44"/>
      <c r="H180" s="44"/>
      <c r="I180" s="44"/>
      <c r="J180" s="20">
        <f t="shared" si="58"/>
        <v>11144060</v>
      </c>
      <c r="K180" s="56">
        <v>4542050</v>
      </c>
      <c r="L180" s="3">
        <f t="shared" si="59"/>
        <v>6602010</v>
      </c>
    </row>
    <row r="181" spans="1:12" x14ac:dyDescent="0.25">
      <c r="A181" s="258"/>
      <c r="B181" s="253"/>
      <c r="C181" s="43" t="s">
        <v>30</v>
      </c>
      <c r="D181" s="44">
        <v>0</v>
      </c>
      <c r="E181" s="44">
        <v>10500000</v>
      </c>
      <c r="F181" s="44"/>
      <c r="G181" s="44"/>
      <c r="H181" s="44"/>
      <c r="I181" s="44"/>
      <c r="J181" s="20">
        <f t="shared" si="58"/>
        <v>10500000</v>
      </c>
      <c r="K181" s="56">
        <v>0</v>
      </c>
      <c r="L181" s="3">
        <f t="shared" si="59"/>
        <v>10500000</v>
      </c>
    </row>
    <row r="182" spans="1:12" x14ac:dyDescent="0.25">
      <c r="A182" s="258"/>
      <c r="B182" s="253"/>
      <c r="C182" s="6" t="s">
        <v>53</v>
      </c>
      <c r="D182" s="7">
        <f>D180+D181</f>
        <v>11144060</v>
      </c>
      <c r="E182" s="7">
        <f>E180+E181</f>
        <v>21644060</v>
      </c>
      <c r="F182" s="7">
        <f t="shared" ref="F182:L182" si="61">F180+F181</f>
        <v>0</v>
      </c>
      <c r="G182" s="7">
        <f t="shared" si="61"/>
        <v>0</v>
      </c>
      <c r="H182" s="7">
        <f t="shared" si="61"/>
        <v>0</v>
      </c>
      <c r="I182" s="7">
        <f t="shared" si="61"/>
        <v>0</v>
      </c>
      <c r="J182" s="8">
        <f t="shared" si="58"/>
        <v>21644060</v>
      </c>
      <c r="K182" s="117">
        <f t="shared" si="61"/>
        <v>4542050</v>
      </c>
      <c r="L182" s="7">
        <f t="shared" si="61"/>
        <v>17102010</v>
      </c>
    </row>
    <row r="183" spans="1:12" x14ac:dyDescent="0.25">
      <c r="A183" s="258"/>
      <c r="B183" s="253"/>
      <c r="C183" s="86" t="s">
        <v>31</v>
      </c>
      <c r="D183" s="87">
        <v>2295657</v>
      </c>
      <c r="E183" s="87">
        <v>2295657</v>
      </c>
      <c r="F183" s="87"/>
      <c r="G183" s="87"/>
      <c r="H183" s="87"/>
      <c r="I183" s="87"/>
      <c r="J183" s="89">
        <f t="shared" si="58"/>
        <v>2295657</v>
      </c>
      <c r="K183" s="115">
        <v>1868846</v>
      </c>
      <c r="L183" s="89">
        <f t="shared" si="59"/>
        <v>426811</v>
      </c>
    </row>
    <row r="184" spans="1:12" x14ac:dyDescent="0.25">
      <c r="A184" s="258"/>
      <c r="B184" s="253"/>
      <c r="C184" s="10" t="s">
        <v>33</v>
      </c>
      <c r="D184" s="3">
        <v>90000</v>
      </c>
      <c r="E184" s="3">
        <v>90000</v>
      </c>
      <c r="F184" s="3"/>
      <c r="G184" s="3"/>
      <c r="H184" s="3"/>
      <c r="I184" s="3"/>
      <c r="J184" s="3">
        <f t="shared" si="58"/>
        <v>90000</v>
      </c>
      <c r="K184" s="112">
        <v>0</v>
      </c>
      <c r="L184" s="3">
        <f t="shared" si="59"/>
        <v>90000</v>
      </c>
    </row>
    <row r="185" spans="1:12" x14ac:dyDescent="0.25">
      <c r="A185" s="258"/>
      <c r="B185" s="253"/>
      <c r="C185" s="10" t="s">
        <v>37</v>
      </c>
      <c r="D185" s="3">
        <v>230000</v>
      </c>
      <c r="E185" s="3">
        <v>230000</v>
      </c>
      <c r="F185" s="3"/>
      <c r="G185" s="3"/>
      <c r="H185" s="3"/>
      <c r="I185" s="3"/>
      <c r="J185" s="3">
        <f t="shared" si="58"/>
        <v>230000</v>
      </c>
      <c r="K185" s="112">
        <v>0</v>
      </c>
      <c r="L185" s="3">
        <f t="shared" si="59"/>
        <v>230000</v>
      </c>
    </row>
    <row r="186" spans="1:12" x14ac:dyDescent="0.25">
      <c r="A186" s="258"/>
      <c r="B186" s="253"/>
      <c r="C186" s="10" t="s">
        <v>40</v>
      </c>
      <c r="D186" s="3">
        <v>14850000</v>
      </c>
      <c r="E186" s="3">
        <v>14850000</v>
      </c>
      <c r="F186" s="3"/>
      <c r="G186" s="3"/>
      <c r="H186" s="3"/>
      <c r="I186" s="3"/>
      <c r="J186" s="3">
        <f t="shared" si="58"/>
        <v>14850000</v>
      </c>
      <c r="K186" s="112">
        <v>0</v>
      </c>
      <c r="L186" s="3">
        <f t="shared" si="59"/>
        <v>14850000</v>
      </c>
    </row>
    <row r="187" spans="1:12" x14ac:dyDescent="0.25">
      <c r="A187" s="258"/>
      <c r="B187" s="253"/>
      <c r="C187" s="10" t="s">
        <v>41</v>
      </c>
      <c r="D187" s="3">
        <v>25112271</v>
      </c>
      <c r="E187" s="3">
        <v>6344554</v>
      </c>
      <c r="F187" s="3"/>
      <c r="G187" s="3"/>
      <c r="H187" s="3"/>
      <c r="I187" s="3"/>
      <c r="J187" s="3">
        <f t="shared" si="58"/>
        <v>6344554</v>
      </c>
      <c r="K187" s="112">
        <v>5250010</v>
      </c>
      <c r="L187" s="3">
        <f t="shared" si="59"/>
        <v>1094544</v>
      </c>
    </row>
    <row r="188" spans="1:12" x14ac:dyDescent="0.25">
      <c r="A188" s="258"/>
      <c r="B188" s="253"/>
      <c r="C188" s="10" t="s">
        <v>42</v>
      </c>
      <c r="D188" s="3">
        <v>230000</v>
      </c>
      <c r="E188" s="3">
        <v>230000</v>
      </c>
      <c r="F188" s="3"/>
      <c r="G188" s="3"/>
      <c r="H188" s="3"/>
      <c r="I188" s="3"/>
      <c r="J188" s="3">
        <f t="shared" si="58"/>
        <v>230000</v>
      </c>
      <c r="K188" s="112">
        <v>25135</v>
      </c>
      <c r="L188" s="3">
        <f t="shared" si="59"/>
        <v>204865</v>
      </c>
    </row>
    <row r="189" spans="1:12" x14ac:dyDescent="0.25">
      <c r="A189" s="258"/>
      <c r="B189" s="253"/>
      <c r="C189" s="10" t="s">
        <v>43</v>
      </c>
      <c r="D189" s="3">
        <v>230000</v>
      </c>
      <c r="E189" s="3">
        <v>230000</v>
      </c>
      <c r="F189" s="3"/>
      <c r="G189" s="3"/>
      <c r="H189" s="3"/>
      <c r="I189" s="3"/>
      <c r="J189" s="3">
        <f t="shared" si="58"/>
        <v>230000</v>
      </c>
      <c r="K189" s="112">
        <v>0</v>
      </c>
      <c r="L189" s="3">
        <f t="shared" si="59"/>
        <v>230000</v>
      </c>
    </row>
    <row r="190" spans="1:12" x14ac:dyDescent="0.25">
      <c r="A190" s="258"/>
      <c r="B190" s="253"/>
      <c r="C190" s="10" t="s">
        <v>44</v>
      </c>
      <c r="D190" s="3">
        <v>5677830</v>
      </c>
      <c r="E190" s="3">
        <v>3445547</v>
      </c>
      <c r="F190" s="3"/>
      <c r="G190" s="3"/>
      <c r="H190" s="3"/>
      <c r="I190" s="3"/>
      <c r="J190" s="3">
        <f t="shared" si="58"/>
        <v>3445547</v>
      </c>
      <c r="K190" s="112">
        <v>1417500</v>
      </c>
      <c r="L190" s="3">
        <f t="shared" si="59"/>
        <v>2028047</v>
      </c>
    </row>
    <row r="191" spans="1:12" x14ac:dyDescent="0.25">
      <c r="A191" s="258"/>
      <c r="B191" s="253"/>
      <c r="C191" s="10" t="s">
        <v>45</v>
      </c>
      <c r="D191" s="3">
        <v>229990</v>
      </c>
      <c r="E191" s="3">
        <v>229990</v>
      </c>
      <c r="F191" s="3"/>
      <c r="G191" s="3"/>
      <c r="H191" s="3"/>
      <c r="I191" s="3"/>
      <c r="J191" s="3">
        <f t="shared" si="58"/>
        <v>229990</v>
      </c>
      <c r="K191" s="112">
        <v>0</v>
      </c>
      <c r="L191" s="3">
        <f t="shared" si="59"/>
        <v>229990</v>
      </c>
    </row>
    <row r="192" spans="1:12" x14ac:dyDescent="0.25">
      <c r="A192" s="258"/>
      <c r="B192" s="253"/>
      <c r="C192" s="6" t="s">
        <v>49</v>
      </c>
      <c r="D192" s="7">
        <f>SUM(D184:D191)</f>
        <v>46650091</v>
      </c>
      <c r="E192" s="7">
        <f>SUM(E184:E191)</f>
        <v>25650091</v>
      </c>
      <c r="F192" s="7">
        <f t="shared" ref="F192:L192" si="62">SUM(F184:F191)</f>
        <v>0</v>
      </c>
      <c r="G192" s="7">
        <f t="shared" si="62"/>
        <v>0</v>
      </c>
      <c r="H192" s="7">
        <f t="shared" si="62"/>
        <v>0</v>
      </c>
      <c r="I192" s="7">
        <f t="shared" si="62"/>
        <v>0</v>
      </c>
      <c r="J192" s="7">
        <f t="shared" si="62"/>
        <v>25650091</v>
      </c>
      <c r="K192" s="114">
        <f t="shared" si="62"/>
        <v>6692645</v>
      </c>
      <c r="L192" s="7">
        <f t="shared" si="62"/>
        <v>18957446</v>
      </c>
    </row>
    <row r="193" spans="1:12" x14ac:dyDescent="0.25">
      <c r="A193" s="258"/>
      <c r="B193" s="253"/>
      <c r="C193" s="10" t="s">
        <v>56</v>
      </c>
      <c r="D193" s="3">
        <v>0</v>
      </c>
      <c r="E193" s="3">
        <v>0</v>
      </c>
      <c r="F193" s="3"/>
      <c r="G193" s="3"/>
      <c r="H193" s="3"/>
      <c r="I193" s="3"/>
      <c r="J193" s="3">
        <f t="shared" ref="J193:J195" si="63">E193+F193+G193+H193+I193</f>
        <v>0</v>
      </c>
      <c r="K193" s="112">
        <v>0</v>
      </c>
      <c r="L193" s="3">
        <f t="shared" ref="L193:L195" si="64">J193-K193</f>
        <v>0</v>
      </c>
    </row>
    <row r="194" spans="1:12" x14ac:dyDescent="0.25">
      <c r="A194" s="258"/>
      <c r="B194" s="253"/>
      <c r="C194" s="10" t="s">
        <v>50</v>
      </c>
      <c r="D194" s="3">
        <v>3740</v>
      </c>
      <c r="E194" s="3">
        <v>3740</v>
      </c>
      <c r="F194" s="3"/>
      <c r="G194" s="3"/>
      <c r="H194" s="3"/>
      <c r="I194" s="3"/>
      <c r="J194" s="3">
        <f t="shared" si="63"/>
        <v>3740</v>
      </c>
      <c r="K194" s="112">
        <v>0</v>
      </c>
      <c r="L194" s="3">
        <f t="shared" si="64"/>
        <v>3740</v>
      </c>
    </row>
    <row r="195" spans="1:12" x14ac:dyDescent="0.25">
      <c r="A195" s="258"/>
      <c r="B195" s="253"/>
      <c r="C195" s="10" t="s">
        <v>51</v>
      </c>
      <c r="D195" s="3">
        <v>1010</v>
      </c>
      <c r="E195" s="3">
        <v>1010</v>
      </c>
      <c r="F195" s="3"/>
      <c r="G195" s="3"/>
      <c r="H195" s="3"/>
      <c r="I195" s="3"/>
      <c r="J195" s="3">
        <f t="shared" si="63"/>
        <v>1010</v>
      </c>
      <c r="K195" s="112">
        <v>0</v>
      </c>
      <c r="L195" s="3">
        <f t="shared" si="64"/>
        <v>1010</v>
      </c>
    </row>
    <row r="196" spans="1:12" x14ac:dyDescent="0.25">
      <c r="A196" s="258"/>
      <c r="B196" s="253"/>
      <c r="C196" s="6" t="s">
        <v>52</v>
      </c>
      <c r="D196" s="7">
        <f>SUM(D193:D195)</f>
        <v>4750</v>
      </c>
      <c r="E196" s="7">
        <f>SUM(E193:E195)</f>
        <v>4750</v>
      </c>
      <c r="F196" s="7">
        <f t="shared" ref="F196:L196" si="65">SUM(F193:F195)</f>
        <v>0</v>
      </c>
      <c r="G196" s="7">
        <f t="shared" si="65"/>
        <v>0</v>
      </c>
      <c r="H196" s="7">
        <f t="shared" si="65"/>
        <v>0</v>
      </c>
      <c r="I196" s="7">
        <f t="shared" si="65"/>
        <v>0</v>
      </c>
      <c r="J196" s="7">
        <f t="shared" si="65"/>
        <v>4750</v>
      </c>
      <c r="K196" s="114">
        <f t="shared" si="65"/>
        <v>0</v>
      </c>
      <c r="L196" s="7">
        <f t="shared" si="65"/>
        <v>4750</v>
      </c>
    </row>
    <row r="197" spans="1:12" x14ac:dyDescent="0.25">
      <c r="A197" s="258"/>
      <c r="B197" s="254"/>
      <c r="C197" s="10" t="s">
        <v>57</v>
      </c>
      <c r="D197" s="3">
        <v>0</v>
      </c>
      <c r="E197" s="3">
        <v>10500000</v>
      </c>
      <c r="F197" s="3"/>
      <c r="G197" s="3"/>
      <c r="H197" s="3"/>
      <c r="I197" s="3"/>
      <c r="J197" s="3">
        <f t="shared" ref="J197" si="66">E197+F197+G197+H197+I197</f>
        <v>10500000</v>
      </c>
      <c r="K197" s="112">
        <v>10500000</v>
      </c>
      <c r="L197" s="3">
        <f t="shared" ref="L197" si="67">J197-K197</f>
        <v>0</v>
      </c>
    </row>
    <row r="198" spans="1:12" x14ac:dyDescent="0.25">
      <c r="A198" s="353" t="s">
        <v>81</v>
      </c>
      <c r="B198" s="354"/>
      <c r="C198" s="355"/>
      <c r="D198" s="126">
        <f>SUM(D182+D183+D192+D196+D197)</f>
        <v>60094558</v>
      </c>
      <c r="E198" s="126">
        <f t="shared" ref="E198:L198" si="68">SUM(E182+E183+E192+E196+E197)</f>
        <v>60094558</v>
      </c>
      <c r="F198" s="126">
        <f t="shared" si="68"/>
        <v>0</v>
      </c>
      <c r="G198" s="126">
        <f t="shared" si="68"/>
        <v>0</v>
      </c>
      <c r="H198" s="126">
        <f t="shared" si="68"/>
        <v>0</v>
      </c>
      <c r="I198" s="126">
        <f t="shared" si="68"/>
        <v>0</v>
      </c>
      <c r="J198" s="126">
        <f t="shared" si="68"/>
        <v>60094558</v>
      </c>
      <c r="K198" s="128">
        <f t="shared" si="68"/>
        <v>23603541</v>
      </c>
      <c r="L198" s="126">
        <f t="shared" si="68"/>
        <v>36491017</v>
      </c>
    </row>
    <row r="199" spans="1:12" x14ac:dyDescent="0.25">
      <c r="A199" s="256" t="s">
        <v>85</v>
      </c>
      <c r="B199" s="252" t="s">
        <v>46</v>
      </c>
      <c r="C199" s="12" t="s">
        <v>24</v>
      </c>
      <c r="D199" s="3">
        <v>9880165</v>
      </c>
      <c r="E199" s="3">
        <v>9662762</v>
      </c>
      <c r="F199" s="3"/>
      <c r="G199" s="3"/>
      <c r="H199" s="3"/>
      <c r="I199" s="3"/>
      <c r="J199" s="20">
        <f t="shared" ref="J199:J204" si="69">E199+F199+G199+H199+I199</f>
        <v>9662762</v>
      </c>
      <c r="K199" s="112">
        <v>4460055</v>
      </c>
      <c r="L199" s="3">
        <f t="shared" ref="L199:L204" si="70">J199-K199</f>
        <v>5202707</v>
      </c>
    </row>
    <row r="200" spans="1:12" x14ac:dyDescent="0.25">
      <c r="A200" s="256"/>
      <c r="B200" s="253"/>
      <c r="C200" s="12" t="s">
        <v>25</v>
      </c>
      <c r="D200" s="3">
        <v>400000</v>
      </c>
      <c r="E200" s="3">
        <v>400000</v>
      </c>
      <c r="F200" s="3"/>
      <c r="G200" s="3"/>
      <c r="H200" s="3"/>
      <c r="I200" s="3"/>
      <c r="J200" s="20">
        <f t="shared" si="69"/>
        <v>400000</v>
      </c>
      <c r="K200" s="112">
        <v>200000</v>
      </c>
      <c r="L200" s="3">
        <f t="shared" si="70"/>
        <v>200000</v>
      </c>
    </row>
    <row r="201" spans="1:12" x14ac:dyDescent="0.25">
      <c r="A201" s="256"/>
      <c r="B201" s="253"/>
      <c r="C201" s="12" t="s">
        <v>26</v>
      </c>
      <c r="D201" s="3">
        <v>20000</v>
      </c>
      <c r="E201" s="3">
        <v>20000</v>
      </c>
      <c r="F201" s="3"/>
      <c r="G201" s="3"/>
      <c r="H201" s="3"/>
      <c r="I201" s="3"/>
      <c r="J201" s="20">
        <f t="shared" si="69"/>
        <v>20000</v>
      </c>
      <c r="K201" s="112">
        <v>0</v>
      </c>
      <c r="L201" s="3">
        <f t="shared" si="70"/>
        <v>20000</v>
      </c>
    </row>
    <row r="202" spans="1:12" x14ac:dyDescent="0.25">
      <c r="A202" s="256"/>
      <c r="B202" s="253"/>
      <c r="C202" s="2" t="s">
        <v>27</v>
      </c>
      <c r="D202" s="3">
        <v>75000</v>
      </c>
      <c r="E202" s="3">
        <v>75000</v>
      </c>
      <c r="F202" s="3">
        <v>5202</v>
      </c>
      <c r="G202" s="3"/>
      <c r="H202" s="3"/>
      <c r="I202" s="3"/>
      <c r="J202" s="20">
        <f t="shared" si="69"/>
        <v>80202</v>
      </c>
      <c r="K202" s="112">
        <v>5202</v>
      </c>
      <c r="L202" s="3">
        <f t="shared" si="70"/>
        <v>75000</v>
      </c>
    </row>
    <row r="203" spans="1:12" x14ac:dyDescent="0.25">
      <c r="A203" s="256"/>
      <c r="B203" s="253"/>
      <c r="C203" s="2" t="s">
        <v>28</v>
      </c>
      <c r="D203" s="3">
        <v>48000</v>
      </c>
      <c r="E203" s="3">
        <v>48000</v>
      </c>
      <c r="F203" s="3"/>
      <c r="G203" s="3"/>
      <c r="H203" s="3"/>
      <c r="I203" s="3"/>
      <c r="J203" s="20">
        <f t="shared" si="69"/>
        <v>48000</v>
      </c>
      <c r="K203" s="112">
        <v>24000</v>
      </c>
      <c r="L203" s="3">
        <f t="shared" si="70"/>
        <v>24000</v>
      </c>
    </row>
    <row r="204" spans="1:12" x14ac:dyDescent="0.25">
      <c r="A204" s="256"/>
      <c r="B204" s="253"/>
      <c r="C204" s="2" t="s">
        <v>29</v>
      </c>
      <c r="D204" s="3">
        <v>264000</v>
      </c>
      <c r="E204" s="3">
        <v>481403</v>
      </c>
      <c r="F204" s="3"/>
      <c r="G204" s="3"/>
      <c r="H204" s="3"/>
      <c r="I204" s="3"/>
      <c r="J204" s="20">
        <f t="shared" si="69"/>
        <v>481403</v>
      </c>
      <c r="K204" s="112">
        <v>325203</v>
      </c>
      <c r="L204" s="3">
        <f t="shared" si="70"/>
        <v>156200</v>
      </c>
    </row>
    <row r="205" spans="1:12" x14ac:dyDescent="0.25">
      <c r="A205" s="256"/>
      <c r="B205" s="253"/>
      <c r="C205" s="26" t="s">
        <v>53</v>
      </c>
      <c r="D205" s="7">
        <f>SUM(D199:D204)</f>
        <v>10687165</v>
      </c>
      <c r="E205" s="7">
        <f>SUM(E199:E204)</f>
        <v>10687165</v>
      </c>
      <c r="F205" s="7">
        <f t="shared" ref="F205:L205" si="71">SUM(F199:F204)</f>
        <v>5202</v>
      </c>
      <c r="G205" s="7">
        <f t="shared" si="71"/>
        <v>0</v>
      </c>
      <c r="H205" s="7">
        <f t="shared" si="71"/>
        <v>0</v>
      </c>
      <c r="I205" s="7">
        <f t="shared" si="71"/>
        <v>0</v>
      </c>
      <c r="J205" s="7">
        <f t="shared" si="71"/>
        <v>10692367</v>
      </c>
      <c r="K205" s="114">
        <f t="shared" si="71"/>
        <v>5014460</v>
      </c>
      <c r="L205" s="7">
        <f t="shared" si="71"/>
        <v>5677907</v>
      </c>
    </row>
    <row r="206" spans="1:12" x14ac:dyDescent="0.25">
      <c r="A206" s="256"/>
      <c r="B206" s="253"/>
      <c r="C206" s="90" t="s">
        <v>31</v>
      </c>
      <c r="D206" s="91">
        <v>2120857</v>
      </c>
      <c r="E206" s="91">
        <v>2120857</v>
      </c>
      <c r="F206" s="92"/>
      <c r="G206" s="92"/>
      <c r="H206" s="92"/>
      <c r="I206" s="92"/>
      <c r="J206" s="88">
        <f t="shared" ref="J206:J213" si="72">E206+F206+G206+H206+I206</f>
        <v>2120857</v>
      </c>
      <c r="K206" s="115">
        <v>994251</v>
      </c>
      <c r="L206" s="89">
        <f t="shared" ref="L206:L213" si="73">J206-K206</f>
        <v>1126606</v>
      </c>
    </row>
    <row r="207" spans="1:12" x14ac:dyDescent="0.25">
      <c r="A207" s="256"/>
      <c r="B207" s="253"/>
      <c r="C207" s="103" t="s">
        <v>33</v>
      </c>
      <c r="D207" s="104">
        <v>0</v>
      </c>
      <c r="E207" s="104">
        <v>186928</v>
      </c>
      <c r="F207" s="104"/>
      <c r="G207" s="104"/>
      <c r="H207" s="104"/>
      <c r="I207" s="104"/>
      <c r="J207" s="20">
        <f t="shared" si="72"/>
        <v>186928</v>
      </c>
      <c r="K207" s="118">
        <v>30769</v>
      </c>
      <c r="L207" s="3">
        <f t="shared" si="73"/>
        <v>156159</v>
      </c>
    </row>
    <row r="208" spans="1:12" x14ac:dyDescent="0.25">
      <c r="A208" s="256"/>
      <c r="B208" s="253"/>
      <c r="C208" s="46" t="s">
        <v>35</v>
      </c>
      <c r="D208" s="47">
        <v>0</v>
      </c>
      <c r="E208" s="47">
        <v>172800</v>
      </c>
      <c r="F208" s="47"/>
      <c r="G208" s="47"/>
      <c r="H208" s="47"/>
      <c r="I208" s="47"/>
      <c r="J208" s="20">
        <f t="shared" si="72"/>
        <v>172800</v>
      </c>
      <c r="K208" s="118">
        <v>22812</v>
      </c>
      <c r="L208" s="3">
        <f t="shared" si="73"/>
        <v>149988</v>
      </c>
    </row>
    <row r="209" spans="1:12" x14ac:dyDescent="0.25">
      <c r="A209" s="256"/>
      <c r="B209" s="253"/>
      <c r="C209" s="102" t="s">
        <v>38</v>
      </c>
      <c r="D209" s="47">
        <v>0</v>
      </c>
      <c r="E209" s="47">
        <v>3500</v>
      </c>
      <c r="F209" s="47"/>
      <c r="G209" s="47"/>
      <c r="H209" s="47"/>
      <c r="I209" s="47"/>
      <c r="J209" s="20">
        <f t="shared" si="72"/>
        <v>3500</v>
      </c>
      <c r="K209" s="118">
        <v>3500</v>
      </c>
      <c r="L209" s="3">
        <f t="shared" si="73"/>
        <v>0</v>
      </c>
    </row>
    <row r="210" spans="1:12" x14ac:dyDescent="0.25">
      <c r="A210" s="256"/>
      <c r="B210" s="253"/>
      <c r="C210" s="135" t="s">
        <v>41</v>
      </c>
      <c r="D210" s="47">
        <v>0</v>
      </c>
      <c r="E210" s="47">
        <v>0</v>
      </c>
      <c r="F210" s="47">
        <v>1685</v>
      </c>
      <c r="G210" s="47"/>
      <c r="H210" s="47"/>
      <c r="I210" s="47"/>
      <c r="J210" s="20">
        <f t="shared" si="72"/>
        <v>1685</v>
      </c>
      <c r="K210" s="118">
        <v>1685</v>
      </c>
      <c r="L210" s="3">
        <f t="shared" si="73"/>
        <v>0</v>
      </c>
    </row>
    <row r="211" spans="1:12" x14ac:dyDescent="0.25">
      <c r="A211" s="256"/>
      <c r="B211" s="253"/>
      <c r="C211" s="46" t="s">
        <v>42</v>
      </c>
      <c r="D211" s="47">
        <v>0</v>
      </c>
      <c r="E211" s="47">
        <v>64600</v>
      </c>
      <c r="F211" s="47">
        <v>7285</v>
      </c>
      <c r="G211" s="47"/>
      <c r="H211" s="47"/>
      <c r="I211" s="47"/>
      <c r="J211" s="20">
        <f t="shared" si="72"/>
        <v>71885</v>
      </c>
      <c r="K211" s="118">
        <v>71885</v>
      </c>
      <c r="L211" s="3">
        <f t="shared" si="73"/>
        <v>0</v>
      </c>
    </row>
    <row r="212" spans="1:12" x14ac:dyDescent="0.25">
      <c r="A212" s="256"/>
      <c r="B212" s="253"/>
      <c r="C212" s="46" t="s">
        <v>44</v>
      </c>
      <c r="D212" s="47">
        <v>0</v>
      </c>
      <c r="E212" s="47">
        <v>111556</v>
      </c>
      <c r="F212" s="47"/>
      <c r="G212" s="47"/>
      <c r="H212" s="47"/>
      <c r="I212" s="47"/>
      <c r="J212" s="20">
        <f t="shared" si="72"/>
        <v>111556</v>
      </c>
      <c r="K212" s="118">
        <v>35641</v>
      </c>
      <c r="L212" s="3">
        <f t="shared" si="73"/>
        <v>75915</v>
      </c>
    </row>
    <row r="213" spans="1:12" x14ac:dyDescent="0.25">
      <c r="A213" s="256"/>
      <c r="B213" s="253"/>
      <c r="C213" s="46" t="s">
        <v>45</v>
      </c>
      <c r="D213" s="47">
        <v>0</v>
      </c>
      <c r="E213" s="47">
        <v>276854</v>
      </c>
      <c r="F213" s="47"/>
      <c r="G213" s="47"/>
      <c r="H213" s="47"/>
      <c r="I213" s="47"/>
      <c r="J213" s="20">
        <f t="shared" si="72"/>
        <v>276854</v>
      </c>
      <c r="K213" s="118">
        <v>184479</v>
      </c>
      <c r="L213" s="60">
        <f t="shared" si="73"/>
        <v>92375</v>
      </c>
    </row>
    <row r="214" spans="1:12" x14ac:dyDescent="0.25">
      <c r="A214" s="257"/>
      <c r="B214" s="254"/>
      <c r="C214" s="49" t="s">
        <v>49</v>
      </c>
      <c r="D214" s="50">
        <f>SUM(D207:D213)</f>
        <v>0</v>
      </c>
      <c r="E214" s="50">
        <f>SUM(E207:E213)</f>
        <v>816238</v>
      </c>
      <c r="F214" s="50">
        <f t="shared" ref="F214:L214" si="74">SUM(F207:F213)</f>
        <v>8970</v>
      </c>
      <c r="G214" s="50">
        <f t="shared" si="74"/>
        <v>0</v>
      </c>
      <c r="H214" s="50">
        <f t="shared" si="74"/>
        <v>0</v>
      </c>
      <c r="I214" s="50">
        <f t="shared" si="74"/>
        <v>0</v>
      </c>
      <c r="J214" s="50">
        <f t="shared" si="74"/>
        <v>825208</v>
      </c>
      <c r="K214" s="119">
        <f>SUM(K207:K213)</f>
        <v>350771</v>
      </c>
      <c r="L214" s="50">
        <f t="shared" si="74"/>
        <v>474437</v>
      </c>
    </row>
    <row r="215" spans="1:12" x14ac:dyDescent="0.25">
      <c r="A215" s="258" t="s">
        <v>68</v>
      </c>
      <c r="B215" s="267" t="s">
        <v>46</v>
      </c>
      <c r="C215" s="16" t="s">
        <v>24</v>
      </c>
      <c r="D215" s="17">
        <v>2501556</v>
      </c>
      <c r="E215" s="17">
        <v>2501556</v>
      </c>
      <c r="F215" s="17"/>
      <c r="G215" s="17"/>
      <c r="H215" s="17"/>
      <c r="I215" s="17"/>
      <c r="J215" s="20">
        <f>E215+F215+G215+H215+I215</f>
        <v>2501556</v>
      </c>
      <c r="K215" s="112">
        <v>1243248</v>
      </c>
      <c r="L215" s="3">
        <f t="shared" ref="L215:L216" si="75">J215-K215</f>
        <v>1258308</v>
      </c>
    </row>
    <row r="216" spans="1:12" x14ac:dyDescent="0.25">
      <c r="A216" s="255"/>
      <c r="B216" s="261"/>
      <c r="C216" s="18" t="s">
        <v>31</v>
      </c>
      <c r="D216" s="19">
        <v>466569</v>
      </c>
      <c r="E216" s="19">
        <v>466569</v>
      </c>
      <c r="F216" s="19"/>
      <c r="G216" s="19"/>
      <c r="H216" s="19"/>
      <c r="I216" s="19"/>
      <c r="J216" s="20">
        <f t="shared" ref="J216" si="76">E216+F216+G216+H216+I216</f>
        <v>466569</v>
      </c>
      <c r="K216" s="112">
        <v>242430</v>
      </c>
      <c r="L216" s="3">
        <f t="shared" si="75"/>
        <v>224139</v>
      </c>
    </row>
    <row r="217" spans="1:12" x14ac:dyDescent="0.25">
      <c r="A217" s="353" t="s">
        <v>82</v>
      </c>
      <c r="B217" s="354"/>
      <c r="C217" s="355"/>
      <c r="D217" s="129">
        <f>SUM(D205+D206+D215+D216+D214)</f>
        <v>15776147</v>
      </c>
      <c r="E217" s="129">
        <f>SUM(E205+E206+E215+E216+E214)</f>
        <v>16592385</v>
      </c>
      <c r="F217" s="129">
        <f t="shared" ref="F217:I217" si="77">SUM(F205+F206+F215+F216+F214)</f>
        <v>14172</v>
      </c>
      <c r="G217" s="129">
        <f t="shared" si="77"/>
        <v>0</v>
      </c>
      <c r="H217" s="129">
        <f t="shared" si="77"/>
        <v>0</v>
      </c>
      <c r="I217" s="129">
        <f t="shared" si="77"/>
        <v>0</v>
      </c>
      <c r="J217" s="129">
        <f>SUM(J205+J206+J215+J216+J214)</f>
        <v>16606557</v>
      </c>
      <c r="K217" s="130">
        <f>SUM(K205+K206+K215+K216+K214)</f>
        <v>7845160</v>
      </c>
      <c r="L217" s="131">
        <f>SUM(L205+L206+L215+L216+L214)</f>
        <v>8761397</v>
      </c>
    </row>
    <row r="218" spans="1:12" ht="30.75" customHeight="1" x14ac:dyDescent="0.25">
      <c r="A218" s="357" t="s">
        <v>74</v>
      </c>
      <c r="B218" s="358"/>
      <c r="C218" s="359"/>
      <c r="D218" s="132">
        <f t="shared" ref="D218:E218" si="78">SUM(D88+D113+D135+D156+D179+D198+D217)</f>
        <v>230443641</v>
      </c>
      <c r="E218" s="132">
        <f t="shared" si="78"/>
        <v>230521849</v>
      </c>
      <c r="F218" s="132">
        <f t="shared" ref="F218:K218" si="79">SUM(F88+F113+F135+F156+F179+F198+F217)</f>
        <v>0</v>
      </c>
      <c r="G218" s="132">
        <f t="shared" si="79"/>
        <v>0</v>
      </c>
      <c r="H218" s="132">
        <f t="shared" si="79"/>
        <v>0</v>
      </c>
      <c r="I218" s="132">
        <f t="shared" si="79"/>
        <v>0</v>
      </c>
      <c r="J218" s="132">
        <f t="shared" si="79"/>
        <v>230521849</v>
      </c>
      <c r="K218" s="133">
        <f t="shared" si="79"/>
        <v>98745308</v>
      </c>
      <c r="L218" s="132">
        <f>SUM(L88+L113+L135+L156+L179+L198+L217)</f>
        <v>131776541</v>
      </c>
    </row>
    <row r="219" spans="1:12" x14ac:dyDescent="0.25">
      <c r="B219" s="5"/>
      <c r="E219" s="4"/>
      <c r="F219" s="4"/>
      <c r="G219" s="4"/>
      <c r="H219" s="4"/>
      <c r="I219" s="4"/>
      <c r="J219" s="4"/>
      <c r="K219" s="111"/>
    </row>
    <row r="220" spans="1:12" x14ac:dyDescent="0.25">
      <c r="B220" s="5"/>
      <c r="E220" s="4"/>
      <c r="F220" s="4"/>
      <c r="G220" s="4"/>
      <c r="H220" s="4"/>
      <c r="I220" s="4"/>
      <c r="J220" s="4"/>
      <c r="K220" s="111"/>
    </row>
    <row r="221" spans="1:12" x14ac:dyDescent="0.25">
      <c r="B221" s="5"/>
      <c r="E221" s="4"/>
      <c r="F221" s="4"/>
      <c r="G221" s="4"/>
      <c r="H221" s="4"/>
      <c r="I221" s="4"/>
      <c r="J221" s="4"/>
      <c r="K221" s="111"/>
    </row>
    <row r="222" spans="1:12" x14ac:dyDescent="0.25">
      <c r="B222" s="5"/>
      <c r="E222" s="4"/>
      <c r="F222" s="4"/>
      <c r="G222" s="4"/>
      <c r="H222" s="4"/>
      <c r="I222" s="4"/>
      <c r="J222" s="4"/>
      <c r="K222" s="111"/>
    </row>
    <row r="223" spans="1:12" x14ac:dyDescent="0.25">
      <c r="B223" s="5"/>
      <c r="E223" s="4"/>
      <c r="F223" s="4"/>
      <c r="G223" s="4"/>
      <c r="H223" s="4"/>
      <c r="I223" s="4"/>
      <c r="J223" s="4"/>
      <c r="K223" s="111"/>
    </row>
    <row r="224" spans="1:12" ht="15.75" thickBot="1" x14ac:dyDescent="0.3">
      <c r="B224" s="5"/>
      <c r="E224" s="4"/>
      <c r="F224" s="4"/>
      <c r="G224" s="134">
        <v>43646</v>
      </c>
      <c r="H224" s="4"/>
      <c r="I224" s="4"/>
      <c r="J224" s="4"/>
      <c r="K224" s="111"/>
    </row>
    <row r="225" spans="1:11" ht="15.75" thickTop="1" x14ac:dyDescent="0.25">
      <c r="A225" s="250" t="s">
        <v>83</v>
      </c>
      <c r="B225" s="250"/>
      <c r="C225" s="250"/>
      <c r="D225" s="250"/>
      <c r="E225" s="250"/>
      <c r="F225" s="250"/>
      <c r="G225" s="250"/>
      <c r="H225" s="250"/>
      <c r="I225" s="250"/>
      <c r="J225" s="250"/>
      <c r="K225" s="250"/>
    </row>
    <row r="226" spans="1:11" s="79" customFormat="1" ht="33.75" customHeight="1" x14ac:dyDescent="0.25">
      <c r="A226" s="298" t="s">
        <v>0</v>
      </c>
      <c r="B226" s="299"/>
      <c r="C226" s="75" t="s">
        <v>3</v>
      </c>
      <c r="D226" s="75" t="s">
        <v>4</v>
      </c>
      <c r="E226" s="77" t="s">
        <v>96</v>
      </c>
      <c r="F226" s="76" t="s">
        <v>70</v>
      </c>
      <c r="G226" s="109" t="s">
        <v>71</v>
      </c>
      <c r="H226" s="110" t="s">
        <v>71</v>
      </c>
      <c r="I226" s="77" t="s">
        <v>71</v>
      </c>
      <c r="J226" s="77" t="s">
        <v>107</v>
      </c>
      <c r="K226" s="78" t="s">
        <v>108</v>
      </c>
    </row>
    <row r="227" spans="1:11" x14ac:dyDescent="0.25">
      <c r="A227" s="300"/>
      <c r="B227" s="301"/>
      <c r="C227" s="33" t="s">
        <v>16</v>
      </c>
      <c r="D227" s="61">
        <f t="shared" ref="D227:K228" si="80">D5+D14+D16+D18+D20+D22</f>
        <v>117230959</v>
      </c>
      <c r="E227" s="61">
        <f t="shared" si="80"/>
        <v>117297167</v>
      </c>
      <c r="F227" s="61">
        <f t="shared" si="80"/>
        <v>0</v>
      </c>
      <c r="G227" s="61">
        <f t="shared" si="80"/>
        <v>0</v>
      </c>
      <c r="H227" s="61">
        <f t="shared" si="80"/>
        <v>0</v>
      </c>
      <c r="I227" s="61">
        <f t="shared" si="80"/>
        <v>0</v>
      </c>
      <c r="J227" s="61">
        <f t="shared" si="80"/>
        <v>117297167</v>
      </c>
      <c r="K227" s="61">
        <f t="shared" si="80"/>
        <v>42914353</v>
      </c>
    </row>
    <row r="228" spans="1:11" x14ac:dyDescent="0.25">
      <c r="A228" s="300"/>
      <c r="B228" s="301"/>
      <c r="C228" s="33" t="s">
        <v>17</v>
      </c>
      <c r="D228" s="61">
        <f t="shared" si="80"/>
        <v>16012810</v>
      </c>
      <c r="E228" s="61">
        <f t="shared" si="80"/>
        <v>16012810</v>
      </c>
      <c r="F228" s="61">
        <f t="shared" si="80"/>
        <v>0</v>
      </c>
      <c r="G228" s="61">
        <f t="shared" si="80"/>
        <v>0</v>
      </c>
      <c r="H228" s="61">
        <f t="shared" si="80"/>
        <v>0</v>
      </c>
      <c r="I228" s="61">
        <f t="shared" si="80"/>
        <v>0</v>
      </c>
      <c r="J228" s="61">
        <f t="shared" si="80"/>
        <v>16012810</v>
      </c>
      <c r="K228" s="61">
        <f t="shared" si="80"/>
        <v>16012810</v>
      </c>
    </row>
    <row r="229" spans="1:11" x14ac:dyDescent="0.25">
      <c r="A229" s="300"/>
      <c r="B229" s="301"/>
      <c r="C229" s="33" t="s">
        <v>18</v>
      </c>
      <c r="D229" s="61">
        <f t="shared" ref="D229:K231" si="81">D7</f>
        <v>96985672</v>
      </c>
      <c r="E229" s="61">
        <f t="shared" si="81"/>
        <v>96985672</v>
      </c>
      <c r="F229" s="61">
        <f t="shared" si="81"/>
        <v>0</v>
      </c>
      <c r="G229" s="61">
        <f t="shared" si="81"/>
        <v>0</v>
      </c>
      <c r="H229" s="61">
        <f t="shared" si="81"/>
        <v>0</v>
      </c>
      <c r="I229" s="61">
        <f t="shared" si="81"/>
        <v>0</v>
      </c>
      <c r="J229" s="61">
        <f t="shared" si="81"/>
        <v>96985672</v>
      </c>
      <c r="K229" s="61">
        <f t="shared" si="81"/>
        <v>48995943</v>
      </c>
    </row>
    <row r="230" spans="1:11" x14ac:dyDescent="0.25">
      <c r="A230" s="300"/>
      <c r="B230" s="301"/>
      <c r="C230" s="35" t="s">
        <v>22</v>
      </c>
      <c r="D230" s="61">
        <f t="shared" si="81"/>
        <v>200000</v>
      </c>
      <c r="E230" s="61">
        <f t="shared" si="81"/>
        <v>200000</v>
      </c>
      <c r="F230" s="61">
        <f t="shared" si="81"/>
        <v>0</v>
      </c>
      <c r="G230" s="61">
        <f t="shared" si="81"/>
        <v>0</v>
      </c>
      <c r="H230" s="61">
        <f t="shared" si="81"/>
        <v>0</v>
      </c>
      <c r="I230" s="61">
        <f t="shared" si="81"/>
        <v>0</v>
      </c>
      <c r="J230" s="61">
        <f t="shared" si="81"/>
        <v>200000</v>
      </c>
      <c r="K230" s="61">
        <f t="shared" si="81"/>
        <v>0</v>
      </c>
    </row>
    <row r="231" spans="1:11" x14ac:dyDescent="0.25">
      <c r="A231" s="300"/>
      <c r="B231" s="301"/>
      <c r="C231" s="35" t="s">
        <v>19</v>
      </c>
      <c r="D231" s="61">
        <f t="shared" si="81"/>
        <v>13200</v>
      </c>
      <c r="E231" s="61">
        <f t="shared" si="81"/>
        <v>16540</v>
      </c>
      <c r="F231" s="61">
        <f t="shared" si="81"/>
        <v>0</v>
      </c>
      <c r="G231" s="61">
        <f t="shared" si="81"/>
        <v>0</v>
      </c>
      <c r="H231" s="61">
        <f t="shared" si="81"/>
        <v>0</v>
      </c>
      <c r="I231" s="61">
        <f t="shared" si="81"/>
        <v>0</v>
      </c>
      <c r="J231" s="61">
        <f t="shared" si="81"/>
        <v>16540</v>
      </c>
      <c r="K231" s="61">
        <f t="shared" si="81"/>
        <v>5379</v>
      </c>
    </row>
    <row r="232" spans="1:11" x14ac:dyDescent="0.25">
      <c r="A232" s="300"/>
      <c r="B232" s="301"/>
      <c r="C232" s="35" t="s">
        <v>84</v>
      </c>
      <c r="D232" s="61">
        <f>D13+D11</f>
        <v>0</v>
      </c>
      <c r="E232" s="61">
        <f>E13+E11</f>
        <v>9239</v>
      </c>
      <c r="F232" s="61">
        <f t="shared" ref="F232:K232" si="82">F13+F11</f>
        <v>0</v>
      </c>
      <c r="G232" s="61">
        <f t="shared" si="82"/>
        <v>0</v>
      </c>
      <c r="H232" s="61">
        <f t="shared" si="82"/>
        <v>0</v>
      </c>
      <c r="I232" s="61">
        <f t="shared" si="82"/>
        <v>0</v>
      </c>
      <c r="J232" s="61">
        <f>J13+J11</f>
        <v>9239</v>
      </c>
      <c r="K232" s="61">
        <f t="shared" si="82"/>
        <v>3235</v>
      </c>
    </row>
    <row r="233" spans="1:11" x14ac:dyDescent="0.25">
      <c r="A233" s="300"/>
      <c r="B233" s="301"/>
      <c r="C233" s="33" t="s">
        <v>20</v>
      </c>
      <c r="D233" s="61">
        <f>D10+D12</f>
        <v>1000</v>
      </c>
      <c r="E233" s="61">
        <f>E10+E12</f>
        <v>421</v>
      </c>
      <c r="F233" s="61">
        <f t="shared" ref="F233:K233" si="83">F10+F12</f>
        <v>0</v>
      </c>
      <c r="G233" s="61">
        <f t="shared" si="83"/>
        <v>0</v>
      </c>
      <c r="H233" s="61">
        <f t="shared" si="83"/>
        <v>0</v>
      </c>
      <c r="I233" s="61">
        <f t="shared" si="83"/>
        <v>0</v>
      </c>
      <c r="J233" s="61">
        <f t="shared" si="83"/>
        <v>421</v>
      </c>
      <c r="K233" s="61">
        <f t="shared" si="83"/>
        <v>201</v>
      </c>
    </row>
    <row r="234" spans="1:11" x14ac:dyDescent="0.25">
      <c r="A234" s="300"/>
      <c r="B234" s="301"/>
      <c r="C234" s="65" t="s">
        <v>86</v>
      </c>
      <c r="D234" s="66">
        <f>D13+D12+D11+D10+D9</f>
        <v>14200</v>
      </c>
      <c r="E234" s="66">
        <f>E13+E12+E11+E10+E9</f>
        <v>26200</v>
      </c>
      <c r="F234" s="66">
        <f t="shared" ref="F234:K234" si="84">F13+F12+F11+F10+F9</f>
        <v>0</v>
      </c>
      <c r="G234" s="66">
        <f t="shared" si="84"/>
        <v>0</v>
      </c>
      <c r="H234" s="66">
        <f t="shared" si="84"/>
        <v>0</v>
      </c>
      <c r="I234" s="66">
        <f t="shared" si="84"/>
        <v>0</v>
      </c>
      <c r="J234" s="66">
        <f t="shared" si="84"/>
        <v>26200</v>
      </c>
      <c r="K234" s="66">
        <f t="shared" si="84"/>
        <v>8815</v>
      </c>
    </row>
    <row r="235" spans="1:11" x14ac:dyDescent="0.25">
      <c r="A235" s="300"/>
      <c r="B235" s="301"/>
      <c r="C235" s="65" t="s">
        <v>87</v>
      </c>
      <c r="D235" s="66">
        <f>D23+D21+D19+D17+D15+D7+D6</f>
        <v>112998482</v>
      </c>
      <c r="E235" s="66">
        <f>E23+E21+E19+E17+E15+E7+E6</f>
        <v>112998482</v>
      </c>
      <c r="F235" s="66">
        <f t="shared" ref="F235:K235" si="85">F23+F21+F19+F17+F15+F7+F6</f>
        <v>0</v>
      </c>
      <c r="G235" s="66">
        <f t="shared" si="85"/>
        <v>0</v>
      </c>
      <c r="H235" s="66">
        <f t="shared" si="85"/>
        <v>0</v>
      </c>
      <c r="I235" s="66">
        <f t="shared" si="85"/>
        <v>0</v>
      </c>
      <c r="J235" s="66">
        <f t="shared" si="85"/>
        <v>112998482</v>
      </c>
      <c r="K235" s="66">
        <f t="shared" si="85"/>
        <v>65008753</v>
      </c>
    </row>
    <row r="236" spans="1:11" x14ac:dyDescent="0.25">
      <c r="A236" s="300"/>
      <c r="B236" s="301"/>
      <c r="C236" s="65" t="s">
        <v>94</v>
      </c>
      <c r="D236" s="66">
        <f>D5+D6+D7+D8+D9+D10+D11+D12+D13+D14+D15+D16+D17+D18+D19+D20+D21+D22+D23</f>
        <v>230443641</v>
      </c>
      <c r="E236" s="66">
        <f t="shared" ref="E236:K236" si="86">E5+E6+E7+E8+E9+E10+E11+E12+E13+E14+E15+E16+E17+E18+E19+E20+E21+E22+E23</f>
        <v>230521849</v>
      </c>
      <c r="F236" s="66">
        <f t="shared" si="86"/>
        <v>0</v>
      </c>
      <c r="G236" s="66">
        <f t="shared" si="86"/>
        <v>0</v>
      </c>
      <c r="H236" s="66">
        <f t="shared" si="86"/>
        <v>0</v>
      </c>
      <c r="I236" s="66">
        <f t="shared" si="86"/>
        <v>0</v>
      </c>
      <c r="J236" s="66">
        <f t="shared" si="86"/>
        <v>230521849</v>
      </c>
      <c r="K236" s="66">
        <f t="shared" si="86"/>
        <v>107931921</v>
      </c>
    </row>
    <row r="237" spans="1:11" x14ac:dyDescent="0.25">
      <c r="A237" s="300"/>
      <c r="B237" s="301"/>
      <c r="C237" s="33" t="s">
        <v>24</v>
      </c>
      <c r="D237" s="34">
        <f>D89+D111+D114+D133+D136+D154+D157+D177+D199+D215+D180+D86+D84+D52+D25</f>
        <v>128356144</v>
      </c>
      <c r="E237" s="34">
        <f>E89+E111+E114+E133+E136+E154+E157+E177+E199+E215+E180+E86+E84+E52+E25</f>
        <v>127937678</v>
      </c>
      <c r="F237" s="34">
        <f>F89+F111+F114+F133+F136+F154+F157+F177+F199+F215+F180+F86+F84+F52+F25</f>
        <v>-61177</v>
      </c>
      <c r="G237" s="34">
        <f t="shared" ref="G237:I237" si="87">G89+G111+G114+G133+G136+G154+G157+G177+G199+G215+G180+G86+G84+G52+G25</f>
        <v>0</v>
      </c>
      <c r="H237" s="34">
        <f t="shared" si="87"/>
        <v>0</v>
      </c>
      <c r="I237" s="34">
        <f t="shared" si="87"/>
        <v>0</v>
      </c>
      <c r="J237" s="34">
        <f>J89+J111+J114+J133+J136+J154+J157+J177+J199+J215+J180+J86+J84+J52+J25</f>
        <v>127876501</v>
      </c>
      <c r="K237" s="61">
        <f>K215+K199+K180+K177+K157+K154+K136+K133+K114+K111+K89+K86+K84+K52+K25</f>
        <v>58195923</v>
      </c>
    </row>
    <row r="238" spans="1:11" x14ac:dyDescent="0.25">
      <c r="A238" s="300"/>
      <c r="B238" s="301"/>
      <c r="C238" s="33" t="s">
        <v>47</v>
      </c>
      <c r="D238" s="34">
        <f t="shared" ref="D238:K239" si="88">D53</f>
        <v>2040480</v>
      </c>
      <c r="E238" s="34">
        <f t="shared" si="88"/>
        <v>2040480</v>
      </c>
      <c r="F238" s="34">
        <f t="shared" si="88"/>
        <v>0</v>
      </c>
      <c r="G238" s="34">
        <f t="shared" si="88"/>
        <v>0</v>
      </c>
      <c r="H238" s="34">
        <f t="shared" si="88"/>
        <v>0</v>
      </c>
      <c r="I238" s="34">
        <f t="shared" si="88"/>
        <v>0</v>
      </c>
      <c r="J238" s="34">
        <f t="shared" si="88"/>
        <v>2040480</v>
      </c>
      <c r="K238" s="41">
        <f t="shared" si="88"/>
        <v>946537</v>
      </c>
    </row>
    <row r="239" spans="1:11" x14ac:dyDescent="0.25">
      <c r="A239" s="300"/>
      <c r="B239" s="301"/>
      <c r="C239" s="33" t="s">
        <v>48</v>
      </c>
      <c r="D239" s="34">
        <f t="shared" si="88"/>
        <v>0</v>
      </c>
      <c r="E239" s="34">
        <f t="shared" si="88"/>
        <v>0</v>
      </c>
      <c r="F239" s="34">
        <f t="shared" si="88"/>
        <v>0</v>
      </c>
      <c r="G239" s="34">
        <f t="shared" si="88"/>
        <v>0</v>
      </c>
      <c r="H239" s="34">
        <f t="shared" si="88"/>
        <v>0</v>
      </c>
      <c r="I239" s="34">
        <f t="shared" si="88"/>
        <v>0</v>
      </c>
      <c r="J239" s="34">
        <f t="shared" si="88"/>
        <v>0</v>
      </c>
      <c r="K239" s="34">
        <f t="shared" si="88"/>
        <v>0</v>
      </c>
    </row>
    <row r="240" spans="1:11" x14ac:dyDescent="0.25">
      <c r="A240" s="300"/>
      <c r="B240" s="301"/>
      <c r="C240" s="35" t="s">
        <v>25</v>
      </c>
      <c r="D240" s="34">
        <f t="shared" ref="D240:K241" si="89">D200+D158+D137+D115+D90+D55+D26</f>
        <v>3992000</v>
      </c>
      <c r="E240" s="34">
        <f t="shared" si="89"/>
        <v>3992000</v>
      </c>
      <c r="F240" s="34">
        <f t="shared" si="89"/>
        <v>0</v>
      </c>
      <c r="G240" s="34">
        <f t="shared" si="89"/>
        <v>0</v>
      </c>
      <c r="H240" s="34">
        <f t="shared" si="89"/>
        <v>0</v>
      </c>
      <c r="I240" s="34">
        <f t="shared" si="89"/>
        <v>0</v>
      </c>
      <c r="J240" s="34">
        <f t="shared" si="89"/>
        <v>3992000</v>
      </c>
      <c r="K240" s="34">
        <f t="shared" si="89"/>
        <v>1887500</v>
      </c>
    </row>
    <row r="241" spans="1:12" x14ac:dyDescent="0.25">
      <c r="A241" s="300"/>
      <c r="B241" s="301"/>
      <c r="C241" s="35" t="s">
        <v>26</v>
      </c>
      <c r="D241" s="34">
        <f t="shared" si="89"/>
        <v>200000</v>
      </c>
      <c r="E241" s="34">
        <f t="shared" si="89"/>
        <v>200000</v>
      </c>
      <c r="F241" s="34">
        <f t="shared" si="89"/>
        <v>0</v>
      </c>
      <c r="G241" s="34">
        <f t="shared" si="89"/>
        <v>0</v>
      </c>
      <c r="H241" s="34">
        <f t="shared" si="89"/>
        <v>0</v>
      </c>
      <c r="I241" s="34">
        <f t="shared" si="89"/>
        <v>0</v>
      </c>
      <c r="J241" s="34">
        <f t="shared" si="89"/>
        <v>200000</v>
      </c>
      <c r="K241" s="34">
        <f t="shared" si="89"/>
        <v>0</v>
      </c>
    </row>
    <row r="242" spans="1:12" x14ac:dyDescent="0.25">
      <c r="A242" s="300"/>
      <c r="B242" s="301"/>
      <c r="C242" s="33" t="s">
        <v>27</v>
      </c>
      <c r="D242" s="34">
        <f>D202+D139+D92+D57+D28</f>
        <v>1661400</v>
      </c>
      <c r="E242" s="34">
        <f>E202+E139+E92+E57+E28</f>
        <v>1661400</v>
      </c>
      <c r="F242" s="34">
        <f t="shared" ref="F242:J242" si="90">F202+F139+F92+F57+F28</f>
        <v>0</v>
      </c>
      <c r="G242" s="34">
        <f t="shared" si="90"/>
        <v>0</v>
      </c>
      <c r="H242" s="34">
        <f t="shared" si="90"/>
        <v>0</v>
      </c>
      <c r="I242" s="34">
        <f t="shared" si="90"/>
        <v>0</v>
      </c>
      <c r="J242" s="34">
        <f t="shared" si="90"/>
        <v>1661400</v>
      </c>
      <c r="K242" s="34">
        <f>K202+K139+K92+K57+K28</f>
        <v>556852</v>
      </c>
    </row>
    <row r="243" spans="1:12" x14ac:dyDescent="0.25">
      <c r="A243" s="300"/>
      <c r="B243" s="301"/>
      <c r="C243" s="35" t="s">
        <v>28</v>
      </c>
      <c r="D243" s="34">
        <f>D203+D160+D140+D117+D58+D29+D93</f>
        <v>481000</v>
      </c>
      <c r="E243" s="34">
        <f>E203+E160+E140+E117+E58+E29+E93</f>
        <v>481000</v>
      </c>
      <c r="F243" s="34">
        <f t="shared" ref="F243:J243" si="91">F203+F160+F140+F117+F58+F29+F93</f>
        <v>0</v>
      </c>
      <c r="G243" s="34">
        <f t="shared" si="91"/>
        <v>0</v>
      </c>
      <c r="H243" s="34">
        <f t="shared" si="91"/>
        <v>0</v>
      </c>
      <c r="I243" s="34">
        <f t="shared" si="91"/>
        <v>0</v>
      </c>
      <c r="J243" s="34">
        <f t="shared" si="91"/>
        <v>481000</v>
      </c>
      <c r="K243" s="34">
        <f>K203+K160+K140+K117+K58+K29+K93</f>
        <v>222000</v>
      </c>
    </row>
    <row r="244" spans="1:12" x14ac:dyDescent="0.25">
      <c r="A244" s="300"/>
      <c r="B244" s="301"/>
      <c r="C244" s="33" t="s">
        <v>29</v>
      </c>
      <c r="D244" s="34">
        <f>D204+D175+D161+D141+D118+D109+D94+D82+D80+D59+D30+D131</f>
        <v>3451400</v>
      </c>
      <c r="E244" s="34">
        <f>E204+E175+E161+E141+E118+E109+E94+E82+E80+E59+E30+E131</f>
        <v>3925270</v>
      </c>
      <c r="F244" s="34">
        <f>F204+F175+F161+F141+F118+F109+F94+F82+F80+F59+F30+F131</f>
        <v>61177</v>
      </c>
      <c r="G244" s="34">
        <f t="shared" ref="G244:J244" si="92">G204+G175+G161+G141+G118+G109+G94+G82+G80+G59+G30+G131</f>
        <v>0</v>
      </c>
      <c r="H244" s="34">
        <f t="shared" si="92"/>
        <v>0</v>
      </c>
      <c r="I244" s="34">
        <f t="shared" si="92"/>
        <v>0</v>
      </c>
      <c r="J244" s="34">
        <f t="shared" si="92"/>
        <v>3986447</v>
      </c>
      <c r="K244" s="34">
        <f>K204+K175+K161+K141+K118+K109+K94+K82+K80+K59+K30+K131</f>
        <v>1595907</v>
      </c>
    </row>
    <row r="245" spans="1:12" x14ac:dyDescent="0.25">
      <c r="A245" s="300"/>
      <c r="B245" s="301"/>
      <c r="C245" s="35" t="s">
        <v>30</v>
      </c>
      <c r="D245" s="34">
        <f>D162+D142+D119+D60+D31+D181</f>
        <v>200000</v>
      </c>
      <c r="E245" s="34">
        <f t="shared" ref="E245:K245" si="93">E162+E142+E119+E60+E31+E181</f>
        <v>10700000</v>
      </c>
      <c r="F245" s="34">
        <f t="shared" si="93"/>
        <v>0</v>
      </c>
      <c r="G245" s="34">
        <f t="shared" si="93"/>
        <v>0</v>
      </c>
      <c r="H245" s="34">
        <f t="shared" si="93"/>
        <v>0</v>
      </c>
      <c r="I245" s="34">
        <f t="shared" si="93"/>
        <v>0</v>
      </c>
      <c r="J245" s="34">
        <f t="shared" si="93"/>
        <v>10700000</v>
      </c>
      <c r="K245" s="34">
        <f t="shared" si="93"/>
        <v>3000</v>
      </c>
    </row>
    <row r="246" spans="1:12" x14ac:dyDescent="0.25">
      <c r="A246" s="300"/>
      <c r="B246" s="301"/>
      <c r="C246" s="65" t="s">
        <v>53</v>
      </c>
      <c r="D246" s="66">
        <f>D205+D182+D163+D143+D215+D177+D154+D133+D131+D175+D120+D111+D109+D96+D86+D84+D82+D80+D61+D32</f>
        <v>140382424</v>
      </c>
      <c r="E246" s="66">
        <f t="shared" ref="E246:K246" si="94">E205+E182+E163+E143+E215+E177+E154+E133+E131+E175+E120+E111+E109+E96+E86+E84+E82+E80+E61+E32</f>
        <v>150937828</v>
      </c>
      <c r="F246" s="66">
        <f t="shared" si="94"/>
        <v>0</v>
      </c>
      <c r="G246" s="66">
        <f t="shared" si="94"/>
        <v>0</v>
      </c>
      <c r="H246" s="66">
        <f t="shared" si="94"/>
        <v>0</v>
      </c>
      <c r="I246" s="66">
        <f t="shared" si="94"/>
        <v>0</v>
      </c>
      <c r="J246" s="66">
        <f t="shared" si="94"/>
        <v>150937828</v>
      </c>
      <c r="K246" s="66">
        <f t="shared" si="94"/>
        <v>63407719</v>
      </c>
    </row>
    <row r="247" spans="1:12" x14ac:dyDescent="0.25">
      <c r="A247" s="300"/>
      <c r="B247" s="301"/>
      <c r="C247" s="67" t="s">
        <v>31</v>
      </c>
      <c r="D247" s="66">
        <f>D206+D183+D178+D176+D216+D164+D155+D144+D134+D132+D121+D112+D110+D97+D87+D85+D83+D81+D62+D33</f>
        <v>27536677</v>
      </c>
      <c r="E247" s="66">
        <f>E206+E183+E178+E176+E216+E164+E155+E144+E134+E132+E121+E112+E110+E97+E87+E85+E83+E81+E62+E33</f>
        <v>27547481</v>
      </c>
      <c r="F247" s="66">
        <f t="shared" ref="F247:K247" si="95">F206+F183+F178+F176+F216+F164+F155+F144+F134+F132+F121+F112+F110+F97+F87+F85+F83+F81+F62+F33</f>
        <v>0</v>
      </c>
      <c r="G247" s="66">
        <f t="shared" si="95"/>
        <v>0</v>
      </c>
      <c r="H247" s="66">
        <f t="shared" si="95"/>
        <v>0</v>
      </c>
      <c r="I247" s="66">
        <f t="shared" si="95"/>
        <v>0</v>
      </c>
      <c r="J247" s="66">
        <f t="shared" si="95"/>
        <v>27547481</v>
      </c>
      <c r="K247" s="66">
        <f t="shared" si="95"/>
        <v>13984425</v>
      </c>
    </row>
    <row r="248" spans="1:12" x14ac:dyDescent="0.25">
      <c r="A248" s="300"/>
      <c r="B248" s="301"/>
      <c r="C248" s="33" t="s">
        <v>32</v>
      </c>
      <c r="D248" s="34">
        <f>D165+D145+D122+D98+D63+D34</f>
        <v>540000</v>
      </c>
      <c r="E248" s="34">
        <f>E165+E145+E122+E98+E63+E34</f>
        <v>540000</v>
      </c>
      <c r="F248" s="34">
        <f t="shared" ref="F248:K248" si="96">F165+F145+F122+F98+F63+F34</f>
        <v>0</v>
      </c>
      <c r="G248" s="34">
        <f t="shared" si="96"/>
        <v>0</v>
      </c>
      <c r="H248" s="34">
        <f t="shared" si="96"/>
        <v>0</v>
      </c>
      <c r="I248" s="34">
        <f t="shared" si="96"/>
        <v>0</v>
      </c>
      <c r="J248" s="34">
        <f t="shared" si="96"/>
        <v>540000</v>
      </c>
      <c r="K248" s="34">
        <f t="shared" si="96"/>
        <v>49638</v>
      </c>
    </row>
    <row r="249" spans="1:12" x14ac:dyDescent="0.25">
      <c r="A249" s="300"/>
      <c r="B249" s="301"/>
      <c r="C249" s="35" t="s">
        <v>33</v>
      </c>
      <c r="D249" s="34">
        <f>D184+D166+D146+D123+D99+D64+D35+D207</f>
        <v>1700000</v>
      </c>
      <c r="E249" s="34">
        <f t="shared" ref="E249:K249" si="97">E184+E166+E146+E123+E99+E64+E35+E207</f>
        <v>1886928</v>
      </c>
      <c r="F249" s="34">
        <f t="shared" si="97"/>
        <v>0</v>
      </c>
      <c r="G249" s="34">
        <f t="shared" si="97"/>
        <v>0</v>
      </c>
      <c r="H249" s="34">
        <f t="shared" si="97"/>
        <v>0</v>
      </c>
      <c r="I249" s="34">
        <f t="shared" si="97"/>
        <v>0</v>
      </c>
      <c r="J249" s="34">
        <f t="shared" si="97"/>
        <v>1886928</v>
      </c>
      <c r="K249" s="34">
        <f t="shared" si="97"/>
        <v>46583</v>
      </c>
    </row>
    <row r="250" spans="1:12" x14ac:dyDescent="0.25">
      <c r="A250" s="300"/>
      <c r="B250" s="301"/>
      <c r="C250" s="33" t="s">
        <v>34</v>
      </c>
      <c r="D250" s="34">
        <f>D167+D147+D124+D100+D65+D36</f>
        <v>1036000</v>
      </c>
      <c r="E250" s="34">
        <f>E167+E147+E124+E100+E65+E36</f>
        <v>988000</v>
      </c>
      <c r="F250" s="34">
        <f t="shared" ref="F250:K250" si="98">F167+F147+F124+F100+F65+F36</f>
        <v>0</v>
      </c>
      <c r="G250" s="34">
        <f t="shared" si="98"/>
        <v>0</v>
      </c>
      <c r="H250" s="34">
        <f t="shared" si="98"/>
        <v>0</v>
      </c>
      <c r="I250" s="34">
        <f t="shared" si="98"/>
        <v>0</v>
      </c>
      <c r="J250" s="34">
        <f t="shared" si="98"/>
        <v>988000</v>
      </c>
      <c r="K250" s="34">
        <f t="shared" si="98"/>
        <v>122377</v>
      </c>
    </row>
    <row r="251" spans="1:12" x14ac:dyDescent="0.25">
      <c r="A251" s="300"/>
      <c r="B251" s="301"/>
      <c r="C251" s="33" t="s">
        <v>35</v>
      </c>
      <c r="D251" s="34">
        <f>D208+D168+D101+D66+D37</f>
        <v>610000</v>
      </c>
      <c r="E251" s="34">
        <f>E208+E168+E101+E66+E37</f>
        <v>617000</v>
      </c>
      <c r="F251" s="34">
        <f t="shared" ref="F251:K251" si="99">F208+F168+F101+F66+F37</f>
        <v>0</v>
      </c>
      <c r="G251" s="34">
        <f t="shared" si="99"/>
        <v>0</v>
      </c>
      <c r="H251" s="34">
        <f t="shared" si="99"/>
        <v>0</v>
      </c>
      <c r="I251" s="34">
        <f t="shared" si="99"/>
        <v>0</v>
      </c>
      <c r="J251" s="34">
        <f t="shared" si="99"/>
        <v>617000</v>
      </c>
      <c r="K251" s="34">
        <f t="shared" si="99"/>
        <v>111690</v>
      </c>
    </row>
    <row r="252" spans="1:12" x14ac:dyDescent="0.25">
      <c r="A252" s="300"/>
      <c r="B252" s="301"/>
      <c r="C252" s="33" t="s">
        <v>36</v>
      </c>
      <c r="D252" s="34">
        <f>D102+D67+D38</f>
        <v>1739080</v>
      </c>
      <c r="E252" s="34">
        <f>E102+E67+E38</f>
        <v>1739080</v>
      </c>
      <c r="F252" s="34">
        <f t="shared" ref="F252:K252" si="100">F102+F67+F38</f>
        <v>0</v>
      </c>
      <c r="G252" s="34">
        <f t="shared" si="100"/>
        <v>0</v>
      </c>
      <c r="H252" s="34">
        <f t="shared" si="100"/>
        <v>0</v>
      </c>
      <c r="I252" s="34">
        <f t="shared" si="100"/>
        <v>0</v>
      </c>
      <c r="J252" s="34">
        <f t="shared" si="100"/>
        <v>1739080</v>
      </c>
      <c r="K252" s="34">
        <f t="shared" si="100"/>
        <v>1025837</v>
      </c>
    </row>
    <row r="253" spans="1:12" x14ac:dyDescent="0.25">
      <c r="A253" s="300"/>
      <c r="B253" s="301"/>
      <c r="C253" s="73" t="s">
        <v>37</v>
      </c>
      <c r="D253" s="61">
        <f>D185+D68+D39</f>
        <v>356000</v>
      </c>
      <c r="E253" s="61">
        <f>E185+E68+E39</f>
        <v>356000</v>
      </c>
      <c r="F253" s="61">
        <f t="shared" ref="F253:J253" si="101">F185+F68+F39</f>
        <v>0</v>
      </c>
      <c r="G253" s="61">
        <f t="shared" si="101"/>
        <v>0</v>
      </c>
      <c r="H253" s="61">
        <f t="shared" si="101"/>
        <v>0</v>
      </c>
      <c r="I253" s="61">
        <f t="shared" si="101"/>
        <v>0</v>
      </c>
      <c r="J253" s="61">
        <f t="shared" si="101"/>
        <v>356000</v>
      </c>
      <c r="K253" s="61">
        <f>K185+K68+K39</f>
        <v>0</v>
      </c>
      <c r="L253" s="74"/>
    </row>
    <row r="254" spans="1:12" x14ac:dyDescent="0.25">
      <c r="A254" s="300"/>
      <c r="B254" s="301"/>
      <c r="C254" s="33" t="s">
        <v>38</v>
      </c>
      <c r="D254" s="34">
        <f>D169+D148+D125+D103+D69+D40+D209</f>
        <v>1394000</v>
      </c>
      <c r="E254" s="34">
        <f>E169+E148+E125+E103+E69+E40+E209</f>
        <v>1394000</v>
      </c>
      <c r="F254" s="34">
        <f t="shared" ref="F254:K254" si="102">F169+F148+F125+F103+F69+F40+F209</f>
        <v>0</v>
      </c>
      <c r="G254" s="34">
        <f t="shared" si="102"/>
        <v>0</v>
      </c>
      <c r="H254" s="34">
        <f t="shared" si="102"/>
        <v>0</v>
      </c>
      <c r="I254" s="34">
        <f t="shared" si="102"/>
        <v>0</v>
      </c>
      <c r="J254" s="34">
        <f t="shared" si="102"/>
        <v>1394000</v>
      </c>
      <c r="K254" s="34">
        <f t="shared" si="102"/>
        <v>257054</v>
      </c>
    </row>
    <row r="255" spans="1:12" x14ac:dyDescent="0.25">
      <c r="A255" s="300"/>
      <c r="B255" s="301"/>
      <c r="C255" s="33" t="s">
        <v>39</v>
      </c>
      <c r="D255" s="34">
        <f>D41</f>
        <v>13200</v>
      </c>
      <c r="E255" s="34">
        <f>E41</f>
        <v>16540</v>
      </c>
      <c r="F255" s="34">
        <f t="shared" ref="F255:K255" si="103">F41</f>
        <v>0</v>
      </c>
      <c r="G255" s="34">
        <f t="shared" si="103"/>
        <v>0</v>
      </c>
      <c r="H255" s="34">
        <f t="shared" si="103"/>
        <v>0</v>
      </c>
      <c r="I255" s="34">
        <f t="shared" si="103"/>
        <v>0</v>
      </c>
      <c r="J255" s="34">
        <f t="shared" si="103"/>
        <v>16540</v>
      </c>
      <c r="K255" s="34">
        <f t="shared" si="103"/>
        <v>6420</v>
      </c>
    </row>
    <row r="256" spans="1:12" x14ac:dyDescent="0.25">
      <c r="A256" s="300"/>
      <c r="B256" s="301"/>
      <c r="C256" s="36" t="s">
        <v>40</v>
      </c>
      <c r="D256" s="34">
        <f t="shared" ref="D256:K256" si="104">D186+D170+D149+D126+D104+D70+D42</f>
        <v>16415104</v>
      </c>
      <c r="E256" s="34">
        <f t="shared" si="104"/>
        <v>16415104</v>
      </c>
      <c r="F256" s="34">
        <f t="shared" si="104"/>
        <v>0</v>
      </c>
      <c r="G256" s="34">
        <f t="shared" si="104"/>
        <v>0</v>
      </c>
      <c r="H256" s="34">
        <f t="shared" si="104"/>
        <v>0</v>
      </c>
      <c r="I256" s="34">
        <f t="shared" si="104"/>
        <v>0</v>
      </c>
      <c r="J256" s="34">
        <f t="shared" si="104"/>
        <v>16415104</v>
      </c>
      <c r="K256" s="34">
        <f t="shared" si="104"/>
        <v>311518</v>
      </c>
    </row>
    <row r="257" spans="1:11" x14ac:dyDescent="0.25">
      <c r="A257" s="300"/>
      <c r="B257" s="301"/>
      <c r="C257" s="33" t="s">
        <v>41</v>
      </c>
      <c r="D257" s="34">
        <f>D187+D171+D150+D127+D105+D71+D43+D210</f>
        <v>26876743</v>
      </c>
      <c r="E257" s="34">
        <f t="shared" ref="E257:K257" si="105">E187+E171+E150+E127+E105+E71+E43+E210</f>
        <v>8158686</v>
      </c>
      <c r="F257" s="34">
        <f t="shared" si="105"/>
        <v>12560</v>
      </c>
      <c r="G257" s="34">
        <f t="shared" si="105"/>
        <v>0</v>
      </c>
      <c r="H257" s="34">
        <f t="shared" si="105"/>
        <v>0</v>
      </c>
      <c r="I257" s="34">
        <f t="shared" si="105"/>
        <v>0</v>
      </c>
      <c r="J257" s="34">
        <f t="shared" si="105"/>
        <v>8171246</v>
      </c>
      <c r="K257" s="34">
        <f t="shared" si="105"/>
        <v>6080186</v>
      </c>
    </row>
    <row r="258" spans="1:11" x14ac:dyDescent="0.25">
      <c r="A258" s="300"/>
      <c r="B258" s="301"/>
      <c r="C258" s="35" t="s">
        <v>42</v>
      </c>
      <c r="D258" s="34">
        <f>D211+D188+D172+D151+D128+D106+D72+D44</f>
        <v>2852000</v>
      </c>
      <c r="E258" s="34">
        <f>E211+E188+E172+E151+E128+E106+E72+E44</f>
        <v>2852000</v>
      </c>
      <c r="F258" s="34">
        <f t="shared" ref="F258:K258" si="106">F211+F188+F172+F151+F128+F106+F72+F44</f>
        <v>-12560</v>
      </c>
      <c r="G258" s="34">
        <f t="shared" si="106"/>
        <v>0</v>
      </c>
      <c r="H258" s="34">
        <f t="shared" si="106"/>
        <v>0</v>
      </c>
      <c r="I258" s="34">
        <f t="shared" si="106"/>
        <v>0</v>
      </c>
      <c r="J258" s="34">
        <f t="shared" si="106"/>
        <v>2839440</v>
      </c>
      <c r="K258" s="34">
        <f t="shared" si="106"/>
        <v>864735</v>
      </c>
    </row>
    <row r="259" spans="1:11" x14ac:dyDescent="0.25">
      <c r="A259" s="300"/>
      <c r="B259" s="301"/>
      <c r="C259" s="35" t="s">
        <v>43</v>
      </c>
      <c r="D259" s="34">
        <f>D45+D73+D189</f>
        <v>290000</v>
      </c>
      <c r="E259" s="34">
        <f>E45+E73+E189</f>
        <v>290000</v>
      </c>
      <c r="F259" s="34">
        <f t="shared" ref="F259:K259" si="107">F45+F73+F189</f>
        <v>0</v>
      </c>
      <c r="G259" s="34">
        <f t="shared" si="107"/>
        <v>0</v>
      </c>
      <c r="H259" s="34">
        <f t="shared" si="107"/>
        <v>0</v>
      </c>
      <c r="I259" s="34">
        <f t="shared" si="107"/>
        <v>0</v>
      </c>
      <c r="J259" s="34">
        <f t="shared" si="107"/>
        <v>290000</v>
      </c>
      <c r="K259" s="34">
        <f t="shared" si="107"/>
        <v>0</v>
      </c>
    </row>
    <row r="260" spans="1:11" x14ac:dyDescent="0.25">
      <c r="A260" s="300"/>
      <c r="B260" s="301"/>
      <c r="C260" s="33" t="s">
        <v>44</v>
      </c>
      <c r="D260" s="34">
        <f>D212+D190+D173+D152+D129+D107+D74+D46</f>
        <v>7754652</v>
      </c>
      <c r="E260" s="34">
        <f>E212+E190+E173+E152+E129+E107+E74+E46</f>
        <v>5335441</v>
      </c>
      <c r="F260" s="34">
        <f t="shared" ref="F260:K260" si="108">F212+F190+F173+F152+F129+F107+F74+F46</f>
        <v>0</v>
      </c>
      <c r="G260" s="34">
        <f t="shared" si="108"/>
        <v>0</v>
      </c>
      <c r="H260" s="34">
        <f t="shared" si="108"/>
        <v>0</v>
      </c>
      <c r="I260" s="34">
        <f t="shared" si="108"/>
        <v>0</v>
      </c>
      <c r="J260" s="34">
        <f t="shared" si="108"/>
        <v>5335441</v>
      </c>
      <c r="K260" s="34">
        <f t="shared" si="108"/>
        <v>1760005</v>
      </c>
    </row>
    <row r="261" spans="1:11" x14ac:dyDescent="0.25">
      <c r="A261" s="300"/>
      <c r="B261" s="301"/>
      <c r="C261" s="37" t="s">
        <v>45</v>
      </c>
      <c r="D261" s="34">
        <f>D213+D191+D75+D47</f>
        <v>743011</v>
      </c>
      <c r="E261" s="34">
        <f>E213+E191+E75+E47</f>
        <v>743011</v>
      </c>
      <c r="F261" s="34">
        <f t="shared" ref="F261:K261" si="109">F213+F191+F75+F47</f>
        <v>0</v>
      </c>
      <c r="G261" s="34">
        <f t="shared" si="109"/>
        <v>0</v>
      </c>
      <c r="H261" s="34">
        <f t="shared" si="109"/>
        <v>0</v>
      </c>
      <c r="I261" s="34">
        <f t="shared" si="109"/>
        <v>0</v>
      </c>
      <c r="J261" s="34">
        <f t="shared" si="109"/>
        <v>743011</v>
      </c>
      <c r="K261" s="34">
        <f t="shared" si="109"/>
        <v>217121</v>
      </c>
    </row>
    <row r="262" spans="1:11" x14ac:dyDescent="0.25">
      <c r="A262" s="300"/>
      <c r="B262" s="301"/>
      <c r="C262" s="65" t="s">
        <v>49</v>
      </c>
      <c r="D262" s="66">
        <f>D214+D192+D174+D153+D130+D108+D76+D48</f>
        <v>62319790</v>
      </c>
      <c r="E262" s="66">
        <f>E214+E192+E174+E153+E130+E108+E76+E48</f>
        <v>41331790</v>
      </c>
      <c r="F262" s="66">
        <f t="shared" ref="F262:K262" si="110">F214+F192+F174+F153+F130+F108+F76+F48</f>
        <v>0</v>
      </c>
      <c r="G262" s="66">
        <f t="shared" si="110"/>
        <v>0</v>
      </c>
      <c r="H262" s="66">
        <f t="shared" si="110"/>
        <v>0</v>
      </c>
      <c r="I262" s="66">
        <f t="shared" si="110"/>
        <v>0</v>
      </c>
      <c r="J262" s="66">
        <f t="shared" si="110"/>
        <v>41331790</v>
      </c>
      <c r="K262" s="66">
        <f t="shared" si="110"/>
        <v>10853164</v>
      </c>
    </row>
    <row r="263" spans="1:11" x14ac:dyDescent="0.25">
      <c r="A263" s="300"/>
      <c r="B263" s="301"/>
      <c r="C263" s="65" t="s">
        <v>100</v>
      </c>
      <c r="D263" s="66">
        <f>D197</f>
        <v>0</v>
      </c>
      <c r="E263" s="66">
        <f t="shared" ref="E263:K263" si="111">E197</f>
        <v>10500000</v>
      </c>
      <c r="F263" s="66">
        <f t="shared" si="111"/>
        <v>0</v>
      </c>
      <c r="G263" s="66">
        <f t="shared" si="111"/>
        <v>0</v>
      </c>
      <c r="H263" s="66">
        <f t="shared" si="111"/>
        <v>0</v>
      </c>
      <c r="I263" s="66">
        <f t="shared" si="111"/>
        <v>0</v>
      </c>
      <c r="J263" s="66">
        <f t="shared" si="111"/>
        <v>10500000</v>
      </c>
      <c r="K263" s="66">
        <f t="shared" si="111"/>
        <v>10500000</v>
      </c>
    </row>
    <row r="264" spans="1:11" x14ac:dyDescent="0.25">
      <c r="A264" s="300"/>
      <c r="B264" s="301"/>
      <c r="C264" s="38" t="s">
        <v>50</v>
      </c>
      <c r="D264" s="34">
        <f t="shared" ref="D264:K266" si="112">D194+D77+D49</f>
        <v>161220</v>
      </c>
      <c r="E264" s="34">
        <f t="shared" si="112"/>
        <v>161220</v>
      </c>
      <c r="F264" s="34">
        <f t="shared" si="112"/>
        <v>0</v>
      </c>
      <c r="G264" s="34">
        <f t="shared" si="112"/>
        <v>0</v>
      </c>
      <c r="H264" s="34">
        <f t="shared" si="112"/>
        <v>0</v>
      </c>
      <c r="I264" s="34">
        <f t="shared" si="112"/>
        <v>0</v>
      </c>
      <c r="J264" s="34">
        <f t="shared" si="112"/>
        <v>161220</v>
      </c>
      <c r="K264" s="34">
        <f t="shared" si="112"/>
        <v>0</v>
      </c>
    </row>
    <row r="265" spans="1:11" x14ac:dyDescent="0.25">
      <c r="A265" s="300"/>
      <c r="B265" s="301"/>
      <c r="C265" s="37" t="s">
        <v>51</v>
      </c>
      <c r="D265" s="34">
        <f t="shared" si="112"/>
        <v>43530</v>
      </c>
      <c r="E265" s="34">
        <f t="shared" si="112"/>
        <v>43530</v>
      </c>
      <c r="F265" s="34">
        <f t="shared" si="112"/>
        <v>0</v>
      </c>
      <c r="G265" s="34">
        <f t="shared" si="112"/>
        <v>0</v>
      </c>
      <c r="H265" s="34">
        <f t="shared" si="112"/>
        <v>0</v>
      </c>
      <c r="I265" s="34">
        <f t="shared" si="112"/>
        <v>0</v>
      </c>
      <c r="J265" s="34">
        <f t="shared" si="112"/>
        <v>43530</v>
      </c>
      <c r="K265" s="34">
        <f t="shared" si="112"/>
        <v>0</v>
      </c>
    </row>
    <row r="266" spans="1:11" x14ac:dyDescent="0.25">
      <c r="A266" s="300"/>
      <c r="B266" s="301"/>
      <c r="C266" s="65" t="s">
        <v>52</v>
      </c>
      <c r="D266" s="68">
        <f t="shared" si="112"/>
        <v>204750</v>
      </c>
      <c r="E266" s="68">
        <f t="shared" si="112"/>
        <v>204750</v>
      </c>
      <c r="F266" s="68">
        <f t="shared" si="112"/>
        <v>0</v>
      </c>
      <c r="G266" s="68">
        <f t="shared" si="112"/>
        <v>0</v>
      </c>
      <c r="H266" s="68">
        <f t="shared" si="112"/>
        <v>0</v>
      </c>
      <c r="I266" s="68">
        <f t="shared" si="112"/>
        <v>0</v>
      </c>
      <c r="J266" s="68">
        <f t="shared" si="112"/>
        <v>204750</v>
      </c>
      <c r="K266" s="66">
        <f t="shared" si="112"/>
        <v>0</v>
      </c>
    </row>
    <row r="267" spans="1:11" x14ac:dyDescent="0.25">
      <c r="A267" s="302"/>
      <c r="B267" s="303"/>
      <c r="C267" s="69" t="s">
        <v>88</v>
      </c>
      <c r="D267" s="70">
        <f t="shared" ref="D267:E267" si="113">D266+D262+D247+D246+D263</f>
        <v>230443641</v>
      </c>
      <c r="E267" s="70">
        <f t="shared" si="113"/>
        <v>230521849</v>
      </c>
      <c r="F267" s="70">
        <f>F266+F262+F247+F246+F263</f>
        <v>0</v>
      </c>
      <c r="G267" s="70">
        <f t="shared" ref="G267:K267" si="114">G266+G262+G247+G246+G263</f>
        <v>0</v>
      </c>
      <c r="H267" s="70">
        <f t="shared" si="114"/>
        <v>0</v>
      </c>
      <c r="I267" s="70">
        <f t="shared" si="114"/>
        <v>0</v>
      </c>
      <c r="J267" s="70">
        <f t="shared" si="114"/>
        <v>230521849</v>
      </c>
      <c r="K267" s="121">
        <f t="shared" si="114"/>
        <v>98745308</v>
      </c>
    </row>
    <row r="268" spans="1:11" x14ac:dyDescent="0.25">
      <c r="B268" s="5"/>
      <c r="E268" s="4"/>
      <c r="F268" s="4"/>
      <c r="G268" s="4"/>
      <c r="H268" s="4"/>
      <c r="I268" s="4"/>
      <c r="J268" s="4"/>
      <c r="K268" s="111"/>
    </row>
    <row r="269" spans="1:11" x14ac:dyDescent="0.25">
      <c r="B269" s="5"/>
      <c r="E269" s="4"/>
      <c r="F269" s="4"/>
      <c r="G269" s="4"/>
      <c r="H269" s="4"/>
      <c r="I269" s="4"/>
      <c r="J269" s="4"/>
      <c r="K269" s="111"/>
    </row>
  </sheetData>
  <autoFilter ref="A4:L218" xr:uid="{00000000-0009-0000-0000-000004000000}"/>
  <mergeCells count="74">
    <mergeCell ref="A226:B267"/>
    <mergeCell ref="A179:C179"/>
    <mergeCell ref="A180:A197"/>
    <mergeCell ref="B180:B197"/>
    <mergeCell ref="A198:C198"/>
    <mergeCell ref="A199:A214"/>
    <mergeCell ref="B199:B214"/>
    <mergeCell ref="A215:A216"/>
    <mergeCell ref="B215:B216"/>
    <mergeCell ref="A217:C217"/>
    <mergeCell ref="A218:C218"/>
    <mergeCell ref="A225:K225"/>
    <mergeCell ref="A177:A178"/>
    <mergeCell ref="B177:B178"/>
    <mergeCell ref="A133:A134"/>
    <mergeCell ref="B133:B134"/>
    <mergeCell ref="A135:C135"/>
    <mergeCell ref="A136:A153"/>
    <mergeCell ref="B136:B153"/>
    <mergeCell ref="A154:A155"/>
    <mergeCell ref="B154:B155"/>
    <mergeCell ref="A156:C156"/>
    <mergeCell ref="A157:A174"/>
    <mergeCell ref="B157:B174"/>
    <mergeCell ref="A175:A176"/>
    <mergeCell ref="B175:B176"/>
    <mergeCell ref="A131:A132"/>
    <mergeCell ref="B131:B132"/>
    <mergeCell ref="A86:A87"/>
    <mergeCell ref="B86:B87"/>
    <mergeCell ref="A88:C88"/>
    <mergeCell ref="A89:A108"/>
    <mergeCell ref="B89:B108"/>
    <mergeCell ref="A109:A110"/>
    <mergeCell ref="B109:B110"/>
    <mergeCell ref="A111:A112"/>
    <mergeCell ref="B111:B112"/>
    <mergeCell ref="A113:C113"/>
    <mergeCell ref="A114:A130"/>
    <mergeCell ref="B114:B130"/>
    <mergeCell ref="A80:A81"/>
    <mergeCell ref="B80:B81"/>
    <mergeCell ref="A82:A83"/>
    <mergeCell ref="B82:B83"/>
    <mergeCell ref="A84:A85"/>
    <mergeCell ref="B84:B85"/>
    <mergeCell ref="A22:A23"/>
    <mergeCell ref="B22:B23"/>
    <mergeCell ref="A24:C24"/>
    <mergeCell ref="A25:A79"/>
    <mergeCell ref="B25:B51"/>
    <mergeCell ref="B52:B79"/>
    <mergeCell ref="A16:A17"/>
    <mergeCell ref="B16:B17"/>
    <mergeCell ref="A18:A19"/>
    <mergeCell ref="B18:B19"/>
    <mergeCell ref="A20:A21"/>
    <mergeCell ref="B20:B21"/>
    <mergeCell ref="A5:A13"/>
    <mergeCell ref="B5:B7"/>
    <mergeCell ref="B8:B11"/>
    <mergeCell ref="B12:B13"/>
    <mergeCell ref="A14:A15"/>
    <mergeCell ref="B14:B15"/>
    <mergeCell ref="A1:L1"/>
    <mergeCell ref="A3:A4"/>
    <mergeCell ref="B3:B4"/>
    <mergeCell ref="C3:C4"/>
    <mergeCell ref="D3:D4"/>
    <mergeCell ref="E3:E4"/>
    <mergeCell ref="F3:I3"/>
    <mergeCell ref="J3:J4"/>
    <mergeCell ref="K3:K4"/>
    <mergeCell ref="L3:L4"/>
  </mergeCells>
  <pageMargins left="0.7" right="0.7" top="0.75" bottom="0.75" header="0.3" footer="0.3"/>
  <pageSetup paperSize="9" scale="50" orientation="portrait" r:id="rId1"/>
  <rowBreaks count="2" manualBreakCount="2">
    <brk id="88" max="16383" man="1"/>
    <brk id="179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269"/>
  <sheetViews>
    <sheetView workbookViewId="0">
      <pane xSplit="3" ySplit="4" topLeftCell="D170" activePane="bottomRight" state="frozen"/>
      <selection activeCell="D8" sqref="D8"/>
      <selection pane="topRight" activeCell="D8" sqref="D8"/>
      <selection pane="bottomLeft" activeCell="D8" sqref="D8"/>
      <selection pane="bottomRight" activeCell="D8" sqref="D8"/>
    </sheetView>
  </sheetViews>
  <sheetFormatPr defaultRowHeight="15" x14ac:dyDescent="0.25"/>
  <cols>
    <col min="1" max="1" width="42.7109375" customWidth="1"/>
    <col min="3" max="3" width="7.7109375" customWidth="1"/>
    <col min="4" max="5" width="13.7109375" customWidth="1"/>
    <col min="6" max="6" width="10.28515625" customWidth="1"/>
    <col min="7" max="9" width="10.28515625" bestFit="1" customWidth="1"/>
    <col min="10" max="10" width="13.85546875" bestFit="1" customWidth="1"/>
    <col min="11" max="11" width="16.42578125" style="122" customWidth="1"/>
    <col min="12" max="12" width="13.85546875" customWidth="1"/>
  </cols>
  <sheetData>
    <row r="1" spans="1:12" ht="21" x14ac:dyDescent="0.25">
      <c r="A1" s="360" t="s">
        <v>0</v>
      </c>
      <c r="B1" s="360"/>
      <c r="C1" s="360"/>
      <c r="D1" s="360"/>
      <c r="E1" s="360"/>
      <c r="F1" s="360"/>
      <c r="G1" s="360"/>
      <c r="H1" s="360"/>
      <c r="I1" s="360"/>
      <c r="J1" s="360"/>
      <c r="K1" s="360"/>
      <c r="L1" s="360"/>
    </row>
    <row r="2" spans="1:12" x14ac:dyDescent="0.25">
      <c r="B2" s="5"/>
      <c r="E2" s="4"/>
      <c r="F2" s="4"/>
      <c r="G2" s="4"/>
      <c r="H2" s="4"/>
      <c r="I2" s="4"/>
      <c r="J2" s="4"/>
      <c r="K2" s="111"/>
    </row>
    <row r="3" spans="1:12" ht="15" customHeight="1" x14ac:dyDescent="0.25">
      <c r="A3" s="342" t="s">
        <v>104</v>
      </c>
      <c r="B3" s="344" t="s">
        <v>105</v>
      </c>
      <c r="C3" s="342" t="s">
        <v>3</v>
      </c>
      <c r="D3" s="342" t="s">
        <v>4</v>
      </c>
      <c r="E3" s="346" t="s">
        <v>107</v>
      </c>
      <c r="F3" s="348" t="s">
        <v>110</v>
      </c>
      <c r="G3" s="349"/>
      <c r="H3" s="349"/>
      <c r="I3" s="350"/>
      <c r="J3" s="346" t="s">
        <v>111</v>
      </c>
      <c r="K3" s="351" t="s">
        <v>112</v>
      </c>
      <c r="L3" s="352" t="s">
        <v>113</v>
      </c>
    </row>
    <row r="4" spans="1:12" ht="25.5" x14ac:dyDescent="0.25">
      <c r="A4" s="343"/>
      <c r="B4" s="345"/>
      <c r="C4" s="343"/>
      <c r="D4" s="343"/>
      <c r="E4" s="347"/>
      <c r="F4" s="124" t="s">
        <v>70</v>
      </c>
      <c r="G4" s="125" t="s">
        <v>71</v>
      </c>
      <c r="H4" s="125" t="s">
        <v>71</v>
      </c>
      <c r="I4" s="125" t="s">
        <v>71</v>
      </c>
      <c r="J4" s="347"/>
      <c r="K4" s="351"/>
      <c r="L4" s="352"/>
    </row>
    <row r="5" spans="1:12" x14ac:dyDescent="0.25">
      <c r="A5" s="255" t="s">
        <v>6</v>
      </c>
      <c r="B5" s="268" t="s">
        <v>21</v>
      </c>
      <c r="C5" s="2" t="s">
        <v>16</v>
      </c>
      <c r="D5" s="3">
        <v>54810810</v>
      </c>
      <c r="E5" s="3">
        <v>54848819</v>
      </c>
      <c r="F5" s="3"/>
      <c r="G5" s="3"/>
      <c r="H5" s="3"/>
      <c r="I5" s="3"/>
      <c r="J5" s="20">
        <f>E5+F5+G5+H5+I5</f>
        <v>54848819</v>
      </c>
      <c r="K5" s="112">
        <v>32010981</v>
      </c>
      <c r="L5" s="3">
        <f>J5-K5</f>
        <v>22837838</v>
      </c>
    </row>
    <row r="6" spans="1:12" x14ac:dyDescent="0.25">
      <c r="A6" s="256"/>
      <c r="B6" s="268"/>
      <c r="C6" s="2" t="s">
        <v>17</v>
      </c>
      <c r="D6" s="3">
        <v>7273070</v>
      </c>
      <c r="E6" s="3">
        <v>7273070</v>
      </c>
      <c r="F6" s="3"/>
      <c r="G6" s="3"/>
      <c r="H6" s="3"/>
      <c r="I6" s="3"/>
      <c r="J6" s="20">
        <f t="shared" ref="J6:J23" si="0">E6+F6+G6+H6+I6</f>
        <v>7273070</v>
      </c>
      <c r="K6" s="112">
        <v>7273070</v>
      </c>
      <c r="L6" s="3">
        <f t="shared" ref="L6:L23" si="1">J6-K6</f>
        <v>0</v>
      </c>
    </row>
    <row r="7" spans="1:12" x14ac:dyDescent="0.25">
      <c r="A7" s="256"/>
      <c r="B7" s="268"/>
      <c r="C7" s="2" t="s">
        <v>18</v>
      </c>
      <c r="D7" s="3">
        <v>96985672</v>
      </c>
      <c r="E7" s="3">
        <v>96985672</v>
      </c>
      <c r="F7" s="3"/>
      <c r="G7" s="3"/>
      <c r="H7" s="3"/>
      <c r="I7" s="3"/>
      <c r="J7" s="20">
        <f t="shared" si="0"/>
        <v>96985672</v>
      </c>
      <c r="K7" s="112">
        <v>57234396</v>
      </c>
      <c r="L7" s="3">
        <f t="shared" si="1"/>
        <v>39751276</v>
      </c>
    </row>
    <row r="8" spans="1:12" x14ac:dyDescent="0.25">
      <c r="A8" s="256"/>
      <c r="B8" s="252">
        <v>104042</v>
      </c>
      <c r="C8" s="2" t="s">
        <v>22</v>
      </c>
      <c r="D8" s="3">
        <v>200000</v>
      </c>
      <c r="E8" s="3">
        <v>200000</v>
      </c>
      <c r="F8" s="3"/>
      <c r="G8" s="3"/>
      <c r="H8" s="3"/>
      <c r="I8" s="3"/>
      <c r="J8" s="20">
        <f t="shared" si="0"/>
        <v>200000</v>
      </c>
      <c r="K8" s="112">
        <v>0</v>
      </c>
      <c r="L8" s="3">
        <f t="shared" si="1"/>
        <v>200000</v>
      </c>
    </row>
    <row r="9" spans="1:12" x14ac:dyDescent="0.25">
      <c r="A9" s="256"/>
      <c r="B9" s="253"/>
      <c r="C9" s="2" t="s">
        <v>19</v>
      </c>
      <c r="D9" s="3">
        <v>13200</v>
      </c>
      <c r="E9" s="3">
        <v>16540</v>
      </c>
      <c r="F9" s="3"/>
      <c r="G9" s="3"/>
      <c r="H9" s="3"/>
      <c r="I9" s="3"/>
      <c r="J9" s="20">
        <f t="shared" si="0"/>
        <v>16540</v>
      </c>
      <c r="K9" s="112">
        <v>16059</v>
      </c>
      <c r="L9" s="3">
        <f t="shared" si="1"/>
        <v>481</v>
      </c>
    </row>
    <row r="10" spans="1:12" x14ac:dyDescent="0.25">
      <c r="A10" s="256"/>
      <c r="B10" s="253"/>
      <c r="C10" s="2" t="s">
        <v>20</v>
      </c>
      <c r="D10" s="3">
        <v>500</v>
      </c>
      <c r="E10" s="3">
        <v>211</v>
      </c>
      <c r="F10" s="3"/>
      <c r="G10" s="3"/>
      <c r="H10" s="3"/>
      <c r="I10" s="3"/>
      <c r="J10" s="20">
        <f t="shared" si="0"/>
        <v>211</v>
      </c>
      <c r="K10" s="112">
        <v>132</v>
      </c>
      <c r="L10" s="3">
        <f t="shared" si="1"/>
        <v>79</v>
      </c>
    </row>
    <row r="11" spans="1:12" x14ac:dyDescent="0.25">
      <c r="A11" s="256"/>
      <c r="B11" s="254"/>
      <c r="C11" s="2" t="s">
        <v>84</v>
      </c>
      <c r="D11" s="3">
        <v>0</v>
      </c>
      <c r="E11" s="3">
        <v>9238</v>
      </c>
      <c r="F11" s="3"/>
      <c r="G11" s="3"/>
      <c r="H11" s="3"/>
      <c r="I11" s="3"/>
      <c r="J11" s="20">
        <f t="shared" si="0"/>
        <v>9238</v>
      </c>
      <c r="K11" s="112">
        <v>3234</v>
      </c>
      <c r="L11" s="3">
        <f t="shared" si="1"/>
        <v>6004</v>
      </c>
    </row>
    <row r="12" spans="1:12" x14ac:dyDescent="0.25">
      <c r="A12" s="256"/>
      <c r="B12" s="252">
        <v>104043</v>
      </c>
      <c r="C12" s="2" t="s">
        <v>20</v>
      </c>
      <c r="D12" s="3">
        <v>500</v>
      </c>
      <c r="E12" s="3">
        <v>210</v>
      </c>
      <c r="F12" s="3"/>
      <c r="G12" s="3"/>
      <c r="H12" s="3"/>
      <c r="I12" s="3"/>
      <c r="J12" s="20">
        <f t="shared" si="0"/>
        <v>210</v>
      </c>
      <c r="K12" s="112">
        <v>131</v>
      </c>
      <c r="L12" s="3">
        <f t="shared" si="1"/>
        <v>79</v>
      </c>
    </row>
    <row r="13" spans="1:12" x14ac:dyDescent="0.25">
      <c r="A13" s="257"/>
      <c r="B13" s="254"/>
      <c r="C13" s="2" t="s">
        <v>84</v>
      </c>
      <c r="D13" s="3">
        <v>0</v>
      </c>
      <c r="E13" s="3">
        <v>1</v>
      </c>
      <c r="F13" s="3"/>
      <c r="G13" s="3"/>
      <c r="H13" s="3"/>
      <c r="I13" s="3"/>
      <c r="J13" s="20">
        <f t="shared" si="0"/>
        <v>1</v>
      </c>
      <c r="K13" s="112">
        <v>1</v>
      </c>
      <c r="L13" s="3">
        <f t="shared" si="1"/>
        <v>0</v>
      </c>
    </row>
    <row r="14" spans="1:12" x14ac:dyDescent="0.25">
      <c r="A14" s="258" t="s">
        <v>7</v>
      </c>
      <c r="B14" s="268" t="s">
        <v>21</v>
      </c>
      <c r="C14" s="2" t="s">
        <v>16</v>
      </c>
      <c r="D14" s="3">
        <v>245982</v>
      </c>
      <c r="E14" s="3">
        <v>245982</v>
      </c>
      <c r="F14" s="3"/>
      <c r="G14" s="3"/>
      <c r="H14" s="3"/>
      <c r="I14" s="3"/>
      <c r="J14" s="20">
        <f t="shared" si="0"/>
        <v>245982</v>
      </c>
      <c r="K14" s="112">
        <v>122992</v>
      </c>
      <c r="L14" s="3">
        <f t="shared" si="1"/>
        <v>122990</v>
      </c>
    </row>
    <row r="15" spans="1:12" x14ac:dyDescent="0.25">
      <c r="A15" s="258"/>
      <c r="B15" s="268"/>
      <c r="C15" s="2" t="s">
        <v>17</v>
      </c>
      <c r="D15" s="3">
        <v>1005557</v>
      </c>
      <c r="E15" s="3">
        <v>1005557</v>
      </c>
      <c r="F15" s="3"/>
      <c r="G15" s="3"/>
      <c r="H15" s="3"/>
      <c r="I15" s="3"/>
      <c r="J15" s="20">
        <f t="shared" si="0"/>
        <v>1005557</v>
      </c>
      <c r="K15" s="112">
        <v>1005557</v>
      </c>
      <c r="L15" s="3">
        <f t="shared" si="1"/>
        <v>0</v>
      </c>
    </row>
    <row r="16" spans="1:12" x14ac:dyDescent="0.25">
      <c r="A16" s="258" t="s">
        <v>8</v>
      </c>
      <c r="B16" s="268" t="s">
        <v>21</v>
      </c>
      <c r="C16" s="2" t="s">
        <v>16</v>
      </c>
      <c r="D16" s="3">
        <v>3086953</v>
      </c>
      <c r="E16" s="3">
        <v>3103704</v>
      </c>
      <c r="F16" s="3"/>
      <c r="G16" s="3"/>
      <c r="H16" s="3"/>
      <c r="I16" s="3"/>
      <c r="J16" s="20">
        <f t="shared" si="0"/>
        <v>3103704</v>
      </c>
      <c r="K16" s="112">
        <v>1560228</v>
      </c>
      <c r="L16" s="3">
        <f t="shared" si="1"/>
        <v>1543476</v>
      </c>
    </row>
    <row r="17" spans="1:12" x14ac:dyDescent="0.25">
      <c r="A17" s="258"/>
      <c r="B17" s="268"/>
      <c r="C17" s="2" t="s">
        <v>17</v>
      </c>
      <c r="D17" s="3">
        <v>440959</v>
      </c>
      <c r="E17" s="3">
        <v>440959</v>
      </c>
      <c r="F17" s="3"/>
      <c r="G17" s="3"/>
      <c r="H17" s="3"/>
      <c r="I17" s="3"/>
      <c r="J17" s="20">
        <f t="shared" si="0"/>
        <v>440959</v>
      </c>
      <c r="K17" s="112">
        <v>440959</v>
      </c>
      <c r="L17" s="3">
        <f t="shared" si="1"/>
        <v>0</v>
      </c>
    </row>
    <row r="18" spans="1:12" x14ac:dyDescent="0.25">
      <c r="A18" s="258" t="s">
        <v>9</v>
      </c>
      <c r="B18" s="268" t="s">
        <v>21</v>
      </c>
      <c r="C18" s="2" t="s">
        <v>16</v>
      </c>
      <c r="D18" s="3">
        <v>1403439</v>
      </c>
      <c r="E18" s="3">
        <v>1414887</v>
      </c>
      <c r="F18" s="3"/>
      <c r="G18" s="3"/>
      <c r="H18" s="3"/>
      <c r="I18" s="3"/>
      <c r="J18" s="20">
        <f t="shared" si="0"/>
        <v>1414887</v>
      </c>
      <c r="K18" s="112">
        <v>780469</v>
      </c>
      <c r="L18" s="3">
        <f t="shared" si="1"/>
        <v>634418</v>
      </c>
    </row>
    <row r="19" spans="1:12" x14ac:dyDescent="0.25">
      <c r="A19" s="258"/>
      <c r="B19" s="268"/>
      <c r="C19" s="2" t="s">
        <v>17</v>
      </c>
      <c r="D19" s="3">
        <v>599759</v>
      </c>
      <c r="E19" s="3">
        <v>599759</v>
      </c>
      <c r="F19" s="3"/>
      <c r="G19" s="3"/>
      <c r="H19" s="3"/>
      <c r="I19" s="3"/>
      <c r="J19" s="20">
        <f t="shared" si="0"/>
        <v>599759</v>
      </c>
      <c r="K19" s="112">
        <v>599759</v>
      </c>
      <c r="L19" s="3">
        <f t="shared" si="1"/>
        <v>0</v>
      </c>
    </row>
    <row r="20" spans="1:12" x14ac:dyDescent="0.25">
      <c r="A20" s="255" t="s">
        <v>54</v>
      </c>
      <c r="B20" s="252" t="s">
        <v>21</v>
      </c>
      <c r="C20" s="2" t="s">
        <v>16</v>
      </c>
      <c r="D20" s="3">
        <v>4056383</v>
      </c>
      <c r="E20" s="3">
        <v>4056383</v>
      </c>
      <c r="F20" s="3"/>
      <c r="G20" s="3"/>
      <c r="H20" s="3"/>
      <c r="I20" s="3"/>
      <c r="J20" s="20">
        <f t="shared" si="0"/>
        <v>4056383</v>
      </c>
      <c r="K20" s="112">
        <v>2028192</v>
      </c>
      <c r="L20" s="3">
        <f t="shared" si="1"/>
        <v>2028191</v>
      </c>
    </row>
    <row r="21" spans="1:12" x14ac:dyDescent="0.25">
      <c r="A21" s="257"/>
      <c r="B21" s="254"/>
      <c r="C21" s="2" t="s">
        <v>17</v>
      </c>
      <c r="D21" s="3">
        <v>226299</v>
      </c>
      <c r="E21" s="3">
        <v>226299</v>
      </c>
      <c r="F21" s="3"/>
      <c r="G21" s="3"/>
      <c r="H21" s="3"/>
      <c r="I21" s="3"/>
      <c r="J21" s="20">
        <f t="shared" si="0"/>
        <v>226299</v>
      </c>
      <c r="K21" s="112">
        <v>226299</v>
      </c>
      <c r="L21" s="3">
        <f t="shared" si="1"/>
        <v>0</v>
      </c>
    </row>
    <row r="22" spans="1:12" x14ac:dyDescent="0.25">
      <c r="A22" s="258" t="s">
        <v>10</v>
      </c>
      <c r="B22" s="268" t="s">
        <v>21</v>
      </c>
      <c r="C22" s="2" t="s">
        <v>16</v>
      </c>
      <c r="D22" s="3">
        <v>53627392</v>
      </c>
      <c r="E22" s="3">
        <v>53627392</v>
      </c>
      <c r="F22" s="3"/>
      <c r="G22" s="3"/>
      <c r="H22" s="3"/>
      <c r="I22" s="3"/>
      <c r="J22" s="20">
        <f t="shared" si="0"/>
        <v>53627392</v>
      </c>
      <c r="K22" s="112">
        <v>20202943</v>
      </c>
      <c r="L22" s="3">
        <f t="shared" si="1"/>
        <v>33424449</v>
      </c>
    </row>
    <row r="23" spans="1:12" x14ac:dyDescent="0.25">
      <c r="A23" s="258"/>
      <c r="B23" s="268"/>
      <c r="C23" s="2" t="s">
        <v>17</v>
      </c>
      <c r="D23" s="3">
        <v>6467166</v>
      </c>
      <c r="E23" s="3">
        <v>6467166</v>
      </c>
      <c r="F23" s="3"/>
      <c r="G23" s="3"/>
      <c r="H23" s="3"/>
      <c r="I23" s="3"/>
      <c r="J23" s="20">
        <f t="shared" si="0"/>
        <v>6467166</v>
      </c>
      <c r="K23" s="112">
        <v>6467166</v>
      </c>
      <c r="L23" s="3">
        <f t="shared" si="1"/>
        <v>0</v>
      </c>
    </row>
    <row r="24" spans="1:12" ht="30" customHeight="1" x14ac:dyDescent="0.25">
      <c r="A24" s="353" t="s">
        <v>73</v>
      </c>
      <c r="B24" s="354"/>
      <c r="C24" s="355"/>
      <c r="D24" s="126">
        <f t="shared" ref="D24:L24" si="2">SUM(D5:D23)</f>
        <v>230443641</v>
      </c>
      <c r="E24" s="126">
        <f t="shared" si="2"/>
        <v>230521849</v>
      </c>
      <c r="F24" s="126">
        <f t="shared" si="2"/>
        <v>0</v>
      </c>
      <c r="G24" s="126">
        <f t="shared" si="2"/>
        <v>0</v>
      </c>
      <c r="H24" s="126">
        <f t="shared" si="2"/>
        <v>0</v>
      </c>
      <c r="I24" s="126">
        <f t="shared" si="2"/>
        <v>0</v>
      </c>
      <c r="J24" s="126">
        <f t="shared" si="2"/>
        <v>230521849</v>
      </c>
      <c r="K24" s="127">
        <f t="shared" si="2"/>
        <v>129972568</v>
      </c>
      <c r="L24" s="126">
        <f t="shared" si="2"/>
        <v>100549281</v>
      </c>
    </row>
    <row r="25" spans="1:12" x14ac:dyDescent="0.25">
      <c r="A25" s="258" t="s">
        <v>11</v>
      </c>
      <c r="B25" s="252" t="s">
        <v>23</v>
      </c>
      <c r="C25" s="2" t="s">
        <v>24</v>
      </c>
      <c r="D25" s="3">
        <v>35883092</v>
      </c>
      <c r="E25" s="3">
        <v>35704226</v>
      </c>
      <c r="F25" s="3">
        <v>-134826</v>
      </c>
      <c r="G25" s="3"/>
      <c r="H25" s="3"/>
      <c r="I25" s="3"/>
      <c r="J25" s="20">
        <f t="shared" ref="J25:J31" si="3">E25+F25+G25+H25+I25</f>
        <v>35569400</v>
      </c>
      <c r="K25" s="112">
        <v>18556290</v>
      </c>
      <c r="L25" s="3">
        <f t="shared" ref="L25:L31" si="4">J25-K25</f>
        <v>17013110</v>
      </c>
    </row>
    <row r="26" spans="1:12" x14ac:dyDescent="0.25">
      <c r="A26" s="258"/>
      <c r="B26" s="253"/>
      <c r="C26" s="2" t="s">
        <v>25</v>
      </c>
      <c r="D26" s="3">
        <v>1542000</v>
      </c>
      <c r="E26" s="3">
        <v>1542000</v>
      </c>
      <c r="F26" s="3"/>
      <c r="G26" s="3"/>
      <c r="H26" s="3"/>
      <c r="I26" s="3"/>
      <c r="J26" s="20">
        <f t="shared" si="3"/>
        <v>1542000</v>
      </c>
      <c r="K26" s="112">
        <v>725000</v>
      </c>
      <c r="L26" s="3">
        <f t="shared" si="4"/>
        <v>817000</v>
      </c>
    </row>
    <row r="27" spans="1:12" x14ac:dyDescent="0.25">
      <c r="A27" s="258"/>
      <c r="B27" s="253"/>
      <c r="C27" s="2" t="s">
        <v>26</v>
      </c>
      <c r="D27" s="3">
        <v>80000</v>
      </c>
      <c r="E27" s="3">
        <v>80000</v>
      </c>
      <c r="F27" s="3"/>
      <c r="G27" s="3"/>
      <c r="H27" s="3"/>
      <c r="I27" s="3"/>
      <c r="J27" s="20">
        <f t="shared" si="3"/>
        <v>80000</v>
      </c>
      <c r="K27" s="112">
        <v>0</v>
      </c>
      <c r="L27" s="3">
        <f t="shared" si="4"/>
        <v>80000</v>
      </c>
    </row>
    <row r="28" spans="1:12" x14ac:dyDescent="0.25">
      <c r="A28" s="258"/>
      <c r="B28" s="253"/>
      <c r="C28" s="2" t="s">
        <v>27</v>
      </c>
      <c r="D28" s="3">
        <v>893400</v>
      </c>
      <c r="E28" s="3">
        <v>893400</v>
      </c>
      <c r="F28" s="3">
        <v>-5814</v>
      </c>
      <c r="G28" s="3"/>
      <c r="H28" s="3"/>
      <c r="I28" s="3"/>
      <c r="J28" s="20">
        <f t="shared" si="3"/>
        <v>887586</v>
      </c>
      <c r="K28" s="112">
        <v>402540</v>
      </c>
      <c r="L28" s="3">
        <f t="shared" si="4"/>
        <v>485046</v>
      </c>
    </row>
    <row r="29" spans="1:12" x14ac:dyDescent="0.25">
      <c r="A29" s="258"/>
      <c r="B29" s="253"/>
      <c r="C29" s="2" t="s">
        <v>28</v>
      </c>
      <c r="D29" s="3">
        <v>190000</v>
      </c>
      <c r="E29" s="3">
        <v>190000</v>
      </c>
      <c r="F29" s="3"/>
      <c r="G29" s="3"/>
      <c r="H29" s="3"/>
      <c r="I29" s="3"/>
      <c r="J29" s="20">
        <f t="shared" si="3"/>
        <v>190000</v>
      </c>
      <c r="K29" s="112">
        <v>93000</v>
      </c>
      <c r="L29" s="3">
        <f t="shared" si="4"/>
        <v>97000</v>
      </c>
    </row>
    <row r="30" spans="1:12" x14ac:dyDescent="0.25">
      <c r="A30" s="258"/>
      <c r="B30" s="253"/>
      <c r="C30" s="2" t="s">
        <v>29</v>
      </c>
      <c r="D30" s="3">
        <v>1086500</v>
      </c>
      <c r="E30" s="3">
        <v>1277236</v>
      </c>
      <c r="F30" s="3">
        <v>76523</v>
      </c>
      <c r="G30" s="3"/>
      <c r="H30" s="3"/>
      <c r="I30" s="3"/>
      <c r="J30" s="20">
        <f t="shared" si="3"/>
        <v>1353759</v>
      </c>
      <c r="K30" s="112">
        <v>434161</v>
      </c>
      <c r="L30" s="3">
        <f t="shared" si="4"/>
        <v>919598</v>
      </c>
    </row>
    <row r="31" spans="1:12" x14ac:dyDescent="0.25">
      <c r="A31" s="258"/>
      <c r="B31" s="253"/>
      <c r="C31" s="2" t="s">
        <v>30</v>
      </c>
      <c r="D31" s="3">
        <v>100000</v>
      </c>
      <c r="E31" s="3">
        <v>100000</v>
      </c>
      <c r="F31" s="3"/>
      <c r="G31" s="3"/>
      <c r="H31" s="3"/>
      <c r="I31" s="3"/>
      <c r="J31" s="20">
        <f t="shared" si="3"/>
        <v>100000</v>
      </c>
      <c r="K31" s="112">
        <v>13902</v>
      </c>
      <c r="L31" s="3">
        <f t="shared" si="4"/>
        <v>86098</v>
      </c>
    </row>
    <row r="32" spans="1:12" x14ac:dyDescent="0.25">
      <c r="A32" s="258"/>
      <c r="B32" s="253"/>
      <c r="C32" s="6" t="s">
        <v>53</v>
      </c>
      <c r="D32" s="7">
        <f>SUM(D25:D31)</f>
        <v>39774992</v>
      </c>
      <c r="E32" s="7">
        <v>39786862</v>
      </c>
      <c r="F32" s="7">
        <f t="shared" ref="F32:L32" si="5">SUM(F25:F31)</f>
        <v>-64117</v>
      </c>
      <c r="G32" s="7">
        <f t="shared" si="5"/>
        <v>0</v>
      </c>
      <c r="H32" s="7">
        <f t="shared" si="5"/>
        <v>0</v>
      </c>
      <c r="I32" s="7">
        <f t="shared" si="5"/>
        <v>0</v>
      </c>
      <c r="J32" s="7">
        <f t="shared" si="5"/>
        <v>39722745</v>
      </c>
      <c r="K32" s="114">
        <f t="shared" si="5"/>
        <v>20224893</v>
      </c>
      <c r="L32" s="7">
        <f t="shared" si="5"/>
        <v>19497852</v>
      </c>
    </row>
    <row r="33" spans="1:12" x14ac:dyDescent="0.25">
      <c r="A33" s="258"/>
      <c r="B33" s="253"/>
      <c r="C33" s="86" t="s">
        <v>31</v>
      </c>
      <c r="D33" s="87">
        <v>7793417</v>
      </c>
      <c r="E33" s="87">
        <v>7795732</v>
      </c>
      <c r="F33" s="87"/>
      <c r="G33" s="87"/>
      <c r="H33" s="87"/>
      <c r="I33" s="87"/>
      <c r="J33" s="88">
        <f t="shared" ref="J33:J47" si="6">E33+F33+G33+H33+I33</f>
        <v>7795732</v>
      </c>
      <c r="K33" s="115">
        <v>4267066</v>
      </c>
      <c r="L33" s="89">
        <f t="shared" ref="L33:L47" si="7">J33-K33</f>
        <v>3528666</v>
      </c>
    </row>
    <row r="34" spans="1:12" x14ac:dyDescent="0.25">
      <c r="A34" s="258"/>
      <c r="B34" s="253"/>
      <c r="C34" s="2" t="s">
        <v>32</v>
      </c>
      <c r="D34" s="3">
        <v>105000</v>
      </c>
      <c r="E34" s="3">
        <v>105000</v>
      </c>
      <c r="F34" s="3"/>
      <c r="G34" s="3"/>
      <c r="H34" s="3"/>
      <c r="I34" s="3"/>
      <c r="J34" s="20">
        <f t="shared" si="6"/>
        <v>105000</v>
      </c>
      <c r="K34" s="112">
        <v>24818</v>
      </c>
      <c r="L34" s="3">
        <f t="shared" si="7"/>
        <v>80182</v>
      </c>
    </row>
    <row r="35" spans="1:12" x14ac:dyDescent="0.25">
      <c r="A35" s="258"/>
      <c r="B35" s="253"/>
      <c r="C35" s="2" t="s">
        <v>33</v>
      </c>
      <c r="D35" s="3">
        <v>500000</v>
      </c>
      <c r="E35" s="3">
        <v>500000</v>
      </c>
      <c r="F35" s="3"/>
      <c r="G35" s="3"/>
      <c r="H35" s="3"/>
      <c r="I35" s="3"/>
      <c r="J35" s="20">
        <f t="shared" si="6"/>
        <v>500000</v>
      </c>
      <c r="K35" s="112">
        <v>1922</v>
      </c>
      <c r="L35" s="3">
        <f t="shared" si="7"/>
        <v>498078</v>
      </c>
    </row>
    <row r="36" spans="1:12" x14ac:dyDescent="0.25">
      <c r="A36" s="258"/>
      <c r="B36" s="253"/>
      <c r="C36" s="2" t="s">
        <v>34</v>
      </c>
      <c r="D36" s="3">
        <v>213000</v>
      </c>
      <c r="E36" s="3">
        <v>213000</v>
      </c>
      <c r="F36" s="3"/>
      <c r="G36" s="3"/>
      <c r="H36" s="3"/>
      <c r="I36" s="3"/>
      <c r="J36" s="20">
        <f t="shared" si="6"/>
        <v>213000</v>
      </c>
      <c r="K36" s="112">
        <v>74802</v>
      </c>
      <c r="L36" s="3">
        <f t="shared" si="7"/>
        <v>138198</v>
      </c>
    </row>
    <row r="37" spans="1:12" x14ac:dyDescent="0.25">
      <c r="A37" s="258"/>
      <c r="B37" s="253"/>
      <c r="C37" s="2" t="s">
        <v>35</v>
      </c>
      <c r="D37" s="3">
        <v>162000</v>
      </c>
      <c r="E37" s="3">
        <v>162000</v>
      </c>
      <c r="F37" s="3"/>
      <c r="G37" s="3"/>
      <c r="H37" s="3"/>
      <c r="I37" s="3"/>
      <c r="J37" s="20">
        <f t="shared" si="6"/>
        <v>162000</v>
      </c>
      <c r="K37" s="112">
        <v>36202</v>
      </c>
      <c r="L37" s="3">
        <f t="shared" si="7"/>
        <v>125798</v>
      </c>
    </row>
    <row r="38" spans="1:12" x14ac:dyDescent="0.25">
      <c r="A38" s="258"/>
      <c r="B38" s="253"/>
      <c r="C38" s="2" t="s">
        <v>36</v>
      </c>
      <c r="D38" s="3">
        <v>569540</v>
      </c>
      <c r="E38" s="3">
        <v>569540</v>
      </c>
      <c r="F38" s="3"/>
      <c r="G38" s="3"/>
      <c r="H38" s="3"/>
      <c r="I38" s="3"/>
      <c r="J38" s="20">
        <f t="shared" si="6"/>
        <v>569540</v>
      </c>
      <c r="K38" s="112">
        <v>352489</v>
      </c>
      <c r="L38" s="3">
        <f t="shared" si="7"/>
        <v>217051</v>
      </c>
    </row>
    <row r="39" spans="1:12" x14ac:dyDescent="0.25">
      <c r="A39" s="258"/>
      <c r="B39" s="253"/>
      <c r="C39" s="2" t="s">
        <v>37</v>
      </c>
      <c r="D39" s="3">
        <v>3000</v>
      </c>
      <c r="E39" s="3">
        <v>3000</v>
      </c>
      <c r="F39" s="3"/>
      <c r="G39" s="3"/>
      <c r="H39" s="3"/>
      <c r="I39" s="3"/>
      <c r="J39" s="20">
        <f t="shared" si="6"/>
        <v>3000</v>
      </c>
      <c r="K39" s="112">
        <v>0</v>
      </c>
      <c r="L39" s="3">
        <f t="shared" si="7"/>
        <v>3000</v>
      </c>
    </row>
    <row r="40" spans="1:12" x14ac:dyDescent="0.25">
      <c r="A40" s="258"/>
      <c r="B40" s="253"/>
      <c r="C40" s="2" t="s">
        <v>38</v>
      </c>
      <c r="D40" s="3">
        <v>460000</v>
      </c>
      <c r="E40" s="3">
        <v>456500</v>
      </c>
      <c r="F40" s="3"/>
      <c r="G40" s="3"/>
      <c r="H40" s="3"/>
      <c r="I40" s="3"/>
      <c r="J40" s="20">
        <f t="shared" si="6"/>
        <v>456500</v>
      </c>
      <c r="K40" s="112">
        <v>125776</v>
      </c>
      <c r="L40" s="3">
        <f t="shared" si="7"/>
        <v>330724</v>
      </c>
    </row>
    <row r="41" spans="1:12" x14ac:dyDescent="0.25">
      <c r="A41" s="258"/>
      <c r="B41" s="253"/>
      <c r="C41" s="2" t="s">
        <v>39</v>
      </c>
      <c r="D41" s="3">
        <v>13200</v>
      </c>
      <c r="E41" s="3">
        <v>16540</v>
      </c>
      <c r="F41" s="3"/>
      <c r="G41" s="3"/>
      <c r="H41" s="3"/>
      <c r="I41" s="3"/>
      <c r="J41" s="20">
        <f t="shared" si="6"/>
        <v>16540</v>
      </c>
      <c r="K41" s="112">
        <v>16059</v>
      </c>
      <c r="L41" s="3">
        <f t="shared" si="7"/>
        <v>481</v>
      </c>
    </row>
    <row r="42" spans="1:12" x14ac:dyDescent="0.25">
      <c r="A42" s="258"/>
      <c r="B42" s="253"/>
      <c r="C42" s="2" t="s">
        <v>40</v>
      </c>
      <c r="D42" s="3">
        <v>137800</v>
      </c>
      <c r="E42" s="3">
        <v>137800</v>
      </c>
      <c r="F42" s="3"/>
      <c r="G42" s="3"/>
      <c r="H42" s="3"/>
      <c r="I42" s="3"/>
      <c r="J42" s="20">
        <f t="shared" si="6"/>
        <v>137800</v>
      </c>
      <c r="K42" s="112">
        <v>26300</v>
      </c>
      <c r="L42" s="3">
        <f t="shared" si="7"/>
        <v>111500</v>
      </c>
    </row>
    <row r="43" spans="1:12" x14ac:dyDescent="0.25">
      <c r="A43" s="258"/>
      <c r="B43" s="253"/>
      <c r="C43" s="2" t="s">
        <v>41</v>
      </c>
      <c r="D43" s="3">
        <v>582236</v>
      </c>
      <c r="E43" s="3">
        <v>583896</v>
      </c>
      <c r="F43" s="3"/>
      <c r="G43" s="3"/>
      <c r="H43" s="3"/>
      <c r="I43" s="3"/>
      <c r="J43" s="20">
        <f t="shared" si="6"/>
        <v>583896</v>
      </c>
      <c r="K43" s="112">
        <v>416474</v>
      </c>
      <c r="L43" s="3">
        <f t="shared" si="7"/>
        <v>167422</v>
      </c>
    </row>
    <row r="44" spans="1:12" x14ac:dyDescent="0.25">
      <c r="A44" s="258"/>
      <c r="B44" s="253"/>
      <c r="C44" s="2" t="s">
        <v>42</v>
      </c>
      <c r="D44" s="3">
        <v>552000</v>
      </c>
      <c r="E44" s="3">
        <v>539440</v>
      </c>
      <c r="F44" s="3">
        <v>-5395</v>
      </c>
      <c r="G44" s="3"/>
      <c r="H44" s="3"/>
      <c r="I44" s="3"/>
      <c r="J44" s="20">
        <f t="shared" si="6"/>
        <v>534045</v>
      </c>
      <c r="K44" s="112">
        <v>230200</v>
      </c>
      <c r="L44" s="3">
        <f t="shared" si="7"/>
        <v>303845</v>
      </c>
    </row>
    <row r="45" spans="1:12" x14ac:dyDescent="0.25">
      <c r="A45" s="258"/>
      <c r="B45" s="253"/>
      <c r="C45" s="2" t="s">
        <v>43</v>
      </c>
      <c r="D45" s="3">
        <v>30000</v>
      </c>
      <c r="E45" s="3">
        <v>30000</v>
      </c>
      <c r="F45" s="3"/>
      <c r="G45" s="3"/>
      <c r="H45" s="3"/>
      <c r="I45" s="3"/>
      <c r="J45" s="20">
        <f t="shared" si="6"/>
        <v>30000</v>
      </c>
      <c r="K45" s="112">
        <v>0</v>
      </c>
      <c r="L45" s="3">
        <f t="shared" si="7"/>
        <v>30000</v>
      </c>
    </row>
    <row r="46" spans="1:12" x14ac:dyDescent="0.25">
      <c r="A46" s="258"/>
      <c r="B46" s="253"/>
      <c r="C46" s="2" t="s">
        <v>44</v>
      </c>
      <c r="D46" s="3">
        <v>455834</v>
      </c>
      <c r="E46" s="3">
        <v>218435</v>
      </c>
      <c r="F46" s="3"/>
      <c r="G46" s="3"/>
      <c r="H46" s="3"/>
      <c r="I46" s="3"/>
      <c r="J46" s="20">
        <f t="shared" si="6"/>
        <v>218435</v>
      </c>
      <c r="K46" s="112">
        <v>108831</v>
      </c>
      <c r="L46" s="3">
        <f t="shared" si="7"/>
        <v>109604</v>
      </c>
    </row>
    <row r="47" spans="1:12" x14ac:dyDescent="0.25">
      <c r="A47" s="258"/>
      <c r="B47" s="253"/>
      <c r="C47" s="2" t="s">
        <v>45</v>
      </c>
      <c r="D47" s="3">
        <v>80000</v>
      </c>
      <c r="E47" s="3">
        <v>75764</v>
      </c>
      <c r="F47" s="3"/>
      <c r="G47" s="3"/>
      <c r="H47" s="3"/>
      <c r="I47" s="3"/>
      <c r="J47" s="20">
        <f t="shared" si="6"/>
        <v>75764</v>
      </c>
      <c r="K47" s="112">
        <v>48233</v>
      </c>
      <c r="L47" s="3">
        <f t="shared" si="7"/>
        <v>27531</v>
      </c>
    </row>
    <row r="48" spans="1:12" x14ac:dyDescent="0.25">
      <c r="A48" s="258"/>
      <c r="B48" s="253"/>
      <c r="C48" s="6" t="s">
        <v>49</v>
      </c>
      <c r="D48" s="7">
        <f>SUM(D34:D47)</f>
        <v>3863610</v>
      </c>
      <c r="E48" s="7">
        <v>3610915</v>
      </c>
      <c r="F48" s="7">
        <f t="shared" ref="F48:L48" si="8">SUM(F34:F47)</f>
        <v>-5395</v>
      </c>
      <c r="G48" s="7">
        <f t="shared" si="8"/>
        <v>0</v>
      </c>
      <c r="H48" s="7">
        <f t="shared" si="8"/>
        <v>0</v>
      </c>
      <c r="I48" s="7">
        <f t="shared" si="8"/>
        <v>0</v>
      </c>
      <c r="J48" s="7">
        <f t="shared" si="8"/>
        <v>3605520</v>
      </c>
      <c r="K48" s="114">
        <f t="shared" si="8"/>
        <v>1462106</v>
      </c>
      <c r="L48" s="7">
        <f t="shared" si="8"/>
        <v>2143414</v>
      </c>
    </row>
    <row r="49" spans="1:12" x14ac:dyDescent="0.25">
      <c r="A49" s="258"/>
      <c r="B49" s="253"/>
      <c r="C49" s="2" t="s">
        <v>50</v>
      </c>
      <c r="D49" s="3">
        <v>78740</v>
      </c>
      <c r="E49" s="3">
        <v>78740</v>
      </c>
      <c r="F49" s="3"/>
      <c r="G49" s="3"/>
      <c r="H49" s="3"/>
      <c r="I49" s="3"/>
      <c r="J49" s="20">
        <f t="shared" ref="J49:J50" si="9">E49+F49+G49+H49+I49</f>
        <v>78740</v>
      </c>
      <c r="K49" s="112">
        <v>0</v>
      </c>
      <c r="L49" s="3">
        <f t="shared" ref="L49:L50" si="10">J49-K49</f>
        <v>78740</v>
      </c>
    </row>
    <row r="50" spans="1:12" x14ac:dyDescent="0.25">
      <c r="A50" s="258"/>
      <c r="B50" s="253"/>
      <c r="C50" s="2" t="s">
        <v>51</v>
      </c>
      <c r="D50" s="3">
        <v>21260</v>
      </c>
      <c r="E50" s="3">
        <v>21260</v>
      </c>
      <c r="F50" s="3"/>
      <c r="G50" s="3"/>
      <c r="H50" s="3"/>
      <c r="I50" s="3"/>
      <c r="J50" s="20">
        <f t="shared" si="9"/>
        <v>21260</v>
      </c>
      <c r="K50" s="112">
        <v>0</v>
      </c>
      <c r="L50" s="3">
        <f t="shared" si="10"/>
        <v>21260</v>
      </c>
    </row>
    <row r="51" spans="1:12" x14ac:dyDescent="0.25">
      <c r="A51" s="258"/>
      <c r="B51" s="254"/>
      <c r="C51" s="6" t="s">
        <v>52</v>
      </c>
      <c r="D51" s="7">
        <f>SUM(D49:D50)</f>
        <v>100000</v>
      </c>
      <c r="E51" s="7">
        <v>100000</v>
      </c>
      <c r="F51" s="7">
        <f t="shared" ref="F51:L51" si="11">SUM(F49:F50)</f>
        <v>0</v>
      </c>
      <c r="G51" s="7">
        <f t="shared" si="11"/>
        <v>0</v>
      </c>
      <c r="H51" s="7">
        <f t="shared" si="11"/>
        <v>0</v>
      </c>
      <c r="I51" s="7">
        <f t="shared" si="11"/>
        <v>0</v>
      </c>
      <c r="J51" s="7">
        <f t="shared" si="11"/>
        <v>100000</v>
      </c>
      <c r="K51" s="114">
        <f t="shared" si="11"/>
        <v>0</v>
      </c>
      <c r="L51" s="7">
        <f t="shared" si="11"/>
        <v>100000</v>
      </c>
    </row>
    <row r="52" spans="1:12" x14ac:dyDescent="0.25">
      <c r="A52" s="258"/>
      <c r="B52" s="268" t="s">
        <v>46</v>
      </c>
      <c r="C52" s="2" t="s">
        <v>24</v>
      </c>
      <c r="D52" s="3">
        <v>25123345</v>
      </c>
      <c r="E52" s="3">
        <v>25143281</v>
      </c>
      <c r="F52" s="3"/>
      <c r="G52" s="3"/>
      <c r="H52" s="3"/>
      <c r="I52" s="3"/>
      <c r="J52" s="20">
        <f t="shared" ref="J52:J60" si="12">E52+F52+G52+H52+I52</f>
        <v>25143281</v>
      </c>
      <c r="K52" s="112">
        <v>13161649</v>
      </c>
      <c r="L52" s="3">
        <f t="shared" ref="L52:L60" si="13">J52-K52</f>
        <v>11981632</v>
      </c>
    </row>
    <row r="53" spans="1:12" x14ac:dyDescent="0.25">
      <c r="A53" s="258"/>
      <c r="B53" s="268"/>
      <c r="C53" s="2" t="s">
        <v>47</v>
      </c>
      <c r="D53" s="3">
        <v>2040480</v>
      </c>
      <c r="E53" s="3">
        <v>2040480</v>
      </c>
      <c r="F53" s="3"/>
      <c r="G53" s="3"/>
      <c r="H53" s="3"/>
      <c r="I53" s="3"/>
      <c r="J53" s="20">
        <f t="shared" si="12"/>
        <v>2040480</v>
      </c>
      <c r="K53" s="112">
        <v>1116546</v>
      </c>
      <c r="L53" s="3">
        <f t="shared" si="13"/>
        <v>923934</v>
      </c>
    </row>
    <row r="54" spans="1:12" x14ac:dyDescent="0.25">
      <c r="A54" s="258"/>
      <c r="B54" s="268"/>
      <c r="C54" s="2" t="s">
        <v>48</v>
      </c>
      <c r="D54" s="3">
        <v>0</v>
      </c>
      <c r="E54" s="3">
        <v>0</v>
      </c>
      <c r="F54" s="3"/>
      <c r="G54" s="3"/>
      <c r="H54" s="3"/>
      <c r="I54" s="3"/>
      <c r="J54" s="20">
        <f t="shared" si="12"/>
        <v>0</v>
      </c>
      <c r="K54" s="112">
        <v>0</v>
      </c>
      <c r="L54" s="3">
        <f t="shared" si="13"/>
        <v>0</v>
      </c>
    </row>
    <row r="55" spans="1:12" x14ac:dyDescent="0.25">
      <c r="A55" s="258"/>
      <c r="B55" s="268"/>
      <c r="C55" s="2" t="s">
        <v>25</v>
      </c>
      <c r="D55" s="3">
        <v>1025000</v>
      </c>
      <c r="E55" s="3">
        <v>1025000</v>
      </c>
      <c r="F55" s="3"/>
      <c r="G55" s="3"/>
      <c r="H55" s="3"/>
      <c r="I55" s="3"/>
      <c r="J55" s="20">
        <f t="shared" si="12"/>
        <v>1025000</v>
      </c>
      <c r="K55" s="112">
        <v>450000</v>
      </c>
      <c r="L55" s="3">
        <f t="shared" si="13"/>
        <v>575000</v>
      </c>
    </row>
    <row r="56" spans="1:12" x14ac:dyDescent="0.25">
      <c r="A56" s="258"/>
      <c r="B56" s="268"/>
      <c r="C56" s="2" t="s">
        <v>26</v>
      </c>
      <c r="D56" s="3">
        <v>60000</v>
      </c>
      <c r="E56" s="3">
        <v>60000</v>
      </c>
      <c r="F56" s="3"/>
      <c r="G56" s="3"/>
      <c r="H56" s="3"/>
      <c r="I56" s="3"/>
      <c r="J56" s="20">
        <f t="shared" si="12"/>
        <v>60000</v>
      </c>
      <c r="K56" s="112">
        <v>0</v>
      </c>
      <c r="L56" s="3">
        <f t="shared" si="13"/>
        <v>60000</v>
      </c>
    </row>
    <row r="57" spans="1:12" x14ac:dyDescent="0.25">
      <c r="A57" s="258"/>
      <c r="B57" s="268"/>
      <c r="C57" s="2" t="s">
        <v>27</v>
      </c>
      <c r="D57" s="3">
        <v>240000</v>
      </c>
      <c r="E57" s="3">
        <v>234798</v>
      </c>
      <c r="F57" s="3"/>
      <c r="G57" s="3"/>
      <c r="H57" s="3"/>
      <c r="I57" s="3"/>
      <c r="J57" s="20">
        <f t="shared" si="12"/>
        <v>234798</v>
      </c>
      <c r="K57" s="112">
        <v>85770</v>
      </c>
      <c r="L57" s="3">
        <f t="shared" si="13"/>
        <v>149028</v>
      </c>
    </row>
    <row r="58" spans="1:12" x14ac:dyDescent="0.25">
      <c r="A58" s="258"/>
      <c r="B58" s="268"/>
      <c r="C58" s="2" t="s">
        <v>28</v>
      </c>
      <c r="D58" s="3">
        <v>147000</v>
      </c>
      <c r="E58" s="3">
        <v>147000</v>
      </c>
      <c r="F58" s="3"/>
      <c r="G58" s="3"/>
      <c r="H58" s="3"/>
      <c r="I58" s="3"/>
      <c r="J58" s="20">
        <f t="shared" si="12"/>
        <v>147000</v>
      </c>
      <c r="K58" s="112">
        <v>57000</v>
      </c>
      <c r="L58" s="3">
        <f t="shared" si="13"/>
        <v>90000</v>
      </c>
    </row>
    <row r="59" spans="1:12" x14ac:dyDescent="0.25">
      <c r="A59" s="258"/>
      <c r="B59" s="268"/>
      <c r="C59" s="2" t="s">
        <v>29</v>
      </c>
      <c r="D59" s="3">
        <v>553500</v>
      </c>
      <c r="E59" s="3">
        <v>553500</v>
      </c>
      <c r="F59" s="3"/>
      <c r="G59" s="3"/>
      <c r="H59" s="3"/>
      <c r="I59" s="3"/>
      <c r="J59" s="20">
        <f t="shared" si="12"/>
        <v>553500</v>
      </c>
      <c r="K59" s="112">
        <v>385988</v>
      </c>
      <c r="L59" s="3">
        <f t="shared" si="13"/>
        <v>167512</v>
      </c>
    </row>
    <row r="60" spans="1:12" x14ac:dyDescent="0.25">
      <c r="A60" s="258"/>
      <c r="B60" s="268"/>
      <c r="C60" s="2" t="s">
        <v>30</v>
      </c>
      <c r="D60" s="3">
        <v>100000</v>
      </c>
      <c r="E60" s="3">
        <v>100000</v>
      </c>
      <c r="F60" s="3"/>
      <c r="G60" s="3"/>
      <c r="H60" s="3"/>
      <c r="I60" s="3"/>
      <c r="J60" s="20">
        <f t="shared" si="12"/>
        <v>100000</v>
      </c>
      <c r="K60" s="112">
        <v>13902</v>
      </c>
      <c r="L60" s="3">
        <f t="shared" si="13"/>
        <v>86098</v>
      </c>
    </row>
    <row r="61" spans="1:12" x14ac:dyDescent="0.25">
      <c r="A61" s="258"/>
      <c r="B61" s="268"/>
      <c r="C61" s="6" t="s">
        <v>53</v>
      </c>
      <c r="D61" s="7">
        <f>SUM(D52:D60)</f>
        <v>29289325</v>
      </c>
      <c r="E61" s="7">
        <v>29304059</v>
      </c>
      <c r="F61" s="7">
        <f t="shared" ref="F61:L61" si="14">SUM(F52:F60)</f>
        <v>0</v>
      </c>
      <c r="G61" s="7">
        <f t="shared" si="14"/>
        <v>0</v>
      </c>
      <c r="H61" s="7">
        <f t="shared" si="14"/>
        <v>0</v>
      </c>
      <c r="I61" s="7">
        <f t="shared" si="14"/>
        <v>0</v>
      </c>
      <c r="J61" s="7">
        <f t="shared" si="14"/>
        <v>29304059</v>
      </c>
      <c r="K61" s="114">
        <f t="shared" si="14"/>
        <v>15270855</v>
      </c>
      <c r="L61" s="7">
        <f t="shared" si="14"/>
        <v>14033204</v>
      </c>
    </row>
    <row r="62" spans="1:12" x14ac:dyDescent="0.25">
      <c r="A62" s="258"/>
      <c r="B62" s="268"/>
      <c r="C62" s="86" t="s">
        <v>31</v>
      </c>
      <c r="D62" s="87">
        <v>5849797</v>
      </c>
      <c r="E62" s="87">
        <v>5853685</v>
      </c>
      <c r="F62" s="87"/>
      <c r="G62" s="87"/>
      <c r="H62" s="87"/>
      <c r="I62" s="87"/>
      <c r="J62" s="88">
        <f t="shared" ref="J62:J75" si="15">E62+F62+G62+H62+I62</f>
        <v>5853685</v>
      </c>
      <c r="K62" s="115">
        <v>3316407</v>
      </c>
      <c r="L62" s="89">
        <f t="shared" ref="L62:L75" si="16">J62-K62</f>
        <v>2537278</v>
      </c>
    </row>
    <row r="63" spans="1:12" x14ac:dyDescent="0.25">
      <c r="A63" s="258"/>
      <c r="B63" s="268"/>
      <c r="C63" s="2" t="s">
        <v>32</v>
      </c>
      <c r="D63" s="3">
        <v>105000</v>
      </c>
      <c r="E63" s="3">
        <v>105000</v>
      </c>
      <c r="F63" s="3"/>
      <c r="G63" s="3"/>
      <c r="H63" s="3"/>
      <c r="I63" s="3"/>
      <c r="J63" s="20">
        <f t="shared" si="15"/>
        <v>105000</v>
      </c>
      <c r="K63" s="112">
        <v>24820</v>
      </c>
      <c r="L63" s="3">
        <f t="shared" si="16"/>
        <v>80180</v>
      </c>
    </row>
    <row r="64" spans="1:12" x14ac:dyDescent="0.25">
      <c r="A64" s="258"/>
      <c r="B64" s="268"/>
      <c r="C64" s="2" t="s">
        <v>33</v>
      </c>
      <c r="D64" s="3">
        <v>700000</v>
      </c>
      <c r="E64" s="3">
        <v>700000</v>
      </c>
      <c r="F64" s="3"/>
      <c r="G64" s="3"/>
      <c r="H64" s="3"/>
      <c r="I64" s="3"/>
      <c r="J64" s="20">
        <f t="shared" si="15"/>
        <v>700000</v>
      </c>
      <c r="K64" s="112">
        <v>14994</v>
      </c>
      <c r="L64" s="3">
        <f t="shared" si="16"/>
        <v>685006</v>
      </c>
    </row>
    <row r="65" spans="1:12" x14ac:dyDescent="0.25">
      <c r="A65" s="258"/>
      <c r="B65" s="268"/>
      <c r="C65" s="2" t="s">
        <v>34</v>
      </c>
      <c r="D65" s="3">
        <v>213000</v>
      </c>
      <c r="E65" s="3">
        <v>213000</v>
      </c>
      <c r="F65" s="3"/>
      <c r="G65" s="3"/>
      <c r="H65" s="3"/>
      <c r="I65" s="3"/>
      <c r="J65" s="20">
        <f t="shared" si="15"/>
        <v>213000</v>
      </c>
      <c r="K65" s="112">
        <v>67184</v>
      </c>
      <c r="L65" s="3">
        <f t="shared" si="16"/>
        <v>145816</v>
      </c>
    </row>
    <row r="66" spans="1:12" x14ac:dyDescent="0.25">
      <c r="A66" s="258"/>
      <c r="B66" s="268"/>
      <c r="C66" s="2" t="s">
        <v>35</v>
      </c>
      <c r="D66" s="3">
        <v>288000</v>
      </c>
      <c r="E66" s="3">
        <v>122200</v>
      </c>
      <c r="F66" s="3"/>
      <c r="G66" s="3"/>
      <c r="H66" s="3"/>
      <c r="I66" s="3"/>
      <c r="J66" s="20">
        <f t="shared" si="15"/>
        <v>122200</v>
      </c>
      <c r="K66" s="112">
        <v>66471</v>
      </c>
      <c r="L66" s="3">
        <f t="shared" si="16"/>
        <v>55729</v>
      </c>
    </row>
    <row r="67" spans="1:12" x14ac:dyDescent="0.25">
      <c r="A67" s="258"/>
      <c r="B67" s="268"/>
      <c r="C67" s="2" t="s">
        <v>36</v>
      </c>
      <c r="D67" s="3">
        <v>669540</v>
      </c>
      <c r="E67" s="3">
        <v>669540</v>
      </c>
      <c r="F67" s="3"/>
      <c r="G67" s="3"/>
      <c r="H67" s="3"/>
      <c r="I67" s="3"/>
      <c r="J67" s="20">
        <f t="shared" si="15"/>
        <v>669540</v>
      </c>
      <c r="K67" s="112">
        <v>425731</v>
      </c>
      <c r="L67" s="3">
        <f t="shared" si="16"/>
        <v>243809</v>
      </c>
    </row>
    <row r="68" spans="1:12" x14ac:dyDescent="0.25">
      <c r="A68" s="258"/>
      <c r="B68" s="268"/>
      <c r="C68" s="2" t="s">
        <v>37</v>
      </c>
      <c r="D68" s="3">
        <v>123000</v>
      </c>
      <c r="E68" s="3">
        <v>123000</v>
      </c>
      <c r="F68" s="3"/>
      <c r="G68" s="3"/>
      <c r="H68" s="3"/>
      <c r="I68" s="3"/>
      <c r="J68" s="20">
        <f t="shared" si="15"/>
        <v>123000</v>
      </c>
      <c r="K68" s="112">
        <v>0</v>
      </c>
      <c r="L68" s="3">
        <f t="shared" si="16"/>
        <v>123000</v>
      </c>
    </row>
    <row r="69" spans="1:12" x14ac:dyDescent="0.25">
      <c r="A69" s="258"/>
      <c r="B69" s="268"/>
      <c r="C69" s="2" t="s">
        <v>38</v>
      </c>
      <c r="D69" s="3">
        <v>460000</v>
      </c>
      <c r="E69" s="3">
        <v>460000</v>
      </c>
      <c r="F69" s="3"/>
      <c r="G69" s="3"/>
      <c r="H69" s="3"/>
      <c r="I69" s="3"/>
      <c r="J69" s="20">
        <f t="shared" si="15"/>
        <v>460000</v>
      </c>
      <c r="K69" s="112">
        <v>130277</v>
      </c>
      <c r="L69" s="3">
        <f t="shared" si="16"/>
        <v>329723</v>
      </c>
    </row>
    <row r="70" spans="1:12" x14ac:dyDescent="0.25">
      <c r="A70" s="258"/>
      <c r="B70" s="268"/>
      <c r="C70" s="2" t="s">
        <v>40</v>
      </c>
      <c r="D70" s="3">
        <v>1361904</v>
      </c>
      <c r="E70" s="3">
        <v>1361904</v>
      </c>
      <c r="F70" s="3"/>
      <c r="G70" s="3"/>
      <c r="H70" s="3"/>
      <c r="I70" s="3"/>
      <c r="J70" s="20">
        <f t="shared" si="15"/>
        <v>1361904</v>
      </c>
      <c r="K70" s="112">
        <v>398052</v>
      </c>
      <c r="L70" s="3">
        <f t="shared" si="16"/>
        <v>963852</v>
      </c>
    </row>
    <row r="71" spans="1:12" x14ac:dyDescent="0.25">
      <c r="A71" s="258"/>
      <c r="B71" s="268"/>
      <c r="C71" s="2" t="s">
        <v>41</v>
      </c>
      <c r="D71" s="3">
        <v>982236</v>
      </c>
      <c r="E71" s="3">
        <v>980551</v>
      </c>
      <c r="F71" s="3"/>
      <c r="G71" s="3"/>
      <c r="H71" s="3"/>
      <c r="I71" s="3"/>
      <c r="J71" s="20">
        <f t="shared" si="15"/>
        <v>980551</v>
      </c>
      <c r="K71" s="112">
        <v>562674</v>
      </c>
      <c r="L71" s="3">
        <f t="shared" si="16"/>
        <v>417877</v>
      </c>
    </row>
    <row r="72" spans="1:12" x14ac:dyDescent="0.25">
      <c r="A72" s="258"/>
      <c r="B72" s="268"/>
      <c r="C72" s="2" t="s">
        <v>42</v>
      </c>
      <c r="D72" s="3">
        <v>1200000</v>
      </c>
      <c r="E72" s="3">
        <v>1140675</v>
      </c>
      <c r="F72" s="3"/>
      <c r="G72" s="3"/>
      <c r="H72" s="3"/>
      <c r="I72" s="3"/>
      <c r="J72" s="20">
        <f t="shared" si="15"/>
        <v>1140675</v>
      </c>
      <c r="K72" s="112">
        <v>233660</v>
      </c>
      <c r="L72" s="3">
        <f t="shared" si="16"/>
        <v>907015</v>
      </c>
    </row>
    <row r="73" spans="1:12" x14ac:dyDescent="0.25">
      <c r="A73" s="258"/>
      <c r="B73" s="268"/>
      <c r="C73" s="2" t="s">
        <v>43</v>
      </c>
      <c r="D73" s="3">
        <v>30000</v>
      </c>
      <c r="E73" s="3">
        <v>30000</v>
      </c>
      <c r="F73" s="3"/>
      <c r="G73" s="3"/>
      <c r="H73" s="3"/>
      <c r="I73" s="3"/>
      <c r="J73" s="20">
        <f t="shared" si="15"/>
        <v>30000</v>
      </c>
      <c r="K73" s="112">
        <v>0</v>
      </c>
      <c r="L73" s="3">
        <f t="shared" si="16"/>
        <v>30000</v>
      </c>
    </row>
    <row r="74" spans="1:12" x14ac:dyDescent="0.25">
      <c r="A74" s="258"/>
      <c r="B74" s="268"/>
      <c r="C74" s="2" t="s">
        <v>44</v>
      </c>
      <c r="D74" s="3">
        <v>1041508</v>
      </c>
      <c r="E74" s="3">
        <v>980423</v>
      </c>
      <c r="F74" s="3"/>
      <c r="G74" s="3"/>
      <c r="H74" s="3"/>
      <c r="I74" s="3"/>
      <c r="J74" s="20">
        <f t="shared" si="15"/>
        <v>980423</v>
      </c>
      <c r="K74" s="112">
        <v>213640</v>
      </c>
      <c r="L74" s="3">
        <f t="shared" si="16"/>
        <v>766783</v>
      </c>
    </row>
    <row r="75" spans="1:12" x14ac:dyDescent="0.25">
      <c r="A75" s="258"/>
      <c r="B75" s="268"/>
      <c r="C75" s="2" t="s">
        <v>45</v>
      </c>
      <c r="D75" s="3">
        <v>433021</v>
      </c>
      <c r="E75" s="3">
        <v>160403</v>
      </c>
      <c r="F75" s="3">
        <v>-26400</v>
      </c>
      <c r="G75" s="3"/>
      <c r="H75" s="3"/>
      <c r="I75" s="3"/>
      <c r="J75" s="20">
        <f t="shared" si="15"/>
        <v>134003</v>
      </c>
      <c r="K75" s="112">
        <v>0</v>
      </c>
      <c r="L75" s="3">
        <f t="shared" si="16"/>
        <v>134003</v>
      </c>
    </row>
    <row r="76" spans="1:12" x14ac:dyDescent="0.25">
      <c r="A76" s="258"/>
      <c r="B76" s="268"/>
      <c r="C76" s="6" t="s">
        <v>49</v>
      </c>
      <c r="D76" s="7">
        <f>SUM(D63:D75)</f>
        <v>7607209</v>
      </c>
      <c r="E76" s="7">
        <v>7046696</v>
      </c>
      <c r="F76" s="7">
        <f t="shared" ref="F76:L76" si="17">SUM(F63:F75)</f>
        <v>-26400</v>
      </c>
      <c r="G76" s="7">
        <f t="shared" si="17"/>
        <v>0</v>
      </c>
      <c r="H76" s="7">
        <f t="shared" si="17"/>
        <v>0</v>
      </c>
      <c r="I76" s="7">
        <f t="shared" si="17"/>
        <v>0</v>
      </c>
      <c r="J76" s="7">
        <f t="shared" si="17"/>
        <v>7020296</v>
      </c>
      <c r="K76" s="114">
        <f t="shared" si="17"/>
        <v>2137503</v>
      </c>
      <c r="L76" s="7">
        <f t="shared" si="17"/>
        <v>4882793</v>
      </c>
    </row>
    <row r="77" spans="1:12" x14ac:dyDescent="0.25">
      <c r="A77" s="258"/>
      <c r="B77" s="268"/>
      <c r="C77" s="2" t="s">
        <v>50</v>
      </c>
      <c r="D77" s="3">
        <v>78740</v>
      </c>
      <c r="E77" s="3">
        <v>78740</v>
      </c>
      <c r="F77" s="3"/>
      <c r="G77" s="3"/>
      <c r="H77" s="3"/>
      <c r="I77" s="3"/>
      <c r="J77" s="20">
        <f t="shared" ref="J77:J78" si="18">E77+F77+G77+H77+I77</f>
        <v>78740</v>
      </c>
      <c r="K77" s="112">
        <v>0</v>
      </c>
      <c r="L77" s="3">
        <f t="shared" ref="L77:L78" si="19">J77-K77</f>
        <v>78740</v>
      </c>
    </row>
    <row r="78" spans="1:12" x14ac:dyDescent="0.25">
      <c r="A78" s="258"/>
      <c r="B78" s="268"/>
      <c r="C78" s="2" t="s">
        <v>51</v>
      </c>
      <c r="D78" s="3">
        <v>21260</v>
      </c>
      <c r="E78" s="3">
        <v>21260</v>
      </c>
      <c r="F78" s="3"/>
      <c r="G78" s="3"/>
      <c r="H78" s="3"/>
      <c r="I78" s="3"/>
      <c r="J78" s="20">
        <f t="shared" si="18"/>
        <v>21260</v>
      </c>
      <c r="K78" s="112">
        <v>0</v>
      </c>
      <c r="L78" s="3">
        <f t="shared" si="19"/>
        <v>21260</v>
      </c>
    </row>
    <row r="79" spans="1:12" x14ac:dyDescent="0.25">
      <c r="A79" s="258"/>
      <c r="B79" s="268"/>
      <c r="C79" s="6" t="s">
        <v>52</v>
      </c>
      <c r="D79" s="7">
        <f>SUM(D77:D78)</f>
        <v>100000</v>
      </c>
      <c r="E79" s="7">
        <v>100000</v>
      </c>
      <c r="F79" s="7">
        <f t="shared" ref="F79:L79" si="20">SUM(F77:F78)</f>
        <v>0</v>
      </c>
      <c r="G79" s="7">
        <f t="shared" si="20"/>
        <v>0</v>
      </c>
      <c r="H79" s="7">
        <f t="shared" si="20"/>
        <v>0</v>
      </c>
      <c r="I79" s="7">
        <f t="shared" si="20"/>
        <v>0</v>
      </c>
      <c r="J79" s="7">
        <f t="shared" si="20"/>
        <v>100000</v>
      </c>
      <c r="K79" s="114">
        <f t="shared" si="20"/>
        <v>0</v>
      </c>
      <c r="L79" s="7">
        <f t="shared" si="20"/>
        <v>100000</v>
      </c>
    </row>
    <row r="80" spans="1:12" x14ac:dyDescent="0.25">
      <c r="A80" s="259" t="s">
        <v>58</v>
      </c>
      <c r="B80" s="261" t="s">
        <v>46</v>
      </c>
      <c r="C80" s="15" t="s">
        <v>29</v>
      </c>
      <c r="D80" s="24">
        <v>410400</v>
      </c>
      <c r="E80" s="24">
        <v>410400</v>
      </c>
      <c r="F80" s="11"/>
      <c r="G80" s="11"/>
      <c r="H80" s="11"/>
      <c r="I80" s="11"/>
      <c r="J80" s="20">
        <f t="shared" ref="J80:J87" si="21">E80+F80+G80+H80+I80</f>
        <v>410400</v>
      </c>
      <c r="K80" s="112">
        <v>250200</v>
      </c>
      <c r="L80" s="3">
        <f t="shared" ref="L80:L87" si="22">J80-K80</f>
        <v>160200</v>
      </c>
    </row>
    <row r="81" spans="1:12" x14ac:dyDescent="0.25">
      <c r="A81" s="260"/>
      <c r="B81" s="262"/>
      <c r="C81" s="15" t="s">
        <v>31</v>
      </c>
      <c r="D81" s="24">
        <v>76266</v>
      </c>
      <c r="E81" s="24">
        <v>76266</v>
      </c>
      <c r="F81" s="11"/>
      <c r="G81" s="11"/>
      <c r="H81" s="11"/>
      <c r="I81" s="11"/>
      <c r="J81" s="20">
        <f t="shared" si="21"/>
        <v>76266</v>
      </c>
      <c r="K81" s="112">
        <v>48789</v>
      </c>
      <c r="L81" s="3">
        <f t="shared" si="22"/>
        <v>27477</v>
      </c>
    </row>
    <row r="82" spans="1:12" x14ac:dyDescent="0.25">
      <c r="A82" s="259" t="s">
        <v>59</v>
      </c>
      <c r="B82" s="261" t="s">
        <v>23</v>
      </c>
      <c r="C82" s="15" t="s">
        <v>29</v>
      </c>
      <c r="D82" s="24">
        <v>603600</v>
      </c>
      <c r="E82" s="24">
        <v>603600</v>
      </c>
      <c r="F82" s="11"/>
      <c r="G82" s="11"/>
      <c r="H82" s="11"/>
      <c r="I82" s="11"/>
      <c r="J82" s="20">
        <f t="shared" si="21"/>
        <v>603600</v>
      </c>
      <c r="K82" s="112">
        <v>209300</v>
      </c>
      <c r="L82" s="3">
        <f t="shared" si="22"/>
        <v>394300</v>
      </c>
    </row>
    <row r="83" spans="1:12" x14ac:dyDescent="0.25">
      <c r="A83" s="260"/>
      <c r="B83" s="262"/>
      <c r="C83" s="15" t="s">
        <v>31</v>
      </c>
      <c r="D83" s="24">
        <v>112169</v>
      </c>
      <c r="E83" s="24">
        <v>112169</v>
      </c>
      <c r="F83" s="11"/>
      <c r="G83" s="11"/>
      <c r="H83" s="11"/>
      <c r="I83" s="11"/>
      <c r="J83" s="20">
        <f t="shared" si="21"/>
        <v>112169</v>
      </c>
      <c r="K83" s="112">
        <v>40813</v>
      </c>
      <c r="L83" s="3">
        <f t="shared" si="22"/>
        <v>71356</v>
      </c>
    </row>
    <row r="84" spans="1:12" x14ac:dyDescent="0.25">
      <c r="A84" s="259" t="s">
        <v>60</v>
      </c>
      <c r="B84" s="261" t="s">
        <v>23</v>
      </c>
      <c r="C84" s="15" t="s">
        <v>24</v>
      </c>
      <c r="D84" s="24">
        <v>10676226</v>
      </c>
      <c r="E84" s="24">
        <v>10676226</v>
      </c>
      <c r="F84" s="11"/>
      <c r="G84" s="11"/>
      <c r="H84" s="11"/>
      <c r="I84" s="11"/>
      <c r="J84" s="20">
        <f t="shared" si="21"/>
        <v>10676226</v>
      </c>
      <c r="K84" s="112">
        <v>6011738</v>
      </c>
      <c r="L84" s="3">
        <f t="shared" si="22"/>
        <v>4664488</v>
      </c>
    </row>
    <row r="85" spans="1:12" x14ac:dyDescent="0.25">
      <c r="A85" s="260"/>
      <c r="B85" s="262"/>
      <c r="C85" s="15" t="s">
        <v>31</v>
      </c>
      <c r="D85" s="24">
        <v>1989265</v>
      </c>
      <c r="E85" s="24">
        <v>1989265</v>
      </c>
      <c r="F85" s="11"/>
      <c r="G85" s="11"/>
      <c r="H85" s="11"/>
      <c r="I85" s="11"/>
      <c r="J85" s="20">
        <f t="shared" si="21"/>
        <v>1989265</v>
      </c>
      <c r="K85" s="112">
        <v>1172290</v>
      </c>
      <c r="L85" s="3">
        <f t="shared" si="22"/>
        <v>816975</v>
      </c>
    </row>
    <row r="86" spans="1:12" x14ac:dyDescent="0.25">
      <c r="A86" s="259" t="s">
        <v>61</v>
      </c>
      <c r="B86" s="261" t="s">
        <v>46</v>
      </c>
      <c r="C86" s="15" t="s">
        <v>24</v>
      </c>
      <c r="D86" s="24">
        <v>8397674</v>
      </c>
      <c r="E86" s="24">
        <v>8397674</v>
      </c>
      <c r="F86" s="11"/>
      <c r="G86" s="11"/>
      <c r="H86" s="11"/>
      <c r="I86" s="11"/>
      <c r="J86" s="20">
        <f t="shared" si="21"/>
        <v>8397674</v>
      </c>
      <c r="K86" s="112">
        <v>4413243</v>
      </c>
      <c r="L86" s="3">
        <f t="shared" si="22"/>
        <v>3984431</v>
      </c>
    </row>
    <row r="87" spans="1:12" x14ac:dyDescent="0.25">
      <c r="A87" s="260"/>
      <c r="B87" s="262"/>
      <c r="C87" s="15" t="s">
        <v>31</v>
      </c>
      <c r="D87" s="24">
        <v>1563353</v>
      </c>
      <c r="E87" s="24">
        <v>1563353</v>
      </c>
      <c r="F87" s="11"/>
      <c r="G87" s="11"/>
      <c r="H87" s="11"/>
      <c r="I87" s="11"/>
      <c r="J87" s="20">
        <f t="shared" si="21"/>
        <v>1563353</v>
      </c>
      <c r="K87" s="112">
        <v>860579</v>
      </c>
      <c r="L87" s="3">
        <f t="shared" si="22"/>
        <v>702774</v>
      </c>
    </row>
    <row r="88" spans="1:12" x14ac:dyDescent="0.25">
      <c r="A88" s="353" t="s">
        <v>76</v>
      </c>
      <c r="B88" s="354"/>
      <c r="C88" s="355"/>
      <c r="D88" s="126">
        <f t="shared" ref="D88" si="23">SUM(D32+D33+D48+D51+D61+D62+D76+D79+D80+D81+D82+D83+D84+D85+D86+D87)</f>
        <v>118207303</v>
      </c>
      <c r="E88" s="126">
        <v>117426902</v>
      </c>
      <c r="F88" s="126">
        <f t="shared" ref="F88:L88" si="24">SUM(F32+F33+F48+F51+F61+F62+F76+F79+F80+F81+F82+F83+F84+F85+F86+F87)</f>
        <v>-95912</v>
      </c>
      <c r="G88" s="126">
        <f t="shared" si="24"/>
        <v>0</v>
      </c>
      <c r="H88" s="126">
        <f t="shared" si="24"/>
        <v>0</v>
      </c>
      <c r="I88" s="126">
        <f t="shared" si="24"/>
        <v>0</v>
      </c>
      <c r="J88" s="126">
        <f t="shared" si="24"/>
        <v>117330990</v>
      </c>
      <c r="K88" s="128">
        <f t="shared" si="24"/>
        <v>59685782</v>
      </c>
      <c r="L88" s="126">
        <f t="shared" si="24"/>
        <v>57645208</v>
      </c>
    </row>
    <row r="89" spans="1:12" x14ac:dyDescent="0.25">
      <c r="A89" s="258" t="s">
        <v>12</v>
      </c>
      <c r="B89" s="268" t="s">
        <v>23</v>
      </c>
      <c r="C89" s="2" t="s">
        <v>24</v>
      </c>
      <c r="D89" s="3">
        <v>4811583</v>
      </c>
      <c r="E89" s="3">
        <v>4811583</v>
      </c>
      <c r="F89" s="3">
        <v>-78715</v>
      </c>
      <c r="G89" s="3"/>
      <c r="H89" s="3"/>
      <c r="I89" s="3"/>
      <c r="J89" s="20">
        <f t="shared" ref="J89:J95" si="25">E89+F89+G89+H89+I89</f>
        <v>4732868</v>
      </c>
      <c r="K89" s="112">
        <v>2588552</v>
      </c>
      <c r="L89" s="3">
        <f t="shared" ref="L89:L95" si="26">J89-K89</f>
        <v>2144316</v>
      </c>
    </row>
    <row r="90" spans="1:12" x14ac:dyDescent="0.25">
      <c r="A90" s="258"/>
      <c r="B90" s="268"/>
      <c r="C90" s="2" t="s">
        <v>25</v>
      </c>
      <c r="D90" s="3">
        <v>200000</v>
      </c>
      <c r="E90" s="3">
        <v>200000</v>
      </c>
      <c r="F90" s="3"/>
      <c r="G90" s="3"/>
      <c r="H90" s="3"/>
      <c r="I90" s="3"/>
      <c r="J90" s="20">
        <f t="shared" si="25"/>
        <v>200000</v>
      </c>
      <c r="K90" s="112">
        <v>100000</v>
      </c>
      <c r="L90" s="3">
        <f t="shared" si="26"/>
        <v>100000</v>
      </c>
    </row>
    <row r="91" spans="1:12" x14ac:dyDescent="0.25">
      <c r="A91" s="258"/>
      <c r="B91" s="268"/>
      <c r="C91" s="2" t="s">
        <v>26</v>
      </c>
      <c r="D91" s="3">
        <v>10000</v>
      </c>
      <c r="E91" s="3">
        <v>10000</v>
      </c>
      <c r="F91" s="3"/>
      <c r="G91" s="3"/>
      <c r="H91" s="3"/>
      <c r="I91" s="3"/>
      <c r="J91" s="20">
        <f t="shared" si="25"/>
        <v>10000</v>
      </c>
      <c r="K91" s="112">
        <v>0</v>
      </c>
      <c r="L91" s="3">
        <f t="shared" si="26"/>
        <v>10000</v>
      </c>
    </row>
    <row r="92" spans="1:12" x14ac:dyDescent="0.25">
      <c r="A92" s="258"/>
      <c r="B92" s="268"/>
      <c r="C92" s="2" t="s">
        <v>27</v>
      </c>
      <c r="D92" s="3">
        <v>198000</v>
      </c>
      <c r="E92" s="3">
        <v>198000</v>
      </c>
      <c r="F92" s="3"/>
      <c r="G92" s="3"/>
      <c r="H92" s="3"/>
      <c r="I92" s="3"/>
      <c r="J92" s="20">
        <f t="shared" si="25"/>
        <v>198000</v>
      </c>
      <c r="K92" s="112">
        <v>79380</v>
      </c>
      <c r="L92" s="3">
        <f t="shared" si="26"/>
        <v>118620</v>
      </c>
    </row>
    <row r="93" spans="1:12" x14ac:dyDescent="0.25">
      <c r="A93" s="258"/>
      <c r="B93" s="268"/>
      <c r="C93" s="2" t="s">
        <v>28</v>
      </c>
      <c r="D93" s="3">
        <v>24000</v>
      </c>
      <c r="E93" s="3">
        <v>24000</v>
      </c>
      <c r="F93" s="3"/>
      <c r="G93" s="3"/>
      <c r="H93" s="3"/>
      <c r="I93" s="3"/>
      <c r="J93" s="20">
        <f t="shared" si="25"/>
        <v>24000</v>
      </c>
      <c r="K93" s="112">
        <v>12000</v>
      </c>
      <c r="L93" s="3">
        <f t="shared" si="26"/>
        <v>12000</v>
      </c>
    </row>
    <row r="94" spans="1:12" x14ac:dyDescent="0.25">
      <c r="A94" s="258"/>
      <c r="B94" s="268"/>
      <c r="C94" s="2" t="s">
        <v>29</v>
      </c>
      <c r="D94" s="3">
        <v>75000</v>
      </c>
      <c r="E94" s="3">
        <v>75000</v>
      </c>
      <c r="F94" s="3">
        <v>78715</v>
      </c>
      <c r="G94" s="3"/>
      <c r="H94" s="3"/>
      <c r="I94" s="3"/>
      <c r="J94" s="20">
        <f t="shared" si="25"/>
        <v>153715</v>
      </c>
      <c r="K94" s="112">
        <v>78715</v>
      </c>
      <c r="L94" s="3">
        <f t="shared" si="26"/>
        <v>75000</v>
      </c>
    </row>
    <row r="95" spans="1:12" x14ac:dyDescent="0.25">
      <c r="A95" s="258"/>
      <c r="B95" s="268"/>
      <c r="C95" s="2" t="s">
        <v>30</v>
      </c>
      <c r="D95" s="3">
        <v>0</v>
      </c>
      <c r="E95" s="3">
        <v>0</v>
      </c>
      <c r="F95" s="3"/>
      <c r="G95" s="3"/>
      <c r="H95" s="3"/>
      <c r="I95" s="3"/>
      <c r="J95" s="20">
        <f t="shared" si="25"/>
        <v>0</v>
      </c>
      <c r="K95" s="112">
        <v>0</v>
      </c>
      <c r="L95" s="3">
        <f t="shared" si="26"/>
        <v>0</v>
      </c>
    </row>
    <row r="96" spans="1:12" x14ac:dyDescent="0.25">
      <c r="A96" s="258"/>
      <c r="B96" s="268"/>
      <c r="C96" s="6" t="s">
        <v>53</v>
      </c>
      <c r="D96" s="7">
        <f>SUM(D89:D95)</f>
        <v>5318583</v>
      </c>
      <c r="E96" s="7">
        <v>5318583</v>
      </c>
      <c r="F96" s="7">
        <f t="shared" ref="F96:L96" si="27">SUM(F89:F95)</f>
        <v>0</v>
      </c>
      <c r="G96" s="7">
        <f t="shared" si="27"/>
        <v>0</v>
      </c>
      <c r="H96" s="7">
        <f t="shared" si="27"/>
        <v>0</v>
      </c>
      <c r="I96" s="7">
        <f t="shared" si="27"/>
        <v>0</v>
      </c>
      <c r="J96" s="7">
        <f t="shared" si="27"/>
        <v>5318583</v>
      </c>
      <c r="K96" s="114">
        <f t="shared" si="27"/>
        <v>2858647</v>
      </c>
      <c r="L96" s="7">
        <f t="shared" si="27"/>
        <v>2459936</v>
      </c>
    </row>
    <row r="97" spans="1:12" x14ac:dyDescent="0.25">
      <c r="A97" s="258"/>
      <c r="B97" s="268"/>
      <c r="C97" s="86" t="s">
        <v>31</v>
      </c>
      <c r="D97" s="87">
        <v>1035556</v>
      </c>
      <c r="E97" s="87">
        <v>1035556</v>
      </c>
      <c r="F97" s="87"/>
      <c r="G97" s="87"/>
      <c r="H97" s="87"/>
      <c r="I97" s="87"/>
      <c r="J97" s="88">
        <f t="shared" ref="J97:J107" si="28">E97+F97+G97+H97+I97</f>
        <v>1035556</v>
      </c>
      <c r="K97" s="115">
        <v>596826</v>
      </c>
      <c r="L97" s="89">
        <f t="shared" ref="L97:L107" si="29">J97-K97</f>
        <v>438730</v>
      </c>
    </row>
    <row r="98" spans="1:12" x14ac:dyDescent="0.25">
      <c r="A98" s="258"/>
      <c r="B98" s="268"/>
      <c r="C98" s="2" t="s">
        <v>32</v>
      </c>
      <c r="D98" s="3">
        <v>100000</v>
      </c>
      <c r="E98" s="3">
        <v>100000</v>
      </c>
      <c r="F98" s="3"/>
      <c r="G98" s="3"/>
      <c r="H98" s="3"/>
      <c r="I98" s="3"/>
      <c r="J98" s="20">
        <f t="shared" si="28"/>
        <v>100000</v>
      </c>
      <c r="K98" s="112">
        <v>0</v>
      </c>
      <c r="L98" s="3">
        <f t="shared" si="29"/>
        <v>100000</v>
      </c>
    </row>
    <row r="99" spans="1:12" x14ac:dyDescent="0.25">
      <c r="A99" s="258"/>
      <c r="B99" s="268"/>
      <c r="C99" s="2" t="s">
        <v>33</v>
      </c>
      <c r="D99" s="3">
        <v>100000</v>
      </c>
      <c r="E99" s="3">
        <v>100000</v>
      </c>
      <c r="F99" s="3"/>
      <c r="G99" s="3"/>
      <c r="H99" s="3"/>
      <c r="I99" s="3"/>
      <c r="J99" s="20">
        <f t="shared" si="28"/>
        <v>100000</v>
      </c>
      <c r="K99" s="112">
        <v>0</v>
      </c>
      <c r="L99" s="3">
        <f t="shared" si="29"/>
        <v>100000</v>
      </c>
    </row>
    <row r="100" spans="1:12" x14ac:dyDescent="0.25">
      <c r="A100" s="258"/>
      <c r="B100" s="268"/>
      <c r="C100" s="2" t="s">
        <v>34</v>
      </c>
      <c r="D100" s="3">
        <v>210000</v>
      </c>
      <c r="E100" s="3">
        <v>210000</v>
      </c>
      <c r="F100" s="3"/>
      <c r="G100" s="3"/>
      <c r="H100" s="3"/>
      <c r="I100" s="3"/>
      <c r="J100" s="20">
        <f t="shared" si="28"/>
        <v>210000</v>
      </c>
      <c r="K100" s="112">
        <v>0</v>
      </c>
      <c r="L100" s="3">
        <f t="shared" si="29"/>
        <v>210000</v>
      </c>
    </row>
    <row r="101" spans="1:12" x14ac:dyDescent="0.25">
      <c r="A101" s="258"/>
      <c r="B101" s="268"/>
      <c r="C101" s="2" t="s">
        <v>35</v>
      </c>
      <c r="D101" s="3">
        <v>110000</v>
      </c>
      <c r="E101" s="3">
        <v>110000</v>
      </c>
      <c r="F101" s="3"/>
      <c r="G101" s="3"/>
      <c r="H101" s="3"/>
      <c r="I101" s="3"/>
      <c r="J101" s="20">
        <f t="shared" si="28"/>
        <v>110000</v>
      </c>
      <c r="K101" s="112">
        <v>0</v>
      </c>
      <c r="L101" s="3">
        <f t="shared" si="29"/>
        <v>110000</v>
      </c>
    </row>
    <row r="102" spans="1:12" x14ac:dyDescent="0.25">
      <c r="A102" s="258"/>
      <c r="B102" s="268"/>
      <c r="C102" s="2" t="s">
        <v>36</v>
      </c>
      <c r="D102" s="3">
        <v>500000</v>
      </c>
      <c r="E102" s="3">
        <v>500000</v>
      </c>
      <c r="F102" s="3"/>
      <c r="G102" s="3"/>
      <c r="H102" s="3"/>
      <c r="I102" s="3"/>
      <c r="J102" s="20">
        <f t="shared" si="28"/>
        <v>500000</v>
      </c>
      <c r="K102" s="112">
        <v>324334</v>
      </c>
      <c r="L102" s="3">
        <f t="shared" si="29"/>
        <v>175666</v>
      </c>
    </row>
    <row r="103" spans="1:12" x14ac:dyDescent="0.25">
      <c r="A103" s="258"/>
      <c r="B103" s="268"/>
      <c r="C103" s="2" t="s">
        <v>38</v>
      </c>
      <c r="D103" s="3">
        <v>140000</v>
      </c>
      <c r="E103" s="3">
        <v>140000</v>
      </c>
      <c r="F103" s="3"/>
      <c r="G103" s="3"/>
      <c r="H103" s="3"/>
      <c r="I103" s="3"/>
      <c r="J103" s="20">
        <f t="shared" si="28"/>
        <v>140000</v>
      </c>
      <c r="K103" s="112">
        <v>0</v>
      </c>
      <c r="L103" s="3">
        <f t="shared" si="29"/>
        <v>140000</v>
      </c>
    </row>
    <row r="104" spans="1:12" x14ac:dyDescent="0.25">
      <c r="A104" s="258"/>
      <c r="B104" s="268"/>
      <c r="C104" s="2" t="s">
        <v>40</v>
      </c>
      <c r="D104" s="3">
        <v>16800</v>
      </c>
      <c r="E104" s="3">
        <v>16800</v>
      </c>
      <c r="F104" s="3"/>
      <c r="G104" s="3"/>
      <c r="H104" s="3"/>
      <c r="I104" s="3"/>
      <c r="J104" s="20">
        <f t="shared" si="28"/>
        <v>16800</v>
      </c>
      <c r="K104" s="112">
        <v>3400</v>
      </c>
      <c r="L104" s="3">
        <f t="shared" si="29"/>
        <v>13400</v>
      </c>
    </row>
    <row r="105" spans="1:12" x14ac:dyDescent="0.25">
      <c r="A105" s="258"/>
      <c r="B105" s="268"/>
      <c r="C105" s="2" t="s">
        <v>41</v>
      </c>
      <c r="D105" s="3">
        <v>80000</v>
      </c>
      <c r="E105" s="3">
        <v>80000</v>
      </c>
      <c r="F105" s="3">
        <v>5160</v>
      </c>
      <c r="G105" s="3"/>
      <c r="H105" s="3"/>
      <c r="I105" s="3"/>
      <c r="J105" s="20">
        <f t="shared" si="28"/>
        <v>85160</v>
      </c>
      <c r="K105" s="112">
        <v>85160</v>
      </c>
      <c r="L105" s="136">
        <f t="shared" si="29"/>
        <v>0</v>
      </c>
    </row>
    <row r="106" spans="1:12" x14ac:dyDescent="0.25">
      <c r="A106" s="258"/>
      <c r="B106" s="268"/>
      <c r="C106" s="2" t="s">
        <v>42</v>
      </c>
      <c r="D106" s="3">
        <v>240000</v>
      </c>
      <c r="E106" s="3">
        <v>240000</v>
      </c>
      <c r="F106" s="3"/>
      <c r="G106" s="3"/>
      <c r="H106" s="3"/>
      <c r="I106" s="3"/>
      <c r="J106" s="20">
        <f t="shared" si="28"/>
        <v>240000</v>
      </c>
      <c r="K106" s="112">
        <v>109985</v>
      </c>
      <c r="L106" s="3">
        <f t="shared" si="29"/>
        <v>130015</v>
      </c>
    </row>
    <row r="107" spans="1:12" x14ac:dyDescent="0.25">
      <c r="A107" s="258"/>
      <c r="B107" s="268"/>
      <c r="C107" s="2" t="s">
        <v>44</v>
      </c>
      <c r="D107" s="3">
        <v>200600</v>
      </c>
      <c r="E107" s="3">
        <v>200600</v>
      </c>
      <c r="F107" s="3">
        <v>-5160</v>
      </c>
      <c r="G107" s="3"/>
      <c r="H107" s="3"/>
      <c r="I107" s="3"/>
      <c r="J107" s="20">
        <f t="shared" si="28"/>
        <v>195440</v>
      </c>
      <c r="K107" s="112">
        <v>26519</v>
      </c>
      <c r="L107" s="3">
        <f t="shared" si="29"/>
        <v>168921</v>
      </c>
    </row>
    <row r="108" spans="1:12" x14ac:dyDescent="0.25">
      <c r="A108" s="258"/>
      <c r="B108" s="268"/>
      <c r="C108" s="6" t="s">
        <v>49</v>
      </c>
      <c r="D108" s="7">
        <f>SUM(D98:D107)</f>
        <v>1697400</v>
      </c>
      <c r="E108" s="7">
        <v>1697400</v>
      </c>
      <c r="F108" s="7">
        <f t="shared" ref="F108:L108" si="30">SUM(F98:F107)</f>
        <v>0</v>
      </c>
      <c r="G108" s="7">
        <f t="shared" si="30"/>
        <v>0</v>
      </c>
      <c r="H108" s="7">
        <f t="shared" si="30"/>
        <v>0</v>
      </c>
      <c r="I108" s="7">
        <f t="shared" si="30"/>
        <v>0</v>
      </c>
      <c r="J108" s="7">
        <f t="shared" si="30"/>
        <v>1697400</v>
      </c>
      <c r="K108" s="114">
        <f t="shared" si="30"/>
        <v>549398</v>
      </c>
      <c r="L108" s="7">
        <f t="shared" si="30"/>
        <v>1148002</v>
      </c>
    </row>
    <row r="109" spans="1:12" x14ac:dyDescent="0.25">
      <c r="A109" s="255" t="s">
        <v>62</v>
      </c>
      <c r="B109" s="252" t="s">
        <v>23</v>
      </c>
      <c r="C109" s="15" t="s">
        <v>29</v>
      </c>
      <c r="D109" s="24">
        <v>111600</v>
      </c>
      <c r="E109" s="24">
        <v>111600</v>
      </c>
      <c r="F109" s="11"/>
      <c r="G109" s="11"/>
      <c r="H109" s="11"/>
      <c r="I109" s="11"/>
      <c r="J109" s="20">
        <f t="shared" ref="J109:J112" si="31">E109+F109+G109+H109+I109</f>
        <v>111600</v>
      </c>
      <c r="K109" s="112">
        <v>41100</v>
      </c>
      <c r="L109" s="3">
        <f t="shared" ref="L109:L112" si="32">J109-K109</f>
        <v>70500</v>
      </c>
    </row>
    <row r="110" spans="1:12" x14ac:dyDescent="0.25">
      <c r="A110" s="257"/>
      <c r="B110" s="254"/>
      <c r="C110" s="15" t="s">
        <v>31</v>
      </c>
      <c r="D110" s="24">
        <v>20739</v>
      </c>
      <c r="E110" s="24">
        <v>20739</v>
      </c>
      <c r="F110" s="11"/>
      <c r="G110" s="11"/>
      <c r="H110" s="11"/>
      <c r="I110" s="11"/>
      <c r="J110" s="20">
        <f t="shared" si="31"/>
        <v>20739</v>
      </c>
      <c r="K110" s="112">
        <v>8012</v>
      </c>
      <c r="L110" s="3">
        <f t="shared" si="32"/>
        <v>12727</v>
      </c>
    </row>
    <row r="111" spans="1:12" x14ac:dyDescent="0.25">
      <c r="A111" s="255" t="s">
        <v>63</v>
      </c>
      <c r="B111" s="252" t="s">
        <v>23</v>
      </c>
      <c r="C111" s="15" t="s">
        <v>24</v>
      </c>
      <c r="D111" s="24">
        <v>1460272</v>
      </c>
      <c r="E111" s="24">
        <v>1460272</v>
      </c>
      <c r="F111" s="11"/>
      <c r="G111" s="11"/>
      <c r="H111" s="11"/>
      <c r="I111" s="11"/>
      <c r="J111" s="20">
        <f t="shared" si="31"/>
        <v>1460272</v>
      </c>
      <c r="K111" s="112">
        <v>874995</v>
      </c>
      <c r="L111" s="3">
        <f t="shared" si="32"/>
        <v>585277</v>
      </c>
    </row>
    <row r="112" spans="1:12" x14ac:dyDescent="0.25">
      <c r="A112" s="257"/>
      <c r="B112" s="254"/>
      <c r="C112" s="15" t="s">
        <v>31</v>
      </c>
      <c r="D112" s="24">
        <v>272168</v>
      </c>
      <c r="E112" s="24">
        <v>272168</v>
      </c>
      <c r="F112" s="11"/>
      <c r="G112" s="11"/>
      <c r="H112" s="11"/>
      <c r="I112" s="11"/>
      <c r="J112" s="20">
        <f t="shared" si="31"/>
        <v>272168</v>
      </c>
      <c r="K112" s="112">
        <v>170624</v>
      </c>
      <c r="L112" s="3">
        <f t="shared" si="32"/>
        <v>101544</v>
      </c>
    </row>
    <row r="113" spans="1:12" x14ac:dyDescent="0.25">
      <c r="A113" s="353" t="s">
        <v>77</v>
      </c>
      <c r="B113" s="354"/>
      <c r="C113" s="355"/>
      <c r="D113" s="126">
        <f>SUM(D96+D97+D108+D109+D110+D111+D112)</f>
        <v>9916318</v>
      </c>
      <c r="E113" s="126">
        <v>9916318</v>
      </c>
      <c r="F113" s="126">
        <f t="shared" ref="F113:L113" si="33">SUM(F96+F97+F108+F109+F110+F111+F112)</f>
        <v>0</v>
      </c>
      <c r="G113" s="126">
        <f t="shared" si="33"/>
        <v>0</v>
      </c>
      <c r="H113" s="126">
        <f t="shared" si="33"/>
        <v>0</v>
      </c>
      <c r="I113" s="126">
        <f t="shared" si="33"/>
        <v>0</v>
      </c>
      <c r="J113" s="126">
        <f t="shared" si="33"/>
        <v>9916318</v>
      </c>
      <c r="K113" s="128">
        <f t="shared" si="33"/>
        <v>5099602</v>
      </c>
      <c r="L113" s="126">
        <f t="shared" si="33"/>
        <v>4816716</v>
      </c>
    </row>
    <row r="114" spans="1:12" x14ac:dyDescent="0.25">
      <c r="A114" s="258" t="s">
        <v>13</v>
      </c>
      <c r="B114" s="268" t="s">
        <v>23</v>
      </c>
      <c r="C114" s="2" t="s">
        <v>24</v>
      </c>
      <c r="D114" s="3">
        <v>4871210</v>
      </c>
      <c r="E114" s="3">
        <v>4856627</v>
      </c>
      <c r="F114" s="3"/>
      <c r="G114" s="3"/>
      <c r="H114" s="3"/>
      <c r="I114" s="3"/>
      <c r="J114" s="20">
        <f t="shared" ref="J114:J119" si="34">E114+F114+G114+H114+I114</f>
        <v>4856627</v>
      </c>
      <c r="K114" s="112">
        <v>2735899</v>
      </c>
      <c r="L114" s="3">
        <f t="shared" ref="L114:L119" si="35">J114-K114</f>
        <v>2120728</v>
      </c>
    </row>
    <row r="115" spans="1:12" x14ac:dyDescent="0.25">
      <c r="A115" s="258"/>
      <c r="B115" s="268"/>
      <c r="C115" s="2" t="s">
        <v>25</v>
      </c>
      <c r="D115" s="3">
        <v>200000</v>
      </c>
      <c r="E115" s="3">
        <v>200000</v>
      </c>
      <c r="F115" s="3"/>
      <c r="G115" s="3"/>
      <c r="H115" s="3"/>
      <c r="I115" s="3"/>
      <c r="J115" s="20">
        <f t="shared" si="34"/>
        <v>200000</v>
      </c>
      <c r="K115" s="112">
        <v>100000</v>
      </c>
      <c r="L115" s="3">
        <f t="shared" si="35"/>
        <v>100000</v>
      </c>
    </row>
    <row r="116" spans="1:12" x14ac:dyDescent="0.25">
      <c r="A116" s="258"/>
      <c r="B116" s="268"/>
      <c r="C116" s="2" t="s">
        <v>26</v>
      </c>
      <c r="D116" s="3">
        <v>10000</v>
      </c>
      <c r="E116" s="3">
        <v>10000</v>
      </c>
      <c r="F116" s="3"/>
      <c r="G116" s="3"/>
      <c r="H116" s="3"/>
      <c r="I116" s="3"/>
      <c r="J116" s="20">
        <f t="shared" si="34"/>
        <v>10000</v>
      </c>
      <c r="K116" s="112">
        <v>0</v>
      </c>
      <c r="L116" s="3">
        <f t="shared" si="35"/>
        <v>10000</v>
      </c>
    </row>
    <row r="117" spans="1:12" x14ac:dyDescent="0.25">
      <c r="A117" s="258"/>
      <c r="B117" s="268"/>
      <c r="C117" s="2" t="s">
        <v>28</v>
      </c>
      <c r="D117" s="3">
        <v>24000</v>
      </c>
      <c r="E117" s="3">
        <v>24000</v>
      </c>
      <c r="F117" s="3"/>
      <c r="G117" s="3"/>
      <c r="H117" s="3"/>
      <c r="I117" s="3"/>
      <c r="J117" s="20">
        <f t="shared" si="34"/>
        <v>24000</v>
      </c>
      <c r="K117" s="112">
        <v>12000</v>
      </c>
      <c r="L117" s="3">
        <f t="shared" si="35"/>
        <v>12000</v>
      </c>
    </row>
    <row r="118" spans="1:12" x14ac:dyDescent="0.25">
      <c r="A118" s="258"/>
      <c r="B118" s="268"/>
      <c r="C118" s="2" t="s">
        <v>29</v>
      </c>
      <c r="D118" s="3">
        <v>75000</v>
      </c>
      <c r="E118" s="3">
        <v>103601</v>
      </c>
      <c r="F118" s="3"/>
      <c r="G118" s="3"/>
      <c r="H118" s="3"/>
      <c r="I118" s="3"/>
      <c r="J118" s="20">
        <f t="shared" si="34"/>
        <v>103601</v>
      </c>
      <c r="K118" s="112">
        <v>28601</v>
      </c>
      <c r="L118" s="3">
        <f t="shared" si="35"/>
        <v>75000</v>
      </c>
    </row>
    <row r="119" spans="1:12" x14ac:dyDescent="0.25">
      <c r="A119" s="258"/>
      <c r="B119" s="268"/>
      <c r="C119" s="2" t="s">
        <v>30</v>
      </c>
      <c r="D119" s="3">
        <v>0</v>
      </c>
      <c r="E119" s="3">
        <v>0</v>
      </c>
      <c r="F119" s="3"/>
      <c r="G119" s="3"/>
      <c r="H119" s="3"/>
      <c r="I119" s="3"/>
      <c r="J119" s="20">
        <f t="shared" si="34"/>
        <v>0</v>
      </c>
      <c r="K119" s="112">
        <v>0</v>
      </c>
      <c r="L119" s="3">
        <f t="shared" si="35"/>
        <v>0</v>
      </c>
    </row>
    <row r="120" spans="1:12" x14ac:dyDescent="0.25">
      <c r="A120" s="258"/>
      <c r="B120" s="268"/>
      <c r="C120" s="6" t="s">
        <v>53</v>
      </c>
      <c r="D120" s="7">
        <f>SUM(D114:D119)</f>
        <v>5180210</v>
      </c>
      <c r="E120" s="7">
        <v>5194228</v>
      </c>
      <c r="F120" s="7">
        <f t="shared" ref="F120:L120" si="36">SUM(F114:F119)</f>
        <v>0</v>
      </c>
      <c r="G120" s="7">
        <f t="shared" si="36"/>
        <v>0</v>
      </c>
      <c r="H120" s="7">
        <f t="shared" si="36"/>
        <v>0</v>
      </c>
      <c r="I120" s="7">
        <f t="shared" si="36"/>
        <v>0</v>
      </c>
      <c r="J120" s="7">
        <f t="shared" si="36"/>
        <v>5194228</v>
      </c>
      <c r="K120" s="114">
        <f t="shared" si="36"/>
        <v>2876500</v>
      </c>
      <c r="L120" s="7">
        <f t="shared" si="36"/>
        <v>2317728</v>
      </c>
    </row>
    <row r="121" spans="1:12" x14ac:dyDescent="0.25">
      <c r="A121" s="258"/>
      <c r="B121" s="268"/>
      <c r="C121" s="86" t="s">
        <v>31</v>
      </c>
      <c r="D121" s="87">
        <v>1046402</v>
      </c>
      <c r="E121" s="87">
        <v>1049135</v>
      </c>
      <c r="F121" s="87"/>
      <c r="G121" s="87"/>
      <c r="H121" s="87"/>
      <c r="I121" s="87"/>
      <c r="J121" s="88">
        <f t="shared" ref="J121:J129" si="37">E121+F121+G121+H121+I121</f>
        <v>1049135</v>
      </c>
      <c r="K121" s="115">
        <v>615786</v>
      </c>
      <c r="L121" s="89">
        <f t="shared" ref="L121:L129" si="38">J121-K121</f>
        <v>433349</v>
      </c>
    </row>
    <row r="122" spans="1:12" x14ac:dyDescent="0.25">
      <c r="A122" s="258"/>
      <c r="B122" s="268"/>
      <c r="C122" s="2" t="s">
        <v>32</v>
      </c>
      <c r="D122" s="3">
        <v>50000</v>
      </c>
      <c r="E122" s="3">
        <v>50000</v>
      </c>
      <c r="F122" s="3"/>
      <c r="G122" s="3"/>
      <c r="H122" s="3"/>
      <c r="I122" s="3"/>
      <c r="J122" s="20">
        <f t="shared" si="37"/>
        <v>50000</v>
      </c>
      <c r="K122" s="112">
        <v>0</v>
      </c>
      <c r="L122" s="3">
        <f t="shared" si="38"/>
        <v>50000</v>
      </c>
    </row>
    <row r="123" spans="1:12" x14ac:dyDescent="0.25">
      <c r="A123" s="258"/>
      <c r="B123" s="268"/>
      <c r="C123" s="2" t="s">
        <v>33</v>
      </c>
      <c r="D123" s="3">
        <v>100000</v>
      </c>
      <c r="E123" s="3">
        <v>100000</v>
      </c>
      <c r="F123" s="3"/>
      <c r="G123" s="3"/>
      <c r="H123" s="3"/>
      <c r="I123" s="3"/>
      <c r="J123" s="20">
        <f t="shared" si="37"/>
        <v>100000</v>
      </c>
      <c r="K123" s="112">
        <v>0</v>
      </c>
      <c r="L123" s="3">
        <f t="shared" si="38"/>
        <v>100000</v>
      </c>
    </row>
    <row r="124" spans="1:12" x14ac:dyDescent="0.25">
      <c r="A124" s="258"/>
      <c r="B124" s="268"/>
      <c r="C124" s="2" t="s">
        <v>34</v>
      </c>
      <c r="D124" s="3">
        <v>150000</v>
      </c>
      <c r="E124" s="3">
        <v>116000</v>
      </c>
      <c r="F124" s="3"/>
      <c r="G124" s="3"/>
      <c r="H124" s="3"/>
      <c r="I124" s="3"/>
      <c r="J124" s="20">
        <f t="shared" si="37"/>
        <v>116000</v>
      </c>
      <c r="K124" s="112">
        <v>0</v>
      </c>
      <c r="L124" s="3">
        <f t="shared" si="38"/>
        <v>116000</v>
      </c>
    </row>
    <row r="125" spans="1:12" x14ac:dyDescent="0.25">
      <c r="A125" s="258"/>
      <c r="B125" s="268"/>
      <c r="C125" s="2" t="s">
        <v>38</v>
      </c>
      <c r="D125" s="3">
        <v>50000</v>
      </c>
      <c r="E125" s="3">
        <v>50000</v>
      </c>
      <c r="F125" s="3"/>
      <c r="G125" s="3"/>
      <c r="H125" s="3"/>
      <c r="I125" s="3"/>
      <c r="J125" s="20">
        <f t="shared" si="37"/>
        <v>50000</v>
      </c>
      <c r="K125" s="112">
        <v>0</v>
      </c>
      <c r="L125" s="3">
        <f t="shared" si="38"/>
        <v>50000</v>
      </c>
    </row>
    <row r="126" spans="1:12" x14ac:dyDescent="0.25">
      <c r="A126" s="258"/>
      <c r="B126" s="268"/>
      <c r="C126" s="2" t="s">
        <v>40</v>
      </c>
      <c r="D126" s="3">
        <v>16800</v>
      </c>
      <c r="E126" s="3">
        <v>16800</v>
      </c>
      <c r="F126" s="3"/>
      <c r="G126" s="3"/>
      <c r="H126" s="3"/>
      <c r="I126" s="3"/>
      <c r="J126" s="20">
        <f t="shared" si="37"/>
        <v>16800</v>
      </c>
      <c r="K126" s="112">
        <v>3400</v>
      </c>
      <c r="L126" s="3">
        <f t="shared" si="38"/>
        <v>13400</v>
      </c>
    </row>
    <row r="127" spans="1:12" x14ac:dyDescent="0.25">
      <c r="A127" s="258"/>
      <c r="B127" s="268"/>
      <c r="C127" s="2" t="s">
        <v>41</v>
      </c>
      <c r="D127" s="3">
        <v>0</v>
      </c>
      <c r="E127" s="3">
        <v>40280</v>
      </c>
      <c r="F127" s="3"/>
      <c r="G127" s="3"/>
      <c r="H127" s="3"/>
      <c r="I127" s="3"/>
      <c r="J127" s="20">
        <f t="shared" si="37"/>
        <v>40280</v>
      </c>
      <c r="K127" s="112">
        <v>38160</v>
      </c>
      <c r="L127" s="3">
        <f t="shared" si="38"/>
        <v>2120</v>
      </c>
    </row>
    <row r="128" spans="1:12" x14ac:dyDescent="0.25">
      <c r="A128" s="258"/>
      <c r="B128" s="268"/>
      <c r="C128" s="2" t="s">
        <v>42</v>
      </c>
      <c r="D128" s="3">
        <v>240000</v>
      </c>
      <c r="E128" s="3">
        <v>233720</v>
      </c>
      <c r="F128" s="3"/>
      <c r="G128" s="3"/>
      <c r="H128" s="3"/>
      <c r="I128" s="3"/>
      <c r="J128" s="20">
        <f t="shared" si="37"/>
        <v>233720</v>
      </c>
      <c r="K128" s="112">
        <v>91795</v>
      </c>
      <c r="L128" s="3">
        <f t="shared" si="38"/>
        <v>141925</v>
      </c>
    </row>
    <row r="129" spans="1:12" x14ac:dyDescent="0.25">
      <c r="A129" s="258"/>
      <c r="B129" s="268"/>
      <c r="C129" s="2" t="s">
        <v>44</v>
      </c>
      <c r="D129" s="3">
        <v>94500</v>
      </c>
      <c r="E129" s="3">
        <v>94500</v>
      </c>
      <c r="F129" s="3"/>
      <c r="G129" s="3"/>
      <c r="H129" s="3"/>
      <c r="I129" s="3"/>
      <c r="J129" s="20">
        <f t="shared" si="37"/>
        <v>94500</v>
      </c>
      <c r="K129" s="112">
        <v>10302</v>
      </c>
      <c r="L129" s="3">
        <f t="shared" si="38"/>
        <v>84198</v>
      </c>
    </row>
    <row r="130" spans="1:12" x14ac:dyDescent="0.25">
      <c r="A130" s="258"/>
      <c r="B130" s="268"/>
      <c r="C130" s="6" t="s">
        <v>49</v>
      </c>
      <c r="D130" s="7">
        <f>SUM(D122:D129)</f>
        <v>701300</v>
      </c>
      <c r="E130" s="7">
        <v>701300</v>
      </c>
      <c r="F130" s="7">
        <f t="shared" ref="F130:L130" si="39">SUM(F122:F129)</f>
        <v>0</v>
      </c>
      <c r="G130" s="7">
        <f t="shared" si="39"/>
        <v>0</v>
      </c>
      <c r="H130" s="7">
        <f t="shared" si="39"/>
        <v>0</v>
      </c>
      <c r="I130" s="7">
        <f t="shared" si="39"/>
        <v>0</v>
      </c>
      <c r="J130" s="7">
        <f t="shared" si="39"/>
        <v>701300</v>
      </c>
      <c r="K130" s="114">
        <f t="shared" si="39"/>
        <v>143657</v>
      </c>
      <c r="L130" s="7">
        <f t="shared" si="39"/>
        <v>557643</v>
      </c>
    </row>
    <row r="131" spans="1:12" x14ac:dyDescent="0.25">
      <c r="A131" s="255" t="s">
        <v>64</v>
      </c>
      <c r="B131" s="252" t="s">
        <v>23</v>
      </c>
      <c r="C131" s="15" t="s">
        <v>29</v>
      </c>
      <c r="D131" s="24">
        <v>39600</v>
      </c>
      <c r="E131" s="24">
        <v>39600</v>
      </c>
      <c r="F131" s="11"/>
      <c r="G131" s="11"/>
      <c r="H131" s="11"/>
      <c r="I131" s="11"/>
      <c r="J131" s="20">
        <f t="shared" ref="J131:J134" si="40">E131+F131+G131+H131+I131</f>
        <v>39600</v>
      </c>
      <c r="K131" s="112">
        <v>23100</v>
      </c>
      <c r="L131" s="3">
        <f t="shared" ref="L131:L134" si="41">J131-K131</f>
        <v>16500</v>
      </c>
    </row>
    <row r="132" spans="1:12" x14ac:dyDescent="0.25">
      <c r="A132" s="257"/>
      <c r="B132" s="254"/>
      <c r="C132" s="15" t="s">
        <v>31</v>
      </c>
      <c r="D132" s="24">
        <v>7359</v>
      </c>
      <c r="E132" s="24">
        <v>7359</v>
      </c>
      <c r="F132" s="11"/>
      <c r="G132" s="11"/>
      <c r="H132" s="11"/>
      <c r="I132" s="11"/>
      <c r="J132" s="20">
        <f t="shared" si="40"/>
        <v>7359</v>
      </c>
      <c r="K132" s="112">
        <v>4505</v>
      </c>
      <c r="L132" s="3">
        <f t="shared" si="41"/>
        <v>2854</v>
      </c>
    </row>
    <row r="133" spans="1:12" x14ac:dyDescent="0.25">
      <c r="A133" s="255" t="s">
        <v>65</v>
      </c>
      <c r="B133" s="252" t="s">
        <v>23</v>
      </c>
      <c r="C133" s="15" t="s">
        <v>24</v>
      </c>
      <c r="D133" s="24">
        <v>1357158</v>
      </c>
      <c r="E133" s="24">
        <v>1357158</v>
      </c>
      <c r="F133" s="11"/>
      <c r="G133" s="11"/>
      <c r="H133" s="11"/>
      <c r="I133" s="11"/>
      <c r="J133" s="20">
        <f t="shared" si="40"/>
        <v>1357158</v>
      </c>
      <c r="K133" s="112">
        <v>792303</v>
      </c>
      <c r="L133" s="3">
        <f t="shared" si="41"/>
        <v>564855</v>
      </c>
    </row>
    <row r="134" spans="1:12" x14ac:dyDescent="0.25">
      <c r="A134" s="257"/>
      <c r="B134" s="254"/>
      <c r="C134" s="15" t="s">
        <v>31</v>
      </c>
      <c r="D134" s="24">
        <v>253327</v>
      </c>
      <c r="E134" s="24">
        <v>253327</v>
      </c>
      <c r="F134" s="11"/>
      <c r="G134" s="11"/>
      <c r="H134" s="11"/>
      <c r="I134" s="11"/>
      <c r="J134" s="20">
        <f t="shared" si="40"/>
        <v>253327</v>
      </c>
      <c r="K134" s="112">
        <v>154496</v>
      </c>
      <c r="L134" s="3">
        <f t="shared" si="41"/>
        <v>98831</v>
      </c>
    </row>
    <row r="135" spans="1:12" x14ac:dyDescent="0.25">
      <c r="A135" s="353" t="s">
        <v>78</v>
      </c>
      <c r="B135" s="354"/>
      <c r="C135" s="355"/>
      <c r="D135" s="126">
        <f>SUM(D120+D121+D130+D131+D132+D133+D134)</f>
        <v>8585356</v>
      </c>
      <c r="E135" s="126">
        <v>8602107</v>
      </c>
      <c r="F135" s="126">
        <f t="shared" ref="F135:L135" si="42">SUM(F120+F121+F130+F131+F132+F133+F134)</f>
        <v>0</v>
      </c>
      <c r="G135" s="126">
        <f t="shared" si="42"/>
        <v>0</v>
      </c>
      <c r="H135" s="126">
        <f t="shared" si="42"/>
        <v>0</v>
      </c>
      <c r="I135" s="126">
        <f t="shared" si="42"/>
        <v>0</v>
      </c>
      <c r="J135" s="126">
        <f t="shared" si="42"/>
        <v>8602107</v>
      </c>
      <c r="K135" s="128">
        <f t="shared" si="42"/>
        <v>4610347</v>
      </c>
      <c r="L135" s="126">
        <f t="shared" si="42"/>
        <v>3991760</v>
      </c>
    </row>
    <row r="136" spans="1:12" x14ac:dyDescent="0.25">
      <c r="A136" s="258" t="s">
        <v>14</v>
      </c>
      <c r="B136" s="268" t="s">
        <v>23</v>
      </c>
      <c r="C136" s="2" t="s">
        <v>24</v>
      </c>
      <c r="D136" s="3">
        <v>4756797</v>
      </c>
      <c r="E136" s="3">
        <v>4668070</v>
      </c>
      <c r="F136" s="3"/>
      <c r="G136" s="3"/>
      <c r="H136" s="3"/>
      <c r="I136" s="3"/>
      <c r="J136" s="20">
        <f t="shared" ref="J136:J142" si="43">E136+F136+G136+H136+I136</f>
        <v>4668070</v>
      </c>
      <c r="K136" s="112">
        <v>2581577</v>
      </c>
      <c r="L136" s="3">
        <f t="shared" ref="L136:L142" si="44">J136-K136</f>
        <v>2086493</v>
      </c>
    </row>
    <row r="137" spans="1:12" x14ac:dyDescent="0.25">
      <c r="A137" s="258"/>
      <c r="B137" s="268"/>
      <c r="C137" s="2" t="s">
        <v>25</v>
      </c>
      <c r="D137" s="3">
        <v>200000</v>
      </c>
      <c r="E137" s="3">
        <v>200000</v>
      </c>
      <c r="F137" s="3"/>
      <c r="G137" s="3"/>
      <c r="H137" s="3"/>
      <c r="I137" s="3"/>
      <c r="J137" s="20">
        <f t="shared" si="43"/>
        <v>200000</v>
      </c>
      <c r="K137" s="112">
        <v>100000</v>
      </c>
      <c r="L137" s="3">
        <f t="shared" si="44"/>
        <v>100000</v>
      </c>
    </row>
    <row r="138" spans="1:12" x14ac:dyDescent="0.25">
      <c r="A138" s="258"/>
      <c r="B138" s="268"/>
      <c r="C138" s="2" t="s">
        <v>26</v>
      </c>
      <c r="D138" s="3">
        <v>10000</v>
      </c>
      <c r="E138" s="3">
        <v>10000</v>
      </c>
      <c r="F138" s="3"/>
      <c r="G138" s="3"/>
      <c r="H138" s="3"/>
      <c r="I138" s="3"/>
      <c r="J138" s="20">
        <f t="shared" si="43"/>
        <v>10000</v>
      </c>
      <c r="K138" s="112">
        <v>0</v>
      </c>
      <c r="L138" s="3">
        <f t="shared" si="44"/>
        <v>10000</v>
      </c>
    </row>
    <row r="139" spans="1:12" x14ac:dyDescent="0.25">
      <c r="A139" s="258"/>
      <c r="B139" s="268"/>
      <c r="C139" s="2" t="s">
        <v>27</v>
      </c>
      <c r="D139" s="3">
        <v>255000</v>
      </c>
      <c r="E139" s="3">
        <v>255000</v>
      </c>
      <c r="F139" s="3"/>
      <c r="G139" s="3"/>
      <c r="H139" s="3"/>
      <c r="I139" s="3"/>
      <c r="J139" s="20">
        <f t="shared" si="43"/>
        <v>255000</v>
      </c>
      <c r="K139" s="112">
        <v>111084</v>
      </c>
      <c r="L139" s="3">
        <f t="shared" si="44"/>
        <v>143916</v>
      </c>
    </row>
    <row r="140" spans="1:12" x14ac:dyDescent="0.25">
      <c r="A140" s="258"/>
      <c r="B140" s="268"/>
      <c r="C140" s="2" t="s">
        <v>28</v>
      </c>
      <c r="D140" s="3">
        <v>24000</v>
      </c>
      <c r="E140" s="3">
        <v>24000</v>
      </c>
      <c r="F140" s="3"/>
      <c r="G140" s="3"/>
      <c r="H140" s="3"/>
      <c r="I140" s="3"/>
      <c r="J140" s="20">
        <f t="shared" si="43"/>
        <v>24000</v>
      </c>
      <c r="K140" s="112">
        <v>12000</v>
      </c>
      <c r="L140" s="3">
        <f t="shared" si="44"/>
        <v>12000</v>
      </c>
    </row>
    <row r="141" spans="1:12" x14ac:dyDescent="0.25">
      <c r="A141" s="258"/>
      <c r="B141" s="268"/>
      <c r="C141" s="2" t="s">
        <v>29</v>
      </c>
      <c r="D141" s="3">
        <v>0</v>
      </c>
      <c r="E141" s="3">
        <v>98307</v>
      </c>
      <c r="F141" s="3"/>
      <c r="G141" s="3"/>
      <c r="H141" s="3"/>
      <c r="I141" s="3"/>
      <c r="J141" s="20">
        <f t="shared" si="43"/>
        <v>98307</v>
      </c>
      <c r="K141" s="112">
        <v>98307</v>
      </c>
      <c r="L141" s="3">
        <f t="shared" si="44"/>
        <v>0</v>
      </c>
    </row>
    <row r="142" spans="1:12" x14ac:dyDescent="0.25">
      <c r="A142" s="258"/>
      <c r="B142" s="268"/>
      <c r="C142" s="2" t="s">
        <v>30</v>
      </c>
      <c r="D142" s="3">
        <v>0</v>
      </c>
      <c r="E142" s="3">
        <v>0</v>
      </c>
      <c r="F142" s="3"/>
      <c r="G142" s="3"/>
      <c r="H142" s="3"/>
      <c r="I142" s="3"/>
      <c r="J142" s="20">
        <f t="shared" si="43"/>
        <v>0</v>
      </c>
      <c r="K142" s="112">
        <v>0</v>
      </c>
      <c r="L142" s="3">
        <f t="shared" si="44"/>
        <v>0</v>
      </c>
    </row>
    <row r="143" spans="1:12" x14ac:dyDescent="0.25">
      <c r="A143" s="258"/>
      <c r="B143" s="268"/>
      <c r="C143" s="6" t="s">
        <v>53</v>
      </c>
      <c r="D143" s="7">
        <f>SUM(D136:D142)</f>
        <v>5245797</v>
      </c>
      <c r="E143" s="7">
        <v>5255377</v>
      </c>
      <c r="F143" s="7">
        <f t="shared" ref="F143:L143" si="45">SUM(F136:F142)</f>
        <v>0</v>
      </c>
      <c r="G143" s="7">
        <f t="shared" si="45"/>
        <v>0</v>
      </c>
      <c r="H143" s="7">
        <f t="shared" si="45"/>
        <v>0</v>
      </c>
      <c r="I143" s="7">
        <f t="shared" si="45"/>
        <v>0</v>
      </c>
      <c r="J143" s="7">
        <f t="shared" si="45"/>
        <v>5255377</v>
      </c>
      <c r="K143" s="114">
        <f t="shared" si="45"/>
        <v>2902968</v>
      </c>
      <c r="L143" s="7">
        <f t="shared" si="45"/>
        <v>2352409</v>
      </c>
    </row>
    <row r="144" spans="1:12" x14ac:dyDescent="0.25">
      <c r="A144" s="258"/>
      <c r="B144" s="268"/>
      <c r="C144" s="86" t="s">
        <v>31</v>
      </c>
      <c r="D144" s="87">
        <v>1025121</v>
      </c>
      <c r="E144" s="87">
        <v>1026989</v>
      </c>
      <c r="F144" s="87"/>
      <c r="G144" s="87"/>
      <c r="H144" s="87"/>
      <c r="I144" s="87"/>
      <c r="J144" s="88">
        <f t="shared" ref="J144:J152" si="46">E144+F144+G144+H144+I144</f>
        <v>1026989</v>
      </c>
      <c r="K144" s="115">
        <v>599284</v>
      </c>
      <c r="L144" s="89">
        <f t="shared" ref="L144:L152" si="47">J144-K144</f>
        <v>427705</v>
      </c>
    </row>
    <row r="145" spans="1:12" x14ac:dyDescent="0.25">
      <c r="A145" s="258"/>
      <c r="B145" s="268"/>
      <c r="C145" s="2" t="s">
        <v>32</v>
      </c>
      <c r="D145" s="3">
        <v>80000</v>
      </c>
      <c r="E145" s="3">
        <v>80000</v>
      </c>
      <c r="F145" s="3"/>
      <c r="G145" s="3"/>
      <c r="H145" s="3"/>
      <c r="I145" s="3"/>
      <c r="J145" s="20">
        <f t="shared" si="46"/>
        <v>80000</v>
      </c>
      <c r="K145" s="112">
        <v>0</v>
      </c>
      <c r="L145" s="3">
        <f t="shared" si="47"/>
        <v>80000</v>
      </c>
    </row>
    <row r="146" spans="1:12" x14ac:dyDescent="0.25">
      <c r="A146" s="258"/>
      <c r="B146" s="268"/>
      <c r="C146" s="2" t="s">
        <v>33</v>
      </c>
      <c r="D146" s="3">
        <v>110000</v>
      </c>
      <c r="E146" s="3">
        <v>110000</v>
      </c>
      <c r="F146" s="3"/>
      <c r="G146" s="3"/>
      <c r="H146" s="3"/>
      <c r="I146" s="3"/>
      <c r="J146" s="20">
        <f t="shared" si="46"/>
        <v>110000</v>
      </c>
      <c r="K146" s="112">
        <v>0</v>
      </c>
      <c r="L146" s="3">
        <f t="shared" si="47"/>
        <v>110000</v>
      </c>
    </row>
    <row r="147" spans="1:12" x14ac:dyDescent="0.25">
      <c r="A147" s="258"/>
      <c r="B147" s="268"/>
      <c r="C147" s="2" t="s">
        <v>34</v>
      </c>
      <c r="D147" s="3">
        <v>150000</v>
      </c>
      <c r="E147" s="3">
        <v>136000</v>
      </c>
      <c r="F147" s="3"/>
      <c r="G147" s="3"/>
      <c r="H147" s="3"/>
      <c r="I147" s="3"/>
      <c r="J147" s="20">
        <f t="shared" si="46"/>
        <v>136000</v>
      </c>
      <c r="K147" s="112">
        <v>0</v>
      </c>
      <c r="L147" s="3">
        <f t="shared" si="47"/>
        <v>136000</v>
      </c>
    </row>
    <row r="148" spans="1:12" x14ac:dyDescent="0.25">
      <c r="A148" s="258"/>
      <c r="B148" s="268"/>
      <c r="C148" s="2" t="s">
        <v>38</v>
      </c>
      <c r="D148" s="3">
        <v>144000</v>
      </c>
      <c r="E148" s="3">
        <v>144000</v>
      </c>
      <c r="F148" s="3"/>
      <c r="G148" s="3"/>
      <c r="H148" s="3"/>
      <c r="I148" s="3"/>
      <c r="J148" s="20">
        <f t="shared" si="46"/>
        <v>144000</v>
      </c>
      <c r="K148" s="112">
        <v>0</v>
      </c>
      <c r="L148" s="3">
        <f t="shared" si="47"/>
        <v>144000</v>
      </c>
    </row>
    <row r="149" spans="1:12" x14ac:dyDescent="0.25">
      <c r="A149" s="258"/>
      <c r="B149" s="268"/>
      <c r="C149" s="2" t="s">
        <v>40</v>
      </c>
      <c r="D149" s="3">
        <v>16800</v>
      </c>
      <c r="E149" s="3">
        <v>16800</v>
      </c>
      <c r="F149" s="3"/>
      <c r="G149" s="3"/>
      <c r="H149" s="3"/>
      <c r="I149" s="3"/>
      <c r="J149" s="20">
        <f t="shared" si="46"/>
        <v>16800</v>
      </c>
      <c r="K149" s="112">
        <v>3400</v>
      </c>
      <c r="L149" s="3">
        <f t="shared" si="47"/>
        <v>13400</v>
      </c>
    </row>
    <row r="150" spans="1:12" x14ac:dyDescent="0.25">
      <c r="A150" s="258"/>
      <c r="B150" s="268"/>
      <c r="C150" s="2" t="s">
        <v>41</v>
      </c>
      <c r="D150" s="3">
        <v>40000</v>
      </c>
      <c r="E150" s="3">
        <v>60280</v>
      </c>
      <c r="F150" s="3"/>
      <c r="G150" s="3"/>
      <c r="H150" s="3"/>
      <c r="I150" s="3"/>
      <c r="J150" s="20">
        <f t="shared" si="46"/>
        <v>60280</v>
      </c>
      <c r="K150" s="112">
        <v>58160</v>
      </c>
      <c r="L150" s="3">
        <f t="shared" si="47"/>
        <v>2120</v>
      </c>
    </row>
    <row r="151" spans="1:12" x14ac:dyDescent="0.25">
      <c r="A151" s="258"/>
      <c r="B151" s="268"/>
      <c r="C151" s="2" t="s">
        <v>42</v>
      </c>
      <c r="D151" s="3">
        <v>150000</v>
      </c>
      <c r="E151" s="3">
        <v>143720</v>
      </c>
      <c r="F151" s="3"/>
      <c r="G151" s="3"/>
      <c r="H151" s="3"/>
      <c r="I151" s="3"/>
      <c r="J151" s="20">
        <f t="shared" si="46"/>
        <v>143720</v>
      </c>
      <c r="K151" s="112">
        <v>62240</v>
      </c>
      <c r="L151" s="3">
        <f t="shared" si="47"/>
        <v>81480</v>
      </c>
    </row>
    <row r="152" spans="1:12" x14ac:dyDescent="0.25">
      <c r="A152" s="258"/>
      <c r="B152" s="268"/>
      <c r="C152" s="2" t="s">
        <v>44</v>
      </c>
      <c r="D152" s="3">
        <v>141480</v>
      </c>
      <c r="E152" s="3">
        <v>141480</v>
      </c>
      <c r="F152" s="3"/>
      <c r="G152" s="3"/>
      <c r="H152" s="3"/>
      <c r="I152" s="3"/>
      <c r="J152" s="20">
        <f t="shared" si="46"/>
        <v>141480</v>
      </c>
      <c r="K152" s="112">
        <v>10304</v>
      </c>
      <c r="L152" s="3">
        <f t="shared" si="47"/>
        <v>131176</v>
      </c>
    </row>
    <row r="153" spans="1:12" x14ac:dyDescent="0.25">
      <c r="A153" s="258"/>
      <c r="B153" s="268"/>
      <c r="C153" s="6" t="s">
        <v>49</v>
      </c>
      <c r="D153" s="7">
        <f>SUM(D145:D152)</f>
        <v>832280</v>
      </c>
      <c r="E153" s="7">
        <v>832280</v>
      </c>
      <c r="F153" s="7">
        <f t="shared" ref="F153:L153" si="48">SUM(F145:F152)</f>
        <v>0</v>
      </c>
      <c r="G153" s="7">
        <f t="shared" si="48"/>
        <v>0</v>
      </c>
      <c r="H153" s="7">
        <f t="shared" si="48"/>
        <v>0</v>
      </c>
      <c r="I153" s="7">
        <f t="shared" si="48"/>
        <v>0</v>
      </c>
      <c r="J153" s="7">
        <f t="shared" si="48"/>
        <v>832280</v>
      </c>
      <c r="K153" s="114">
        <f t="shared" si="48"/>
        <v>134104</v>
      </c>
      <c r="L153" s="7">
        <f t="shared" si="48"/>
        <v>698176</v>
      </c>
    </row>
    <row r="154" spans="1:12" x14ac:dyDescent="0.25">
      <c r="A154" s="255" t="s">
        <v>66</v>
      </c>
      <c r="B154" s="252" t="s">
        <v>23</v>
      </c>
      <c r="C154" s="15" t="s">
        <v>24</v>
      </c>
      <c r="D154" s="24">
        <v>832628</v>
      </c>
      <c r="E154" s="24">
        <v>832628</v>
      </c>
      <c r="F154" s="11"/>
      <c r="G154" s="11"/>
      <c r="H154" s="11"/>
      <c r="I154" s="11"/>
      <c r="J154" s="20">
        <f t="shared" ref="J154:J155" si="49">E154+F154+G154+H154+I154</f>
        <v>832628</v>
      </c>
      <c r="K154" s="112">
        <v>474449</v>
      </c>
      <c r="L154" s="3">
        <f t="shared" ref="L154:L155" si="50">J154-K154</f>
        <v>358179</v>
      </c>
    </row>
    <row r="155" spans="1:12" x14ac:dyDescent="0.25">
      <c r="A155" s="257"/>
      <c r="B155" s="254"/>
      <c r="C155" s="15" t="s">
        <v>31</v>
      </c>
      <c r="D155" s="24">
        <v>155410</v>
      </c>
      <c r="E155" s="24">
        <v>155410</v>
      </c>
      <c r="F155" s="11"/>
      <c r="G155" s="11"/>
      <c r="H155" s="11"/>
      <c r="I155" s="11"/>
      <c r="J155" s="20">
        <f t="shared" si="49"/>
        <v>155410</v>
      </c>
      <c r="K155" s="112">
        <v>92517</v>
      </c>
      <c r="L155" s="3">
        <f t="shared" si="50"/>
        <v>62893</v>
      </c>
    </row>
    <row r="156" spans="1:12" x14ac:dyDescent="0.25">
      <c r="A156" s="353" t="s">
        <v>79</v>
      </c>
      <c r="B156" s="354"/>
      <c r="C156" s="355"/>
      <c r="D156" s="126">
        <f>SUM(D143+D144+D153+D154+D155)</f>
        <v>8091236</v>
      </c>
      <c r="E156" s="126">
        <v>8102684</v>
      </c>
      <c r="F156" s="126">
        <f t="shared" ref="F156:L156" si="51">SUM(F143+F144+F153+F154+F155)</f>
        <v>0</v>
      </c>
      <c r="G156" s="126">
        <f t="shared" si="51"/>
        <v>0</v>
      </c>
      <c r="H156" s="126">
        <f t="shared" si="51"/>
        <v>0</v>
      </c>
      <c r="I156" s="126">
        <f t="shared" si="51"/>
        <v>0</v>
      </c>
      <c r="J156" s="126">
        <f t="shared" si="51"/>
        <v>8102684</v>
      </c>
      <c r="K156" s="128">
        <f t="shared" si="51"/>
        <v>4203322</v>
      </c>
      <c r="L156" s="126">
        <f t="shared" si="51"/>
        <v>3899362</v>
      </c>
    </row>
    <row r="157" spans="1:12" x14ac:dyDescent="0.25">
      <c r="A157" s="258" t="s">
        <v>55</v>
      </c>
      <c r="B157" s="268" t="s">
        <v>23</v>
      </c>
      <c r="C157" s="10" t="s">
        <v>24</v>
      </c>
      <c r="D157" s="24">
        <v>5055869</v>
      </c>
      <c r="E157" s="24">
        <v>5055869</v>
      </c>
      <c r="F157" s="11"/>
      <c r="G157" s="11"/>
      <c r="H157" s="11"/>
      <c r="I157" s="11"/>
      <c r="J157" s="20">
        <f t="shared" ref="J157:J162" si="52">E157+F157+G157+H157+I157</f>
        <v>5055869</v>
      </c>
      <c r="K157" s="112">
        <v>2840996</v>
      </c>
      <c r="L157" s="3">
        <f t="shared" ref="L157:L162" si="53">J157-K157</f>
        <v>2214873</v>
      </c>
    </row>
    <row r="158" spans="1:12" x14ac:dyDescent="0.25">
      <c r="A158" s="258"/>
      <c r="B158" s="268"/>
      <c r="C158" s="10" t="s">
        <v>25</v>
      </c>
      <c r="D158" s="24">
        <v>425000</v>
      </c>
      <c r="E158" s="24">
        <v>425000</v>
      </c>
      <c r="F158" s="11"/>
      <c r="G158" s="11"/>
      <c r="H158" s="11"/>
      <c r="I158" s="11"/>
      <c r="J158" s="20">
        <f t="shared" si="52"/>
        <v>425000</v>
      </c>
      <c r="K158" s="112">
        <v>212500</v>
      </c>
      <c r="L158" s="3">
        <f t="shared" si="53"/>
        <v>212500</v>
      </c>
    </row>
    <row r="159" spans="1:12" x14ac:dyDescent="0.25">
      <c r="A159" s="258"/>
      <c r="B159" s="268"/>
      <c r="C159" s="10" t="s">
        <v>26</v>
      </c>
      <c r="D159" s="24">
        <v>10000</v>
      </c>
      <c r="E159" s="24">
        <v>10000</v>
      </c>
      <c r="F159" s="11"/>
      <c r="G159" s="11"/>
      <c r="H159" s="11"/>
      <c r="I159" s="11"/>
      <c r="J159" s="20">
        <f t="shared" si="52"/>
        <v>10000</v>
      </c>
      <c r="K159" s="112">
        <v>0</v>
      </c>
      <c r="L159" s="3">
        <f t="shared" si="53"/>
        <v>10000</v>
      </c>
    </row>
    <row r="160" spans="1:12" x14ac:dyDescent="0.25">
      <c r="A160" s="258"/>
      <c r="B160" s="268"/>
      <c r="C160" s="10" t="s">
        <v>28</v>
      </c>
      <c r="D160" s="24">
        <v>24000</v>
      </c>
      <c r="E160" s="24">
        <v>24000</v>
      </c>
      <c r="F160" s="11"/>
      <c r="G160" s="11"/>
      <c r="H160" s="11"/>
      <c r="I160" s="11"/>
      <c r="J160" s="20">
        <f t="shared" si="52"/>
        <v>24000</v>
      </c>
      <c r="K160" s="112">
        <v>12000</v>
      </c>
      <c r="L160" s="3">
        <f t="shared" si="53"/>
        <v>12000</v>
      </c>
    </row>
    <row r="161" spans="1:12" x14ac:dyDescent="0.25">
      <c r="A161" s="258"/>
      <c r="B161" s="268"/>
      <c r="C161" s="10" t="s">
        <v>29</v>
      </c>
      <c r="D161" s="24">
        <v>75000</v>
      </c>
      <c r="E161" s="24">
        <v>75000</v>
      </c>
      <c r="F161" s="11"/>
      <c r="G161" s="11"/>
      <c r="H161" s="11"/>
      <c r="I161" s="11"/>
      <c r="J161" s="20">
        <f t="shared" si="52"/>
        <v>75000</v>
      </c>
      <c r="K161" s="112">
        <v>0</v>
      </c>
      <c r="L161" s="3">
        <f t="shared" si="53"/>
        <v>75000</v>
      </c>
    </row>
    <row r="162" spans="1:12" x14ac:dyDescent="0.25">
      <c r="A162" s="258"/>
      <c r="B162" s="268"/>
      <c r="C162" s="10" t="s">
        <v>30</v>
      </c>
      <c r="D162" s="24">
        <v>0</v>
      </c>
      <c r="E162" s="24">
        <v>0</v>
      </c>
      <c r="F162" s="11"/>
      <c r="G162" s="11"/>
      <c r="H162" s="11"/>
      <c r="I162" s="11"/>
      <c r="J162" s="20">
        <f t="shared" si="52"/>
        <v>0</v>
      </c>
      <c r="K162" s="112">
        <v>0</v>
      </c>
      <c r="L162" s="3">
        <f t="shared" si="53"/>
        <v>0</v>
      </c>
    </row>
    <row r="163" spans="1:12" x14ac:dyDescent="0.25">
      <c r="A163" s="258"/>
      <c r="B163" s="268"/>
      <c r="C163" s="6" t="s">
        <v>53</v>
      </c>
      <c r="D163" s="7">
        <f>SUM(D157:D162)</f>
        <v>5589869</v>
      </c>
      <c r="E163" s="7">
        <v>5589869</v>
      </c>
      <c r="F163" s="7">
        <f t="shared" ref="F163:L163" si="54">SUM(F157:F162)</f>
        <v>0</v>
      </c>
      <c r="G163" s="7">
        <f t="shared" si="54"/>
        <v>0</v>
      </c>
      <c r="H163" s="7">
        <f t="shared" si="54"/>
        <v>0</v>
      </c>
      <c r="I163" s="7">
        <f t="shared" si="54"/>
        <v>0</v>
      </c>
      <c r="J163" s="7">
        <f t="shared" si="54"/>
        <v>5589869</v>
      </c>
      <c r="K163" s="114">
        <f t="shared" si="54"/>
        <v>3065496</v>
      </c>
      <c r="L163" s="7">
        <f t="shared" si="54"/>
        <v>2524373</v>
      </c>
    </row>
    <row r="164" spans="1:12" x14ac:dyDescent="0.25">
      <c r="A164" s="258"/>
      <c r="B164" s="268"/>
      <c r="C164" s="86" t="s">
        <v>31</v>
      </c>
      <c r="D164" s="87">
        <v>1124913</v>
      </c>
      <c r="E164" s="87">
        <v>1124913</v>
      </c>
      <c r="F164" s="87"/>
      <c r="G164" s="87"/>
      <c r="H164" s="87"/>
      <c r="I164" s="87"/>
      <c r="J164" s="88">
        <f t="shared" ref="J164:J173" si="55">E164+F164+G164+H164+I164</f>
        <v>1124913</v>
      </c>
      <c r="K164" s="115">
        <v>652635</v>
      </c>
      <c r="L164" s="89">
        <f t="shared" ref="L164:L173" si="56">J164-K164</f>
        <v>472278</v>
      </c>
    </row>
    <row r="165" spans="1:12" x14ac:dyDescent="0.25">
      <c r="A165" s="258"/>
      <c r="B165" s="268"/>
      <c r="C165" s="10" t="s">
        <v>32</v>
      </c>
      <c r="D165" s="24">
        <v>100000</v>
      </c>
      <c r="E165" s="24">
        <v>100000</v>
      </c>
      <c r="F165" s="11"/>
      <c r="G165" s="11"/>
      <c r="H165" s="11"/>
      <c r="I165" s="11"/>
      <c r="J165" s="20">
        <f t="shared" si="55"/>
        <v>100000</v>
      </c>
      <c r="K165" s="112">
        <v>0</v>
      </c>
      <c r="L165" s="3">
        <f t="shared" si="56"/>
        <v>100000</v>
      </c>
    </row>
    <row r="166" spans="1:12" x14ac:dyDescent="0.25">
      <c r="A166" s="258"/>
      <c r="B166" s="268"/>
      <c r="C166" s="10" t="s">
        <v>33</v>
      </c>
      <c r="D166" s="24">
        <v>100000</v>
      </c>
      <c r="E166" s="24">
        <v>100000</v>
      </c>
      <c r="F166" s="11"/>
      <c r="G166" s="11"/>
      <c r="H166" s="11"/>
      <c r="I166" s="11"/>
      <c r="J166" s="20">
        <f t="shared" si="55"/>
        <v>100000</v>
      </c>
      <c r="K166" s="112">
        <v>4536</v>
      </c>
      <c r="L166" s="3">
        <f t="shared" si="56"/>
        <v>95464</v>
      </c>
    </row>
    <row r="167" spans="1:12" x14ac:dyDescent="0.25">
      <c r="A167" s="258"/>
      <c r="B167" s="268"/>
      <c r="C167" s="10" t="s">
        <v>34</v>
      </c>
      <c r="D167" s="24">
        <v>100000</v>
      </c>
      <c r="E167" s="24">
        <v>100000</v>
      </c>
      <c r="F167" s="11"/>
      <c r="G167" s="11"/>
      <c r="H167" s="11"/>
      <c r="I167" s="11"/>
      <c r="J167" s="20">
        <f t="shared" si="55"/>
        <v>100000</v>
      </c>
      <c r="K167" s="112">
        <v>0</v>
      </c>
      <c r="L167" s="3">
        <f t="shared" si="56"/>
        <v>100000</v>
      </c>
    </row>
    <row r="168" spans="1:12" x14ac:dyDescent="0.25">
      <c r="A168" s="258"/>
      <c r="B168" s="268"/>
      <c r="C168" s="10" t="s">
        <v>35</v>
      </c>
      <c r="D168" s="24">
        <v>50000</v>
      </c>
      <c r="E168" s="24">
        <v>50000</v>
      </c>
      <c r="F168" s="11"/>
      <c r="G168" s="11"/>
      <c r="H168" s="11"/>
      <c r="I168" s="11"/>
      <c r="J168" s="20">
        <f t="shared" si="55"/>
        <v>50000</v>
      </c>
      <c r="K168" s="112">
        <v>0</v>
      </c>
      <c r="L168" s="3">
        <f t="shared" si="56"/>
        <v>50000</v>
      </c>
    </row>
    <row r="169" spans="1:12" x14ac:dyDescent="0.25">
      <c r="A169" s="258"/>
      <c r="B169" s="268"/>
      <c r="C169" s="10" t="s">
        <v>38</v>
      </c>
      <c r="D169" s="24">
        <v>140000</v>
      </c>
      <c r="E169" s="24">
        <v>140000</v>
      </c>
      <c r="F169" s="11"/>
      <c r="G169" s="11"/>
      <c r="H169" s="11"/>
      <c r="I169" s="11"/>
      <c r="J169" s="20">
        <f t="shared" si="55"/>
        <v>140000</v>
      </c>
      <c r="K169" s="112">
        <v>26259</v>
      </c>
      <c r="L169" s="3">
        <f t="shared" si="56"/>
        <v>113741</v>
      </c>
    </row>
    <row r="170" spans="1:12" x14ac:dyDescent="0.25">
      <c r="A170" s="258"/>
      <c r="B170" s="268"/>
      <c r="C170" s="10" t="s">
        <v>40</v>
      </c>
      <c r="D170" s="24">
        <v>15000</v>
      </c>
      <c r="E170" s="24">
        <v>15000</v>
      </c>
      <c r="F170" s="11"/>
      <c r="G170" s="11"/>
      <c r="H170" s="11"/>
      <c r="I170" s="11"/>
      <c r="J170" s="20">
        <f t="shared" si="55"/>
        <v>15000</v>
      </c>
      <c r="K170" s="112">
        <v>2950</v>
      </c>
      <c r="L170" s="3">
        <f t="shared" si="56"/>
        <v>12050</v>
      </c>
    </row>
    <row r="171" spans="1:12" x14ac:dyDescent="0.25">
      <c r="A171" s="258"/>
      <c r="B171" s="268"/>
      <c r="C171" s="10" t="s">
        <v>41</v>
      </c>
      <c r="D171" s="24">
        <v>80000</v>
      </c>
      <c r="E171" s="24">
        <v>80000</v>
      </c>
      <c r="F171" s="139">
        <v>14188</v>
      </c>
      <c r="G171" s="11"/>
      <c r="H171" s="11"/>
      <c r="I171" s="11"/>
      <c r="J171" s="20">
        <f t="shared" si="55"/>
        <v>94188</v>
      </c>
      <c r="K171" s="112">
        <v>92068</v>
      </c>
      <c r="L171" s="3">
        <f t="shared" si="56"/>
        <v>2120</v>
      </c>
    </row>
    <row r="172" spans="1:12" x14ac:dyDescent="0.25">
      <c r="A172" s="258"/>
      <c r="B172" s="268"/>
      <c r="C172" s="10" t="s">
        <v>42</v>
      </c>
      <c r="D172" s="24">
        <v>240000</v>
      </c>
      <c r="E172" s="24">
        <v>240000</v>
      </c>
      <c r="F172" s="139"/>
      <c r="G172" s="11"/>
      <c r="H172" s="11"/>
      <c r="I172" s="11"/>
      <c r="J172" s="20">
        <f t="shared" si="55"/>
        <v>240000</v>
      </c>
      <c r="K172" s="112">
        <v>169555</v>
      </c>
      <c r="L172" s="3">
        <f t="shared" si="56"/>
        <v>70445</v>
      </c>
    </row>
    <row r="173" spans="1:12" x14ac:dyDescent="0.25">
      <c r="A173" s="258"/>
      <c r="B173" s="268"/>
      <c r="C173" s="10" t="s">
        <v>44</v>
      </c>
      <c r="D173" s="24">
        <v>142900</v>
      </c>
      <c r="E173" s="24">
        <v>142900</v>
      </c>
      <c r="F173" s="139">
        <v>-14188</v>
      </c>
      <c r="G173" s="11"/>
      <c r="H173" s="11"/>
      <c r="I173" s="11"/>
      <c r="J173" s="20">
        <f t="shared" si="55"/>
        <v>128712</v>
      </c>
      <c r="K173" s="112">
        <v>20484</v>
      </c>
      <c r="L173" s="3">
        <f t="shared" si="56"/>
        <v>108228</v>
      </c>
    </row>
    <row r="174" spans="1:12" x14ac:dyDescent="0.25">
      <c r="A174" s="258"/>
      <c r="B174" s="268"/>
      <c r="C174" s="6" t="s">
        <v>49</v>
      </c>
      <c r="D174" s="7">
        <f>SUM(D165:D173)</f>
        <v>967900</v>
      </c>
      <c r="E174" s="7">
        <v>967900</v>
      </c>
      <c r="F174" s="7">
        <f t="shared" ref="F174:L174" si="57">SUM(F165:F173)</f>
        <v>0</v>
      </c>
      <c r="G174" s="7">
        <f t="shared" si="57"/>
        <v>0</v>
      </c>
      <c r="H174" s="7">
        <f t="shared" si="57"/>
        <v>0</v>
      </c>
      <c r="I174" s="7">
        <f t="shared" si="57"/>
        <v>0</v>
      </c>
      <c r="J174" s="7">
        <f t="shared" si="57"/>
        <v>967900</v>
      </c>
      <c r="K174" s="114">
        <f t="shared" si="57"/>
        <v>315852</v>
      </c>
      <c r="L174" s="7">
        <f t="shared" si="57"/>
        <v>652048</v>
      </c>
    </row>
    <row r="175" spans="1:12" x14ac:dyDescent="0.25">
      <c r="A175" s="255" t="s">
        <v>67</v>
      </c>
      <c r="B175" s="252" t="s">
        <v>23</v>
      </c>
      <c r="C175" s="25" t="s">
        <v>29</v>
      </c>
      <c r="D175" s="24">
        <v>157200</v>
      </c>
      <c r="E175" s="24">
        <v>157200</v>
      </c>
      <c r="F175" s="11"/>
      <c r="G175" s="11"/>
      <c r="H175" s="11"/>
      <c r="I175" s="11"/>
      <c r="J175" s="20">
        <f t="shared" ref="J175:J191" si="58">E175+F175+G175+H175+I175</f>
        <v>157200</v>
      </c>
      <c r="K175" s="112">
        <v>44900</v>
      </c>
      <c r="L175" s="3">
        <f t="shared" ref="L175:L191" si="59">J175-K175</f>
        <v>112300</v>
      </c>
    </row>
    <row r="176" spans="1:12" x14ac:dyDescent="0.25">
      <c r="A176" s="257"/>
      <c r="B176" s="254"/>
      <c r="C176" s="25" t="s">
        <v>31</v>
      </c>
      <c r="D176" s="24">
        <v>29213</v>
      </c>
      <c r="E176" s="24">
        <v>29213</v>
      </c>
      <c r="F176" s="11"/>
      <c r="G176" s="11"/>
      <c r="H176" s="11"/>
      <c r="I176" s="11"/>
      <c r="J176" s="20">
        <f t="shared" si="58"/>
        <v>29213</v>
      </c>
      <c r="K176" s="112">
        <v>8757</v>
      </c>
      <c r="L176" s="3">
        <f t="shared" si="59"/>
        <v>20456</v>
      </c>
    </row>
    <row r="177" spans="1:12" x14ac:dyDescent="0.25">
      <c r="A177" s="255" t="s">
        <v>75</v>
      </c>
      <c r="B177" s="252" t="s">
        <v>23</v>
      </c>
      <c r="C177" s="15" t="s">
        <v>24</v>
      </c>
      <c r="D177" s="24">
        <v>1604509</v>
      </c>
      <c r="E177" s="24">
        <v>1604509</v>
      </c>
      <c r="F177" s="11"/>
      <c r="G177" s="11"/>
      <c r="H177" s="11"/>
      <c r="I177" s="11"/>
      <c r="J177" s="20">
        <f t="shared" si="58"/>
        <v>1604509</v>
      </c>
      <c r="K177" s="112">
        <v>957042</v>
      </c>
      <c r="L177" s="3">
        <f t="shared" si="59"/>
        <v>647467</v>
      </c>
    </row>
    <row r="178" spans="1:12" x14ac:dyDescent="0.25">
      <c r="A178" s="257"/>
      <c r="B178" s="254"/>
      <c r="C178" s="15" t="s">
        <v>31</v>
      </c>
      <c r="D178" s="24">
        <v>299119</v>
      </c>
      <c r="E178" s="24">
        <v>299119</v>
      </c>
      <c r="F178" s="11"/>
      <c r="G178" s="11"/>
      <c r="H178" s="11"/>
      <c r="I178" s="11"/>
      <c r="J178" s="20">
        <f t="shared" si="58"/>
        <v>299119</v>
      </c>
      <c r="K178" s="112">
        <v>186625</v>
      </c>
      <c r="L178" s="3">
        <f t="shared" si="59"/>
        <v>112494</v>
      </c>
    </row>
    <row r="179" spans="1:12" x14ac:dyDescent="0.25">
      <c r="A179" s="356" t="s">
        <v>80</v>
      </c>
      <c r="B179" s="356"/>
      <c r="C179" s="356"/>
      <c r="D179" s="127">
        <f>SUM(D163+D164+D174+D175+D176+D177+D178)</f>
        <v>9772723</v>
      </c>
      <c r="E179" s="127">
        <v>9772723</v>
      </c>
      <c r="F179" s="127">
        <f t="shared" ref="F179:L179" si="60">SUM(F163+F164+F174+F175+F176+F177+F178)</f>
        <v>0</v>
      </c>
      <c r="G179" s="127">
        <f t="shared" si="60"/>
        <v>0</v>
      </c>
      <c r="H179" s="127">
        <f t="shared" si="60"/>
        <v>0</v>
      </c>
      <c r="I179" s="127">
        <f t="shared" si="60"/>
        <v>0</v>
      </c>
      <c r="J179" s="127">
        <f t="shared" si="60"/>
        <v>9772723</v>
      </c>
      <c r="K179" s="128">
        <f t="shared" si="60"/>
        <v>5231307</v>
      </c>
      <c r="L179" s="127">
        <f t="shared" si="60"/>
        <v>4541416</v>
      </c>
    </row>
    <row r="180" spans="1:12" x14ac:dyDescent="0.25">
      <c r="A180" s="258" t="s">
        <v>15</v>
      </c>
      <c r="B180" s="252" t="s">
        <v>23</v>
      </c>
      <c r="C180" s="43" t="s">
        <v>24</v>
      </c>
      <c r="D180" s="44">
        <v>11144060</v>
      </c>
      <c r="E180" s="44">
        <v>11144060</v>
      </c>
      <c r="F180" s="44"/>
      <c r="G180" s="44"/>
      <c r="H180" s="44"/>
      <c r="I180" s="44"/>
      <c r="J180" s="20">
        <f t="shared" si="58"/>
        <v>11144060</v>
      </c>
      <c r="K180" s="56">
        <v>7992749</v>
      </c>
      <c r="L180" s="3">
        <f t="shared" si="59"/>
        <v>3151311</v>
      </c>
    </row>
    <row r="181" spans="1:12" x14ac:dyDescent="0.25">
      <c r="A181" s="258"/>
      <c r="B181" s="253"/>
      <c r="C181" s="43" t="s">
        <v>30</v>
      </c>
      <c r="D181" s="44">
        <v>0</v>
      </c>
      <c r="E181" s="44">
        <v>10500000</v>
      </c>
      <c r="F181" s="44">
        <v>-10500000</v>
      </c>
      <c r="G181" s="44"/>
      <c r="H181" s="44"/>
      <c r="I181" s="44"/>
      <c r="J181" s="20">
        <f t="shared" si="58"/>
        <v>0</v>
      </c>
      <c r="K181" s="56">
        <v>0</v>
      </c>
      <c r="L181" s="3">
        <f t="shared" si="59"/>
        <v>0</v>
      </c>
    </row>
    <row r="182" spans="1:12" x14ac:dyDescent="0.25">
      <c r="A182" s="258"/>
      <c r="B182" s="253"/>
      <c r="C182" s="6" t="s">
        <v>53</v>
      </c>
      <c r="D182" s="7">
        <f>D180+D181</f>
        <v>11144060</v>
      </c>
      <c r="E182" s="7">
        <v>21644060</v>
      </c>
      <c r="F182" s="7">
        <f t="shared" ref="F182:L182" si="61">F180+F181</f>
        <v>-10500000</v>
      </c>
      <c r="G182" s="7">
        <f t="shared" si="61"/>
        <v>0</v>
      </c>
      <c r="H182" s="7">
        <f t="shared" si="61"/>
        <v>0</v>
      </c>
      <c r="I182" s="7">
        <f t="shared" si="61"/>
        <v>0</v>
      </c>
      <c r="J182" s="8">
        <f t="shared" si="58"/>
        <v>11144060</v>
      </c>
      <c r="K182" s="117">
        <f t="shared" si="61"/>
        <v>7992749</v>
      </c>
      <c r="L182" s="7">
        <f t="shared" si="61"/>
        <v>3151311</v>
      </c>
    </row>
    <row r="183" spans="1:12" x14ac:dyDescent="0.25">
      <c r="A183" s="258"/>
      <c r="B183" s="253"/>
      <c r="C183" s="86" t="s">
        <v>31</v>
      </c>
      <c r="D183" s="87">
        <v>2295657</v>
      </c>
      <c r="E183" s="87">
        <v>2295657</v>
      </c>
      <c r="F183" s="87">
        <v>4274550</v>
      </c>
      <c r="G183" s="87"/>
      <c r="H183" s="87"/>
      <c r="I183" s="87"/>
      <c r="J183" s="89">
        <f t="shared" si="58"/>
        <v>6570207</v>
      </c>
      <c r="K183" s="115">
        <v>4311407</v>
      </c>
      <c r="L183" s="89">
        <f t="shared" si="59"/>
        <v>2258800</v>
      </c>
    </row>
    <row r="184" spans="1:12" x14ac:dyDescent="0.25">
      <c r="A184" s="258"/>
      <c r="B184" s="253"/>
      <c r="C184" s="10" t="s">
        <v>33</v>
      </c>
      <c r="D184" s="3">
        <v>90000</v>
      </c>
      <c r="E184" s="3">
        <v>90000</v>
      </c>
      <c r="F184" s="3">
        <v>142959</v>
      </c>
      <c r="G184" s="3"/>
      <c r="H184" s="3"/>
      <c r="I184" s="3"/>
      <c r="J184" s="3">
        <f t="shared" si="58"/>
        <v>232959</v>
      </c>
      <c r="K184" s="112">
        <v>232959</v>
      </c>
      <c r="L184" s="3">
        <f t="shared" si="59"/>
        <v>0</v>
      </c>
    </row>
    <row r="185" spans="1:12" x14ac:dyDescent="0.25">
      <c r="A185" s="258"/>
      <c r="B185" s="253"/>
      <c r="C185" s="10" t="s">
        <v>37</v>
      </c>
      <c r="D185" s="3">
        <v>230000</v>
      </c>
      <c r="E185" s="3">
        <v>230000</v>
      </c>
      <c r="F185" s="3"/>
      <c r="G185" s="3"/>
      <c r="H185" s="3"/>
      <c r="I185" s="3"/>
      <c r="J185" s="3">
        <f t="shared" si="58"/>
        <v>230000</v>
      </c>
      <c r="K185" s="112">
        <v>0</v>
      </c>
      <c r="L185" s="3">
        <f t="shared" si="59"/>
        <v>230000</v>
      </c>
    </row>
    <row r="186" spans="1:12" x14ac:dyDescent="0.25">
      <c r="A186" s="258"/>
      <c r="B186" s="253"/>
      <c r="C186" s="10" t="s">
        <v>40</v>
      </c>
      <c r="D186" s="3">
        <v>14850000</v>
      </c>
      <c r="E186" s="3">
        <v>14850000</v>
      </c>
      <c r="F186" s="3"/>
      <c r="G186" s="3"/>
      <c r="H186" s="3"/>
      <c r="I186" s="3"/>
      <c r="J186" s="3">
        <f t="shared" si="58"/>
        <v>14850000</v>
      </c>
      <c r="K186" s="112">
        <v>0</v>
      </c>
      <c r="L186" s="3">
        <f t="shared" si="59"/>
        <v>14850000</v>
      </c>
    </row>
    <row r="187" spans="1:12" x14ac:dyDescent="0.25">
      <c r="A187" s="258"/>
      <c r="B187" s="253"/>
      <c r="C187" s="10" t="s">
        <v>41</v>
      </c>
      <c r="D187" s="3">
        <v>25112271</v>
      </c>
      <c r="E187" s="3">
        <v>6344554</v>
      </c>
      <c r="F187" s="3">
        <f>10500000-4274550-142959</f>
        <v>6082491</v>
      </c>
      <c r="G187" s="3"/>
      <c r="H187" s="3"/>
      <c r="I187" s="3"/>
      <c r="J187" s="3">
        <f t="shared" si="58"/>
        <v>12427045</v>
      </c>
      <c r="K187" s="112">
        <v>5250010</v>
      </c>
      <c r="L187" s="3">
        <f t="shared" si="59"/>
        <v>7177035</v>
      </c>
    </row>
    <row r="188" spans="1:12" x14ac:dyDescent="0.25">
      <c r="A188" s="258"/>
      <c r="B188" s="253"/>
      <c r="C188" s="10" t="s">
        <v>42</v>
      </c>
      <c r="D188" s="3">
        <v>230000</v>
      </c>
      <c r="E188" s="3">
        <v>230000</v>
      </c>
      <c r="F188" s="3"/>
      <c r="G188" s="3"/>
      <c r="H188" s="3"/>
      <c r="I188" s="3"/>
      <c r="J188" s="3">
        <f t="shared" si="58"/>
        <v>230000</v>
      </c>
      <c r="K188" s="112">
        <v>38298</v>
      </c>
      <c r="L188" s="3">
        <f t="shared" si="59"/>
        <v>191702</v>
      </c>
    </row>
    <row r="189" spans="1:12" x14ac:dyDescent="0.25">
      <c r="A189" s="258"/>
      <c r="B189" s="253"/>
      <c r="C189" s="10" t="s">
        <v>43</v>
      </c>
      <c r="D189" s="3">
        <v>230000</v>
      </c>
      <c r="E189" s="3">
        <v>230000</v>
      </c>
      <c r="F189" s="3"/>
      <c r="G189" s="3"/>
      <c r="H189" s="3"/>
      <c r="I189" s="3"/>
      <c r="J189" s="3">
        <f t="shared" si="58"/>
        <v>230000</v>
      </c>
      <c r="K189" s="112">
        <v>0</v>
      </c>
      <c r="L189" s="3">
        <f t="shared" si="59"/>
        <v>230000</v>
      </c>
    </row>
    <row r="190" spans="1:12" x14ac:dyDescent="0.25">
      <c r="A190" s="258"/>
      <c r="B190" s="253"/>
      <c r="C190" s="10" t="s">
        <v>44</v>
      </c>
      <c r="D190" s="3">
        <v>5677830</v>
      </c>
      <c r="E190" s="3">
        <v>3445547</v>
      </c>
      <c r="F190" s="3"/>
      <c r="G190" s="3"/>
      <c r="H190" s="3"/>
      <c r="I190" s="3"/>
      <c r="J190" s="3">
        <f t="shared" si="58"/>
        <v>3445547</v>
      </c>
      <c r="K190" s="112">
        <v>1480399</v>
      </c>
      <c r="L190" s="3">
        <f t="shared" si="59"/>
        <v>1965148</v>
      </c>
    </row>
    <row r="191" spans="1:12" x14ac:dyDescent="0.25">
      <c r="A191" s="258"/>
      <c r="B191" s="253"/>
      <c r="C191" s="10" t="s">
        <v>45</v>
      </c>
      <c r="D191" s="3">
        <v>229990</v>
      </c>
      <c r="E191" s="3">
        <v>229990</v>
      </c>
      <c r="F191" s="3"/>
      <c r="G191" s="3"/>
      <c r="H191" s="3"/>
      <c r="I191" s="3"/>
      <c r="J191" s="3">
        <f t="shared" si="58"/>
        <v>229990</v>
      </c>
      <c r="K191" s="112">
        <v>0</v>
      </c>
      <c r="L191" s="3">
        <f t="shared" si="59"/>
        <v>229990</v>
      </c>
    </row>
    <row r="192" spans="1:12" x14ac:dyDescent="0.25">
      <c r="A192" s="258"/>
      <c r="B192" s="253"/>
      <c r="C192" s="6" t="s">
        <v>49</v>
      </c>
      <c r="D192" s="7">
        <f>SUM(D184:D191)</f>
        <v>46650091</v>
      </c>
      <c r="E192" s="7">
        <v>25650091</v>
      </c>
      <c r="F192" s="7">
        <f t="shared" ref="F192:L192" si="62">SUM(F184:F191)</f>
        <v>6225450</v>
      </c>
      <c r="G192" s="7">
        <f t="shared" si="62"/>
        <v>0</v>
      </c>
      <c r="H192" s="7">
        <f t="shared" si="62"/>
        <v>0</v>
      </c>
      <c r="I192" s="7">
        <f t="shared" si="62"/>
        <v>0</v>
      </c>
      <c r="J192" s="7">
        <f t="shared" si="62"/>
        <v>31875541</v>
      </c>
      <c r="K192" s="114">
        <f t="shared" si="62"/>
        <v>7001666</v>
      </c>
      <c r="L192" s="7">
        <f t="shared" si="62"/>
        <v>24873875</v>
      </c>
    </row>
    <row r="193" spans="1:12" x14ac:dyDescent="0.25">
      <c r="A193" s="258"/>
      <c r="B193" s="253"/>
      <c r="C193" s="10" t="s">
        <v>56</v>
      </c>
      <c r="D193" s="3">
        <v>0</v>
      </c>
      <c r="E193" s="3">
        <v>0</v>
      </c>
      <c r="F193" s="3"/>
      <c r="G193" s="3"/>
      <c r="H193" s="3"/>
      <c r="I193" s="3"/>
      <c r="J193" s="3">
        <f t="shared" ref="J193:J195" si="63">E193+F193+G193+H193+I193</f>
        <v>0</v>
      </c>
      <c r="K193" s="112">
        <v>0</v>
      </c>
      <c r="L193" s="3">
        <f t="shared" ref="L193:L195" si="64">J193-K193</f>
        <v>0</v>
      </c>
    </row>
    <row r="194" spans="1:12" x14ac:dyDescent="0.25">
      <c r="A194" s="258"/>
      <c r="B194" s="253"/>
      <c r="C194" s="10" t="s">
        <v>50</v>
      </c>
      <c r="D194" s="3">
        <v>3740</v>
      </c>
      <c r="E194" s="3">
        <v>3740</v>
      </c>
      <c r="F194" s="3"/>
      <c r="G194" s="3"/>
      <c r="H194" s="3"/>
      <c r="I194" s="3"/>
      <c r="J194" s="3">
        <f t="shared" si="63"/>
        <v>3740</v>
      </c>
      <c r="K194" s="112">
        <v>0</v>
      </c>
      <c r="L194" s="3">
        <f t="shared" si="64"/>
        <v>3740</v>
      </c>
    </row>
    <row r="195" spans="1:12" x14ac:dyDescent="0.25">
      <c r="A195" s="258"/>
      <c r="B195" s="253"/>
      <c r="C195" s="10" t="s">
        <v>51</v>
      </c>
      <c r="D195" s="3">
        <v>1010</v>
      </c>
      <c r="E195" s="3">
        <v>1010</v>
      </c>
      <c r="F195" s="3"/>
      <c r="G195" s="3"/>
      <c r="H195" s="3"/>
      <c r="I195" s="3"/>
      <c r="J195" s="3">
        <f t="shared" si="63"/>
        <v>1010</v>
      </c>
      <c r="K195" s="112">
        <v>0</v>
      </c>
      <c r="L195" s="3">
        <f t="shared" si="64"/>
        <v>1010</v>
      </c>
    </row>
    <row r="196" spans="1:12" x14ac:dyDescent="0.25">
      <c r="A196" s="258"/>
      <c r="B196" s="253"/>
      <c r="C196" s="6" t="s">
        <v>52</v>
      </c>
      <c r="D196" s="7">
        <f>SUM(D193:D195)</f>
        <v>4750</v>
      </c>
      <c r="E196" s="7">
        <v>4750</v>
      </c>
      <c r="F196" s="7">
        <f t="shared" ref="F196:L196" si="65">SUM(F193:F195)</f>
        <v>0</v>
      </c>
      <c r="G196" s="7">
        <f t="shared" si="65"/>
        <v>0</v>
      </c>
      <c r="H196" s="7">
        <f t="shared" si="65"/>
        <v>0</v>
      </c>
      <c r="I196" s="7">
        <f t="shared" si="65"/>
        <v>0</v>
      </c>
      <c r="J196" s="7">
        <f t="shared" si="65"/>
        <v>4750</v>
      </c>
      <c r="K196" s="114">
        <f t="shared" si="65"/>
        <v>0</v>
      </c>
      <c r="L196" s="7">
        <f t="shared" si="65"/>
        <v>4750</v>
      </c>
    </row>
    <row r="197" spans="1:12" x14ac:dyDescent="0.25">
      <c r="A197" s="258"/>
      <c r="B197" s="254"/>
      <c r="C197" s="10" t="s">
        <v>57</v>
      </c>
      <c r="D197" s="3">
        <v>0</v>
      </c>
      <c r="E197" s="3">
        <v>10500000</v>
      </c>
      <c r="F197" s="3"/>
      <c r="G197" s="3"/>
      <c r="H197" s="3"/>
      <c r="I197" s="3"/>
      <c r="J197" s="3">
        <f t="shared" ref="J197" si="66">E197+F197+G197+H197+I197</f>
        <v>10500000</v>
      </c>
      <c r="K197" s="112">
        <v>10500000</v>
      </c>
      <c r="L197" s="3">
        <f t="shared" ref="L197" si="67">J197-K197</f>
        <v>0</v>
      </c>
    </row>
    <row r="198" spans="1:12" x14ac:dyDescent="0.25">
      <c r="A198" s="353" t="s">
        <v>81</v>
      </c>
      <c r="B198" s="354"/>
      <c r="C198" s="355"/>
      <c r="D198" s="126">
        <f>SUM(D182+D183+D192+D196+D197)</f>
        <v>60094558</v>
      </c>
      <c r="E198" s="126">
        <v>60094558</v>
      </c>
      <c r="F198" s="126">
        <f t="shared" ref="F198:L198" si="68">SUM(F182+F183+F192+F196+F197)</f>
        <v>0</v>
      </c>
      <c r="G198" s="126">
        <f t="shared" si="68"/>
        <v>0</v>
      </c>
      <c r="H198" s="126">
        <f t="shared" si="68"/>
        <v>0</v>
      </c>
      <c r="I198" s="126">
        <f t="shared" si="68"/>
        <v>0</v>
      </c>
      <c r="J198" s="126">
        <f t="shared" si="68"/>
        <v>60094558</v>
      </c>
      <c r="K198" s="128">
        <f t="shared" si="68"/>
        <v>29805822</v>
      </c>
      <c r="L198" s="126">
        <f t="shared" si="68"/>
        <v>30288736</v>
      </c>
    </row>
    <row r="199" spans="1:12" x14ac:dyDescent="0.25">
      <c r="A199" s="256" t="s">
        <v>85</v>
      </c>
      <c r="B199" s="252" t="s">
        <v>46</v>
      </c>
      <c r="C199" s="12" t="s">
        <v>24</v>
      </c>
      <c r="D199" s="3">
        <v>9880165</v>
      </c>
      <c r="E199" s="3">
        <v>9662762</v>
      </c>
      <c r="F199" s="3"/>
      <c r="G199" s="3"/>
      <c r="H199" s="3"/>
      <c r="I199" s="3"/>
      <c r="J199" s="20">
        <f t="shared" ref="J199:J204" si="69">E199+F199+G199+H199+I199</f>
        <v>9662762</v>
      </c>
      <c r="K199" s="112">
        <v>5190289</v>
      </c>
      <c r="L199" s="3">
        <f t="shared" ref="L199:L204" si="70">J199-K199</f>
        <v>4472473</v>
      </c>
    </row>
    <row r="200" spans="1:12" x14ac:dyDescent="0.25">
      <c r="A200" s="256"/>
      <c r="B200" s="253"/>
      <c r="C200" s="12" t="s">
        <v>25</v>
      </c>
      <c r="D200" s="3">
        <v>400000</v>
      </c>
      <c r="E200" s="3">
        <v>400000</v>
      </c>
      <c r="F200" s="3"/>
      <c r="G200" s="3"/>
      <c r="H200" s="3"/>
      <c r="I200" s="3"/>
      <c r="J200" s="20">
        <f t="shared" si="69"/>
        <v>400000</v>
      </c>
      <c r="K200" s="112">
        <v>200000</v>
      </c>
      <c r="L200" s="3">
        <f t="shared" si="70"/>
        <v>200000</v>
      </c>
    </row>
    <row r="201" spans="1:12" x14ac:dyDescent="0.25">
      <c r="A201" s="256"/>
      <c r="B201" s="253"/>
      <c r="C201" s="12" t="s">
        <v>26</v>
      </c>
      <c r="D201" s="3">
        <v>20000</v>
      </c>
      <c r="E201" s="3">
        <v>20000</v>
      </c>
      <c r="F201" s="3"/>
      <c r="G201" s="3"/>
      <c r="H201" s="3"/>
      <c r="I201" s="3"/>
      <c r="J201" s="20">
        <f t="shared" si="69"/>
        <v>20000</v>
      </c>
      <c r="K201" s="112">
        <v>0</v>
      </c>
      <c r="L201" s="3">
        <f t="shared" si="70"/>
        <v>20000</v>
      </c>
    </row>
    <row r="202" spans="1:12" x14ac:dyDescent="0.25">
      <c r="A202" s="256"/>
      <c r="B202" s="253"/>
      <c r="C202" s="2" t="s">
        <v>27</v>
      </c>
      <c r="D202" s="3">
        <v>75000</v>
      </c>
      <c r="E202" s="3">
        <v>80202</v>
      </c>
      <c r="F202" s="3">
        <v>5814</v>
      </c>
      <c r="G202" s="3"/>
      <c r="H202" s="3"/>
      <c r="I202" s="3"/>
      <c r="J202" s="20">
        <f t="shared" si="69"/>
        <v>86016</v>
      </c>
      <c r="K202" s="112">
        <v>11016</v>
      </c>
      <c r="L202" s="3">
        <f t="shared" si="70"/>
        <v>75000</v>
      </c>
    </row>
    <row r="203" spans="1:12" x14ac:dyDescent="0.25">
      <c r="A203" s="256"/>
      <c r="B203" s="253"/>
      <c r="C203" s="2" t="s">
        <v>28</v>
      </c>
      <c r="D203" s="3">
        <v>48000</v>
      </c>
      <c r="E203" s="3">
        <v>48000</v>
      </c>
      <c r="F203" s="3"/>
      <c r="G203" s="3"/>
      <c r="H203" s="3"/>
      <c r="I203" s="3"/>
      <c r="J203" s="20">
        <f t="shared" si="69"/>
        <v>48000</v>
      </c>
      <c r="K203" s="112">
        <v>24000</v>
      </c>
      <c r="L203" s="3">
        <f t="shared" si="70"/>
        <v>24000</v>
      </c>
    </row>
    <row r="204" spans="1:12" x14ac:dyDescent="0.25">
      <c r="A204" s="256"/>
      <c r="B204" s="253"/>
      <c r="C204" s="2" t="s">
        <v>29</v>
      </c>
      <c r="D204" s="3">
        <v>264000</v>
      </c>
      <c r="E204" s="3">
        <v>481403</v>
      </c>
      <c r="F204" s="3">
        <v>58303</v>
      </c>
      <c r="G204" s="3"/>
      <c r="H204" s="3"/>
      <c r="I204" s="3"/>
      <c r="J204" s="20">
        <f t="shared" si="69"/>
        <v>539706</v>
      </c>
      <c r="K204" s="112">
        <v>391066</v>
      </c>
      <c r="L204" s="3">
        <f t="shared" si="70"/>
        <v>148640</v>
      </c>
    </row>
    <row r="205" spans="1:12" x14ac:dyDescent="0.25">
      <c r="A205" s="256"/>
      <c r="B205" s="253"/>
      <c r="C205" s="26" t="s">
        <v>53</v>
      </c>
      <c r="D205" s="7">
        <f>SUM(D199:D204)</f>
        <v>10687165</v>
      </c>
      <c r="E205" s="7">
        <v>10692367</v>
      </c>
      <c r="F205" s="7">
        <f t="shared" ref="F205:L205" si="71">SUM(F199:F204)</f>
        <v>64117</v>
      </c>
      <c r="G205" s="7">
        <f t="shared" si="71"/>
        <v>0</v>
      </c>
      <c r="H205" s="7">
        <f t="shared" si="71"/>
        <v>0</v>
      </c>
      <c r="I205" s="7">
        <f t="shared" si="71"/>
        <v>0</v>
      </c>
      <c r="J205" s="7">
        <f t="shared" si="71"/>
        <v>10756484</v>
      </c>
      <c r="K205" s="114">
        <f t="shared" si="71"/>
        <v>5816371</v>
      </c>
      <c r="L205" s="7">
        <f t="shared" si="71"/>
        <v>4940113</v>
      </c>
    </row>
    <row r="206" spans="1:12" x14ac:dyDescent="0.25">
      <c r="A206" s="256"/>
      <c r="B206" s="253"/>
      <c r="C206" s="90" t="s">
        <v>31</v>
      </c>
      <c r="D206" s="91">
        <v>2120857</v>
      </c>
      <c r="E206" s="91">
        <v>2120857</v>
      </c>
      <c r="F206" s="92"/>
      <c r="G206" s="92"/>
      <c r="H206" s="92"/>
      <c r="I206" s="92"/>
      <c r="J206" s="88">
        <f t="shared" ref="J206:J213" si="72">E206+F206+G206+H206+I206</f>
        <v>2120857</v>
      </c>
      <c r="K206" s="115">
        <v>1177934</v>
      </c>
      <c r="L206" s="89">
        <f t="shared" ref="L206:L213" si="73">J206-K206</f>
        <v>942923</v>
      </c>
    </row>
    <row r="207" spans="1:12" x14ac:dyDescent="0.25">
      <c r="A207" s="256"/>
      <c r="B207" s="253"/>
      <c r="C207" s="103" t="s">
        <v>33</v>
      </c>
      <c r="D207" s="104">
        <v>0</v>
      </c>
      <c r="E207" s="104">
        <v>186928</v>
      </c>
      <c r="F207" s="104"/>
      <c r="G207" s="104"/>
      <c r="H207" s="104"/>
      <c r="I207" s="104"/>
      <c r="J207" s="20">
        <f t="shared" si="72"/>
        <v>186928</v>
      </c>
      <c r="K207" s="118">
        <v>30769</v>
      </c>
      <c r="L207" s="3">
        <f t="shared" si="73"/>
        <v>156159</v>
      </c>
    </row>
    <row r="208" spans="1:12" x14ac:dyDescent="0.25">
      <c r="A208" s="256"/>
      <c r="B208" s="253"/>
      <c r="C208" s="46" t="s">
        <v>35</v>
      </c>
      <c r="D208" s="47">
        <v>0</v>
      </c>
      <c r="E208" s="47">
        <v>172800</v>
      </c>
      <c r="F208" s="47"/>
      <c r="G208" s="47"/>
      <c r="H208" s="47"/>
      <c r="I208" s="47"/>
      <c r="J208" s="20">
        <f t="shared" si="72"/>
        <v>172800</v>
      </c>
      <c r="K208" s="118">
        <v>26240</v>
      </c>
      <c r="L208" s="3">
        <f t="shared" si="73"/>
        <v>146560</v>
      </c>
    </row>
    <row r="209" spans="1:12" x14ac:dyDescent="0.25">
      <c r="A209" s="256"/>
      <c r="B209" s="253"/>
      <c r="C209" s="102" t="s">
        <v>38</v>
      </c>
      <c r="D209" s="47">
        <v>0</v>
      </c>
      <c r="E209" s="47">
        <v>3500</v>
      </c>
      <c r="F209" s="47"/>
      <c r="G209" s="47"/>
      <c r="H209" s="47"/>
      <c r="I209" s="47"/>
      <c r="J209" s="20">
        <f t="shared" si="72"/>
        <v>3500</v>
      </c>
      <c r="K209" s="118">
        <v>3500</v>
      </c>
      <c r="L209" s="3">
        <f t="shared" si="73"/>
        <v>0</v>
      </c>
    </row>
    <row r="210" spans="1:12" x14ac:dyDescent="0.25">
      <c r="A210" s="256"/>
      <c r="B210" s="253"/>
      <c r="C210" s="135" t="s">
        <v>41</v>
      </c>
      <c r="D210" s="47">
        <v>0</v>
      </c>
      <c r="E210" s="47">
        <v>1685</v>
      </c>
      <c r="F210" s="47"/>
      <c r="G210" s="47"/>
      <c r="H210" s="47"/>
      <c r="I210" s="47"/>
      <c r="J210" s="20">
        <f t="shared" si="72"/>
        <v>1685</v>
      </c>
      <c r="K210" s="118">
        <v>1685</v>
      </c>
      <c r="L210" s="3">
        <f t="shared" si="73"/>
        <v>0</v>
      </c>
    </row>
    <row r="211" spans="1:12" x14ac:dyDescent="0.25">
      <c r="A211" s="256"/>
      <c r="B211" s="253"/>
      <c r="C211" s="46" t="s">
        <v>42</v>
      </c>
      <c r="D211" s="47">
        <v>0</v>
      </c>
      <c r="E211" s="47">
        <v>71885</v>
      </c>
      <c r="F211" s="47">
        <v>5395</v>
      </c>
      <c r="G211" s="47"/>
      <c r="H211" s="47"/>
      <c r="I211" s="47"/>
      <c r="J211" s="20">
        <f t="shared" si="72"/>
        <v>77280</v>
      </c>
      <c r="K211" s="118">
        <v>77280</v>
      </c>
      <c r="L211" s="3">
        <f t="shared" si="73"/>
        <v>0</v>
      </c>
    </row>
    <row r="212" spans="1:12" x14ac:dyDescent="0.25">
      <c r="A212" s="256"/>
      <c r="B212" s="253"/>
      <c r="C212" s="46" t="s">
        <v>44</v>
      </c>
      <c r="D212" s="47">
        <v>0</v>
      </c>
      <c r="E212" s="47">
        <v>111556</v>
      </c>
      <c r="F212" s="47"/>
      <c r="G212" s="47"/>
      <c r="H212" s="47"/>
      <c r="I212" s="47"/>
      <c r="J212" s="20">
        <f t="shared" si="72"/>
        <v>111556</v>
      </c>
      <c r="K212" s="118">
        <v>36343</v>
      </c>
      <c r="L212" s="3">
        <f t="shared" si="73"/>
        <v>75213</v>
      </c>
    </row>
    <row r="213" spans="1:12" x14ac:dyDescent="0.25">
      <c r="A213" s="256"/>
      <c r="B213" s="253"/>
      <c r="C213" s="46" t="s">
        <v>45</v>
      </c>
      <c r="D213" s="47">
        <v>0</v>
      </c>
      <c r="E213" s="47">
        <v>276854</v>
      </c>
      <c r="F213" s="47">
        <v>26400</v>
      </c>
      <c r="G213" s="47"/>
      <c r="H213" s="47"/>
      <c r="I213" s="47"/>
      <c r="J213" s="20">
        <f t="shared" si="72"/>
        <v>303254</v>
      </c>
      <c r="K213" s="118">
        <v>210879</v>
      </c>
      <c r="L213" s="60">
        <f t="shared" si="73"/>
        <v>92375</v>
      </c>
    </row>
    <row r="214" spans="1:12" x14ac:dyDescent="0.25">
      <c r="A214" s="257"/>
      <c r="B214" s="254"/>
      <c r="C214" s="49" t="s">
        <v>49</v>
      </c>
      <c r="D214" s="50">
        <f>SUM(D207:D213)</f>
        <v>0</v>
      </c>
      <c r="E214" s="50">
        <v>825208</v>
      </c>
      <c r="F214" s="50">
        <f t="shared" ref="F214:L214" si="74">SUM(F207:F213)</f>
        <v>31795</v>
      </c>
      <c r="G214" s="50">
        <f t="shared" si="74"/>
        <v>0</v>
      </c>
      <c r="H214" s="50">
        <f t="shared" si="74"/>
        <v>0</v>
      </c>
      <c r="I214" s="50">
        <f t="shared" si="74"/>
        <v>0</v>
      </c>
      <c r="J214" s="50">
        <f t="shared" si="74"/>
        <v>857003</v>
      </c>
      <c r="K214" s="119">
        <f>SUM(K207:K213)</f>
        <v>386696</v>
      </c>
      <c r="L214" s="50">
        <f t="shared" si="74"/>
        <v>470307</v>
      </c>
    </row>
    <row r="215" spans="1:12" x14ac:dyDescent="0.25">
      <c r="A215" s="258" t="s">
        <v>68</v>
      </c>
      <c r="B215" s="267" t="s">
        <v>46</v>
      </c>
      <c r="C215" s="16" t="s">
        <v>24</v>
      </c>
      <c r="D215" s="17">
        <v>2501556</v>
      </c>
      <c r="E215" s="17">
        <v>2501556</v>
      </c>
      <c r="F215" s="17"/>
      <c r="G215" s="17"/>
      <c r="H215" s="17"/>
      <c r="I215" s="17"/>
      <c r="J215" s="20">
        <f>E215+F215+G215+H215+I215</f>
        <v>2501556</v>
      </c>
      <c r="K215" s="112">
        <v>1454687</v>
      </c>
      <c r="L215" s="3">
        <f t="shared" ref="L215:L216" si="75">J215-K215</f>
        <v>1046869</v>
      </c>
    </row>
    <row r="216" spans="1:12" x14ac:dyDescent="0.25">
      <c r="A216" s="255"/>
      <c r="B216" s="261"/>
      <c r="C216" s="18" t="s">
        <v>31</v>
      </c>
      <c r="D216" s="19">
        <v>466569</v>
      </c>
      <c r="E216" s="19">
        <v>466569</v>
      </c>
      <c r="F216" s="19"/>
      <c r="G216" s="19"/>
      <c r="H216" s="19"/>
      <c r="I216" s="19"/>
      <c r="J216" s="20">
        <f t="shared" ref="J216" si="76">E216+F216+G216+H216+I216</f>
        <v>466569</v>
      </c>
      <c r="K216" s="112">
        <v>283661</v>
      </c>
      <c r="L216" s="3">
        <f t="shared" si="75"/>
        <v>182908</v>
      </c>
    </row>
    <row r="217" spans="1:12" x14ac:dyDescent="0.25">
      <c r="A217" s="353" t="s">
        <v>82</v>
      </c>
      <c r="B217" s="354"/>
      <c r="C217" s="355"/>
      <c r="D217" s="129">
        <f>SUM(D205+D206+D215+D216+D214)</f>
        <v>15776147</v>
      </c>
      <c r="E217" s="129">
        <v>16606557</v>
      </c>
      <c r="F217" s="129">
        <f t="shared" ref="F217:I217" si="77">SUM(F205+F206+F215+F216+F214)</f>
        <v>95912</v>
      </c>
      <c r="G217" s="129">
        <f t="shared" si="77"/>
        <v>0</v>
      </c>
      <c r="H217" s="129">
        <f t="shared" si="77"/>
        <v>0</v>
      </c>
      <c r="I217" s="129">
        <f t="shared" si="77"/>
        <v>0</v>
      </c>
      <c r="J217" s="129">
        <f>SUM(J205+J206+J215+J216+J214)</f>
        <v>16702469</v>
      </c>
      <c r="K217" s="130">
        <f>SUM(K205+K206+K215+K216+K214)</f>
        <v>9119349</v>
      </c>
      <c r="L217" s="131">
        <f>SUM(L205+L206+L215+L216+L214)</f>
        <v>7583120</v>
      </c>
    </row>
    <row r="218" spans="1:12" ht="30.75" customHeight="1" x14ac:dyDescent="0.25">
      <c r="A218" s="357" t="s">
        <v>74</v>
      </c>
      <c r="B218" s="358"/>
      <c r="C218" s="359"/>
      <c r="D218" s="132">
        <f t="shared" ref="D218:K218" si="78">SUM(D88+D113+D135+D156+D179+D198+D217)</f>
        <v>230443641</v>
      </c>
      <c r="E218" s="132">
        <f t="shared" si="78"/>
        <v>230521849</v>
      </c>
      <c r="F218" s="132">
        <f t="shared" si="78"/>
        <v>0</v>
      </c>
      <c r="G218" s="132">
        <f t="shared" si="78"/>
        <v>0</v>
      </c>
      <c r="H218" s="132">
        <f t="shared" si="78"/>
        <v>0</v>
      </c>
      <c r="I218" s="132">
        <f t="shared" si="78"/>
        <v>0</v>
      </c>
      <c r="J218" s="132">
        <f t="shared" si="78"/>
        <v>230521849</v>
      </c>
      <c r="K218" s="133">
        <f t="shared" si="78"/>
        <v>117755531</v>
      </c>
      <c r="L218" s="132">
        <f>SUM(L88+L113+L135+L156+L179+L198+L217)</f>
        <v>112766318</v>
      </c>
    </row>
    <row r="219" spans="1:12" x14ac:dyDescent="0.25">
      <c r="B219" s="5"/>
      <c r="E219" s="4"/>
      <c r="F219" s="4"/>
      <c r="G219" s="4"/>
      <c r="H219" s="4"/>
      <c r="I219" s="4"/>
      <c r="J219" s="4"/>
      <c r="K219" s="111"/>
    </row>
    <row r="220" spans="1:12" x14ac:dyDescent="0.25">
      <c r="B220" s="5"/>
      <c r="E220" s="4"/>
      <c r="F220" s="4"/>
      <c r="G220" s="4"/>
      <c r="H220" s="4"/>
      <c r="I220" s="4"/>
      <c r="J220" s="4"/>
      <c r="K220" s="111"/>
    </row>
    <row r="221" spans="1:12" x14ac:dyDescent="0.25">
      <c r="B221" s="5"/>
      <c r="E221" s="4"/>
      <c r="F221" s="4"/>
      <c r="G221" s="4"/>
      <c r="H221" s="4"/>
      <c r="I221" s="4"/>
      <c r="J221" s="4"/>
      <c r="K221" s="111"/>
    </row>
    <row r="222" spans="1:12" x14ac:dyDescent="0.25">
      <c r="B222" s="5"/>
      <c r="E222" s="4"/>
      <c r="F222" s="4"/>
      <c r="G222" s="4"/>
      <c r="H222" s="4"/>
      <c r="I222" s="4"/>
      <c r="J222" s="4"/>
      <c r="K222" s="111"/>
    </row>
    <row r="223" spans="1:12" x14ac:dyDescent="0.25">
      <c r="B223" s="5"/>
      <c r="E223" s="4"/>
      <c r="F223" s="4"/>
      <c r="G223" s="4"/>
      <c r="H223" s="4"/>
      <c r="I223" s="4"/>
      <c r="J223" s="4"/>
      <c r="K223" s="111"/>
    </row>
    <row r="224" spans="1:12" ht="15.75" thickBot="1" x14ac:dyDescent="0.3">
      <c r="B224" s="5"/>
      <c r="E224" s="4"/>
      <c r="F224" s="4"/>
      <c r="G224" s="134">
        <v>43677</v>
      </c>
      <c r="H224" s="4"/>
      <c r="I224" s="4"/>
      <c r="J224" s="4"/>
      <c r="K224" s="111"/>
    </row>
    <row r="225" spans="1:11" ht="15.75" thickTop="1" x14ac:dyDescent="0.25">
      <c r="A225" s="250" t="s">
        <v>83</v>
      </c>
      <c r="B225" s="250"/>
      <c r="C225" s="250"/>
      <c r="D225" s="250"/>
      <c r="E225" s="250"/>
      <c r="F225" s="250"/>
      <c r="G225" s="250"/>
      <c r="H225" s="250"/>
      <c r="I225" s="250"/>
      <c r="J225" s="250"/>
      <c r="K225" s="250"/>
    </row>
    <row r="226" spans="1:11" s="79" customFormat="1" ht="33.75" customHeight="1" x14ac:dyDescent="0.25">
      <c r="A226" s="298" t="s">
        <v>0</v>
      </c>
      <c r="B226" s="299"/>
      <c r="C226" s="75" t="s">
        <v>3</v>
      </c>
      <c r="D226" s="75" t="s">
        <v>4</v>
      </c>
      <c r="E226" s="77" t="s">
        <v>107</v>
      </c>
      <c r="F226" s="76" t="s">
        <v>70</v>
      </c>
      <c r="G226" s="109" t="s">
        <v>71</v>
      </c>
      <c r="H226" s="110" t="s">
        <v>71</v>
      </c>
      <c r="I226" s="77" t="s">
        <v>71</v>
      </c>
      <c r="J226" s="77" t="s">
        <v>111</v>
      </c>
      <c r="K226" s="78" t="s">
        <v>112</v>
      </c>
    </row>
    <row r="227" spans="1:11" x14ac:dyDescent="0.25">
      <c r="A227" s="300"/>
      <c r="B227" s="301"/>
      <c r="C227" s="33" t="s">
        <v>16</v>
      </c>
      <c r="D227" s="61">
        <f t="shared" ref="D227:K228" si="79">D5+D14+D16+D18+D20+D22</f>
        <v>117230959</v>
      </c>
      <c r="E227" s="61">
        <f t="shared" si="79"/>
        <v>117297167</v>
      </c>
      <c r="F227" s="61">
        <f t="shared" si="79"/>
        <v>0</v>
      </c>
      <c r="G227" s="61">
        <f t="shared" si="79"/>
        <v>0</v>
      </c>
      <c r="H227" s="61">
        <f t="shared" si="79"/>
        <v>0</v>
      </c>
      <c r="I227" s="61">
        <f t="shared" si="79"/>
        <v>0</v>
      </c>
      <c r="J227" s="61">
        <f t="shared" si="79"/>
        <v>117297167</v>
      </c>
      <c r="K227" s="61">
        <f t="shared" si="79"/>
        <v>56705805</v>
      </c>
    </row>
    <row r="228" spans="1:11" x14ac:dyDescent="0.25">
      <c r="A228" s="300"/>
      <c r="B228" s="301"/>
      <c r="C228" s="33" t="s">
        <v>17</v>
      </c>
      <c r="D228" s="61">
        <f t="shared" si="79"/>
        <v>16012810</v>
      </c>
      <c r="E228" s="61">
        <f t="shared" si="79"/>
        <v>16012810</v>
      </c>
      <c r="F228" s="61">
        <f t="shared" si="79"/>
        <v>0</v>
      </c>
      <c r="G228" s="61">
        <f t="shared" si="79"/>
        <v>0</v>
      </c>
      <c r="H228" s="61">
        <f t="shared" si="79"/>
        <v>0</v>
      </c>
      <c r="I228" s="61">
        <f t="shared" si="79"/>
        <v>0</v>
      </c>
      <c r="J228" s="61">
        <f t="shared" si="79"/>
        <v>16012810</v>
      </c>
      <c r="K228" s="61">
        <f t="shared" si="79"/>
        <v>16012810</v>
      </c>
    </row>
    <row r="229" spans="1:11" x14ac:dyDescent="0.25">
      <c r="A229" s="300"/>
      <c r="B229" s="301"/>
      <c r="C229" s="33" t="s">
        <v>18</v>
      </c>
      <c r="D229" s="61">
        <f t="shared" ref="D229:K231" si="80">D7</f>
        <v>96985672</v>
      </c>
      <c r="E229" s="61">
        <f t="shared" si="80"/>
        <v>96985672</v>
      </c>
      <c r="F229" s="61">
        <f t="shared" si="80"/>
        <v>0</v>
      </c>
      <c r="G229" s="61">
        <f t="shared" si="80"/>
        <v>0</v>
      </c>
      <c r="H229" s="61">
        <f t="shared" si="80"/>
        <v>0</v>
      </c>
      <c r="I229" s="61">
        <f t="shared" si="80"/>
        <v>0</v>
      </c>
      <c r="J229" s="61">
        <f t="shared" si="80"/>
        <v>96985672</v>
      </c>
      <c r="K229" s="61">
        <f t="shared" si="80"/>
        <v>57234396</v>
      </c>
    </row>
    <row r="230" spans="1:11" x14ac:dyDescent="0.25">
      <c r="A230" s="300"/>
      <c r="B230" s="301"/>
      <c r="C230" s="35" t="s">
        <v>22</v>
      </c>
      <c r="D230" s="61">
        <f t="shared" si="80"/>
        <v>200000</v>
      </c>
      <c r="E230" s="61">
        <f t="shared" si="80"/>
        <v>200000</v>
      </c>
      <c r="F230" s="61">
        <f t="shared" si="80"/>
        <v>0</v>
      </c>
      <c r="G230" s="61">
        <f t="shared" si="80"/>
        <v>0</v>
      </c>
      <c r="H230" s="61">
        <f t="shared" si="80"/>
        <v>0</v>
      </c>
      <c r="I230" s="61">
        <f t="shared" si="80"/>
        <v>0</v>
      </c>
      <c r="J230" s="61">
        <f t="shared" si="80"/>
        <v>200000</v>
      </c>
      <c r="K230" s="61">
        <f t="shared" si="80"/>
        <v>0</v>
      </c>
    </row>
    <row r="231" spans="1:11" x14ac:dyDescent="0.25">
      <c r="A231" s="300"/>
      <c r="B231" s="301"/>
      <c r="C231" s="35" t="s">
        <v>19</v>
      </c>
      <c r="D231" s="61">
        <f t="shared" si="80"/>
        <v>13200</v>
      </c>
      <c r="E231" s="61">
        <f t="shared" si="80"/>
        <v>16540</v>
      </c>
      <c r="F231" s="61">
        <f t="shared" si="80"/>
        <v>0</v>
      </c>
      <c r="G231" s="61">
        <f t="shared" si="80"/>
        <v>0</v>
      </c>
      <c r="H231" s="61">
        <f t="shared" si="80"/>
        <v>0</v>
      </c>
      <c r="I231" s="61">
        <f t="shared" si="80"/>
        <v>0</v>
      </c>
      <c r="J231" s="61">
        <f t="shared" si="80"/>
        <v>16540</v>
      </c>
      <c r="K231" s="61">
        <f t="shared" si="80"/>
        <v>16059</v>
      </c>
    </row>
    <row r="232" spans="1:11" x14ac:dyDescent="0.25">
      <c r="A232" s="300"/>
      <c r="B232" s="301"/>
      <c r="C232" s="35" t="s">
        <v>84</v>
      </c>
      <c r="D232" s="61">
        <f>D13+D11</f>
        <v>0</v>
      </c>
      <c r="E232" s="61">
        <f>E13+E11</f>
        <v>9239</v>
      </c>
      <c r="F232" s="61">
        <f t="shared" ref="F232:K232" si="81">F13+F11</f>
        <v>0</v>
      </c>
      <c r="G232" s="61">
        <f t="shared" si="81"/>
        <v>0</v>
      </c>
      <c r="H232" s="61">
        <f t="shared" si="81"/>
        <v>0</v>
      </c>
      <c r="I232" s="61">
        <f t="shared" si="81"/>
        <v>0</v>
      </c>
      <c r="J232" s="61">
        <f>J13+J11</f>
        <v>9239</v>
      </c>
      <c r="K232" s="61">
        <f t="shared" si="81"/>
        <v>3235</v>
      </c>
    </row>
    <row r="233" spans="1:11" x14ac:dyDescent="0.25">
      <c r="A233" s="300"/>
      <c r="B233" s="301"/>
      <c r="C233" s="33" t="s">
        <v>20</v>
      </c>
      <c r="D233" s="61">
        <f>D10+D12</f>
        <v>1000</v>
      </c>
      <c r="E233" s="61">
        <f>E10+E12</f>
        <v>421</v>
      </c>
      <c r="F233" s="61">
        <f t="shared" ref="F233:K233" si="82">F10+F12</f>
        <v>0</v>
      </c>
      <c r="G233" s="61">
        <f t="shared" si="82"/>
        <v>0</v>
      </c>
      <c r="H233" s="61">
        <f t="shared" si="82"/>
        <v>0</v>
      </c>
      <c r="I233" s="61">
        <f t="shared" si="82"/>
        <v>0</v>
      </c>
      <c r="J233" s="61">
        <f t="shared" si="82"/>
        <v>421</v>
      </c>
      <c r="K233" s="61">
        <f t="shared" si="82"/>
        <v>263</v>
      </c>
    </row>
    <row r="234" spans="1:11" x14ac:dyDescent="0.25">
      <c r="A234" s="300"/>
      <c r="B234" s="301"/>
      <c r="C234" s="65" t="s">
        <v>86</v>
      </c>
      <c r="D234" s="66">
        <f>D13+D12+D11+D10+D9</f>
        <v>14200</v>
      </c>
      <c r="E234" s="66">
        <f>E13+E12+E11+E10+E9</f>
        <v>26200</v>
      </c>
      <c r="F234" s="66">
        <f t="shared" ref="F234:K234" si="83">F13+F12+F11+F10+F9</f>
        <v>0</v>
      </c>
      <c r="G234" s="66">
        <f t="shared" si="83"/>
        <v>0</v>
      </c>
      <c r="H234" s="66">
        <f t="shared" si="83"/>
        <v>0</v>
      </c>
      <c r="I234" s="66">
        <f t="shared" si="83"/>
        <v>0</v>
      </c>
      <c r="J234" s="66">
        <f t="shared" si="83"/>
        <v>26200</v>
      </c>
      <c r="K234" s="66">
        <f t="shared" si="83"/>
        <v>19557</v>
      </c>
    </row>
    <row r="235" spans="1:11" x14ac:dyDescent="0.25">
      <c r="A235" s="300"/>
      <c r="B235" s="301"/>
      <c r="C235" s="65" t="s">
        <v>87</v>
      </c>
      <c r="D235" s="66">
        <f>D23+D21+D19+D17+D15+D7+D6</f>
        <v>112998482</v>
      </c>
      <c r="E235" s="66">
        <f>E23+E21+E19+E17+E15+E7+E6</f>
        <v>112998482</v>
      </c>
      <c r="F235" s="66">
        <f t="shared" ref="F235:K235" si="84">F23+F21+F19+F17+F15+F7+F6</f>
        <v>0</v>
      </c>
      <c r="G235" s="66">
        <f t="shared" si="84"/>
        <v>0</v>
      </c>
      <c r="H235" s="66">
        <f t="shared" si="84"/>
        <v>0</v>
      </c>
      <c r="I235" s="66">
        <f t="shared" si="84"/>
        <v>0</v>
      </c>
      <c r="J235" s="66">
        <f t="shared" si="84"/>
        <v>112998482</v>
      </c>
      <c r="K235" s="66">
        <f t="shared" si="84"/>
        <v>73247206</v>
      </c>
    </row>
    <row r="236" spans="1:11" x14ac:dyDescent="0.25">
      <c r="A236" s="300"/>
      <c r="B236" s="301"/>
      <c r="C236" s="65" t="s">
        <v>94</v>
      </c>
      <c r="D236" s="66">
        <f>D24</f>
        <v>230443641</v>
      </c>
      <c r="E236" s="66">
        <f>E24</f>
        <v>230521849</v>
      </c>
      <c r="F236" s="66">
        <f t="shared" ref="F236:K236" si="85">F24</f>
        <v>0</v>
      </c>
      <c r="G236" s="66">
        <f t="shared" si="85"/>
        <v>0</v>
      </c>
      <c r="H236" s="66">
        <f t="shared" si="85"/>
        <v>0</v>
      </c>
      <c r="I236" s="66">
        <f t="shared" si="85"/>
        <v>0</v>
      </c>
      <c r="J236" s="66">
        <f t="shared" si="85"/>
        <v>230521849</v>
      </c>
      <c r="K236" s="66">
        <f t="shared" si="85"/>
        <v>129972568</v>
      </c>
    </row>
    <row r="237" spans="1:11" x14ac:dyDescent="0.25">
      <c r="A237" s="300"/>
      <c r="B237" s="301"/>
      <c r="C237" s="33" t="s">
        <v>24</v>
      </c>
      <c r="D237" s="34">
        <f>D89+D111+D114+D133+D136+D154+D157+D177+D199+D215+D180+D86+D84+D52+D25</f>
        <v>128356144</v>
      </c>
      <c r="E237" s="34">
        <f>E89+E111+E114+E133+E136+E154+E157+E177+E199+E215+E180+E86+E84+E52+E25</f>
        <v>127876501</v>
      </c>
      <c r="F237" s="34">
        <f>F89+F111+F114+F133+F136+F154+F157+F177+F199+F215+F180+F86+F84+F52+F25</f>
        <v>-213541</v>
      </c>
      <c r="G237" s="34">
        <f t="shared" ref="G237:I237" si="86">G89+G111+G114+G133+G136+G154+G157+G177+G199+G215+G180+G86+G84+G52+G25</f>
        <v>0</v>
      </c>
      <c r="H237" s="34">
        <f t="shared" si="86"/>
        <v>0</v>
      </c>
      <c r="I237" s="34">
        <f t="shared" si="86"/>
        <v>0</v>
      </c>
      <c r="J237" s="34">
        <f>J89+J111+J114+J133+J136+J154+J157+J177+J199+J215+J180+J86+J84+J52+J25</f>
        <v>127662960</v>
      </c>
      <c r="K237" s="61">
        <f>K215+K199+K180+K177+K157+K154+K136+K133+K114+K111+K89+K86+K84+K52+K25</f>
        <v>70626458</v>
      </c>
    </row>
    <row r="238" spans="1:11" x14ac:dyDescent="0.25">
      <c r="A238" s="300"/>
      <c r="B238" s="301"/>
      <c r="C238" s="33" t="s">
        <v>47</v>
      </c>
      <c r="D238" s="34">
        <f t="shared" ref="D238:K239" si="87">D53</f>
        <v>2040480</v>
      </c>
      <c r="E238" s="34">
        <f t="shared" si="87"/>
        <v>2040480</v>
      </c>
      <c r="F238" s="34">
        <f t="shared" si="87"/>
        <v>0</v>
      </c>
      <c r="G238" s="34">
        <f t="shared" si="87"/>
        <v>0</v>
      </c>
      <c r="H238" s="34">
        <f t="shared" si="87"/>
        <v>0</v>
      </c>
      <c r="I238" s="34">
        <f t="shared" si="87"/>
        <v>0</v>
      </c>
      <c r="J238" s="34">
        <f t="shared" si="87"/>
        <v>2040480</v>
      </c>
      <c r="K238" s="41">
        <f t="shared" si="87"/>
        <v>1116546</v>
      </c>
    </row>
    <row r="239" spans="1:11" x14ac:dyDescent="0.25">
      <c r="A239" s="300"/>
      <c r="B239" s="301"/>
      <c r="C239" s="33" t="s">
        <v>48</v>
      </c>
      <c r="D239" s="34">
        <f t="shared" si="87"/>
        <v>0</v>
      </c>
      <c r="E239" s="34">
        <f t="shared" si="87"/>
        <v>0</v>
      </c>
      <c r="F239" s="34">
        <f t="shared" si="87"/>
        <v>0</v>
      </c>
      <c r="G239" s="34">
        <f t="shared" si="87"/>
        <v>0</v>
      </c>
      <c r="H239" s="34">
        <f t="shared" si="87"/>
        <v>0</v>
      </c>
      <c r="I239" s="34">
        <f t="shared" si="87"/>
        <v>0</v>
      </c>
      <c r="J239" s="34">
        <f t="shared" si="87"/>
        <v>0</v>
      </c>
      <c r="K239" s="34">
        <f t="shared" si="87"/>
        <v>0</v>
      </c>
    </row>
    <row r="240" spans="1:11" x14ac:dyDescent="0.25">
      <c r="A240" s="300"/>
      <c r="B240" s="301"/>
      <c r="C240" s="35" t="s">
        <v>25</v>
      </c>
      <c r="D240" s="34">
        <f t="shared" ref="D240:K241" si="88">D200+D158+D137+D115+D90+D55+D26</f>
        <v>3992000</v>
      </c>
      <c r="E240" s="34">
        <f t="shared" si="88"/>
        <v>3992000</v>
      </c>
      <c r="F240" s="34">
        <f t="shared" si="88"/>
        <v>0</v>
      </c>
      <c r="G240" s="34">
        <f t="shared" si="88"/>
        <v>0</v>
      </c>
      <c r="H240" s="34">
        <f t="shared" si="88"/>
        <v>0</v>
      </c>
      <c r="I240" s="34">
        <f t="shared" si="88"/>
        <v>0</v>
      </c>
      <c r="J240" s="34">
        <f t="shared" si="88"/>
        <v>3992000</v>
      </c>
      <c r="K240" s="34">
        <f t="shared" si="88"/>
        <v>1887500</v>
      </c>
    </row>
    <row r="241" spans="1:12" x14ac:dyDescent="0.25">
      <c r="A241" s="300"/>
      <c r="B241" s="301"/>
      <c r="C241" s="35" t="s">
        <v>26</v>
      </c>
      <c r="D241" s="34">
        <f t="shared" si="88"/>
        <v>200000</v>
      </c>
      <c r="E241" s="34">
        <f t="shared" si="88"/>
        <v>200000</v>
      </c>
      <c r="F241" s="34">
        <f t="shared" si="88"/>
        <v>0</v>
      </c>
      <c r="G241" s="34">
        <f t="shared" si="88"/>
        <v>0</v>
      </c>
      <c r="H241" s="34">
        <f t="shared" si="88"/>
        <v>0</v>
      </c>
      <c r="I241" s="34">
        <f t="shared" si="88"/>
        <v>0</v>
      </c>
      <c r="J241" s="34">
        <f t="shared" si="88"/>
        <v>200000</v>
      </c>
      <c r="K241" s="34">
        <f t="shared" si="88"/>
        <v>0</v>
      </c>
    </row>
    <row r="242" spans="1:12" x14ac:dyDescent="0.25">
      <c r="A242" s="300"/>
      <c r="B242" s="301"/>
      <c r="C242" s="33" t="s">
        <v>27</v>
      </c>
      <c r="D242" s="34">
        <f>D202+D139+D92+D57+D28</f>
        <v>1661400</v>
      </c>
      <c r="E242" s="34">
        <f>E202+E139+E92+E57+E28</f>
        <v>1661400</v>
      </c>
      <c r="F242" s="34">
        <f t="shared" ref="F242:J242" si="89">F202+F139+F92+F57+F28</f>
        <v>0</v>
      </c>
      <c r="G242" s="34">
        <f t="shared" si="89"/>
        <v>0</v>
      </c>
      <c r="H242" s="34">
        <f t="shared" si="89"/>
        <v>0</v>
      </c>
      <c r="I242" s="34">
        <f t="shared" si="89"/>
        <v>0</v>
      </c>
      <c r="J242" s="34">
        <f t="shared" si="89"/>
        <v>1661400</v>
      </c>
      <c r="K242" s="34">
        <f>K202+K139+K92+K57+K28</f>
        <v>689790</v>
      </c>
    </row>
    <row r="243" spans="1:12" x14ac:dyDescent="0.25">
      <c r="A243" s="300"/>
      <c r="B243" s="301"/>
      <c r="C243" s="35" t="s">
        <v>28</v>
      </c>
      <c r="D243" s="34">
        <f>D203+D160+D140+D117+D58+D29+D93</f>
        <v>481000</v>
      </c>
      <c r="E243" s="34">
        <f>E203+E160+E140+E117+E58+E29+E93</f>
        <v>481000</v>
      </c>
      <c r="F243" s="34">
        <f t="shared" ref="F243:J243" si="90">F203+F160+F140+F117+F58+F29+F93</f>
        <v>0</v>
      </c>
      <c r="G243" s="34">
        <f t="shared" si="90"/>
        <v>0</v>
      </c>
      <c r="H243" s="34">
        <f t="shared" si="90"/>
        <v>0</v>
      </c>
      <c r="I243" s="34">
        <f t="shared" si="90"/>
        <v>0</v>
      </c>
      <c r="J243" s="34">
        <f t="shared" si="90"/>
        <v>481000</v>
      </c>
      <c r="K243" s="34">
        <f>K203+K160+K140+K117+K58+K29+K93</f>
        <v>222000</v>
      </c>
    </row>
    <row r="244" spans="1:12" x14ac:dyDescent="0.25">
      <c r="A244" s="300"/>
      <c r="B244" s="301"/>
      <c r="C244" s="33" t="s">
        <v>29</v>
      </c>
      <c r="D244" s="34">
        <f>D204+D175+D161+D141+D118+D109+D94+D82+D80+D59+D30+D131</f>
        <v>3451400</v>
      </c>
      <c r="E244" s="34">
        <f>E204+E175+E161+E141+E118+E109+E94+E82+E80+E59+E30+E131</f>
        <v>3986447</v>
      </c>
      <c r="F244" s="34">
        <f>F204+F175+F161+F141+F118+F109+F94+F82+F80+F59+F30+F131</f>
        <v>213541</v>
      </c>
      <c r="G244" s="34">
        <f t="shared" ref="G244:J244" si="91">G204+G175+G161+G141+G118+G109+G94+G82+G80+G59+G30+G131</f>
        <v>0</v>
      </c>
      <c r="H244" s="34">
        <f t="shared" si="91"/>
        <v>0</v>
      </c>
      <c r="I244" s="34">
        <f t="shared" si="91"/>
        <v>0</v>
      </c>
      <c r="J244" s="34">
        <f t="shared" si="91"/>
        <v>4199988</v>
      </c>
      <c r="K244" s="34">
        <f>K204+K175+K161+K141+K118+K109+K94+K82+K80+K59+K30+K131</f>
        <v>1985438</v>
      </c>
    </row>
    <row r="245" spans="1:12" x14ac:dyDescent="0.25">
      <c r="A245" s="300"/>
      <c r="B245" s="301"/>
      <c r="C245" s="35" t="s">
        <v>30</v>
      </c>
      <c r="D245" s="34">
        <f>D162+D142+D119+D60+D31+D181</f>
        <v>200000</v>
      </c>
      <c r="E245" s="34">
        <f t="shared" ref="E245:K245" si="92">E162+E142+E119+E60+E31+E181</f>
        <v>10700000</v>
      </c>
      <c r="F245" s="34">
        <f t="shared" si="92"/>
        <v>-10500000</v>
      </c>
      <c r="G245" s="34">
        <f t="shared" si="92"/>
        <v>0</v>
      </c>
      <c r="H245" s="34">
        <f t="shared" si="92"/>
        <v>0</v>
      </c>
      <c r="I245" s="34">
        <f t="shared" si="92"/>
        <v>0</v>
      </c>
      <c r="J245" s="34">
        <f t="shared" si="92"/>
        <v>200000</v>
      </c>
      <c r="K245" s="34">
        <f t="shared" si="92"/>
        <v>27804</v>
      </c>
    </row>
    <row r="246" spans="1:12" x14ac:dyDescent="0.25">
      <c r="A246" s="300"/>
      <c r="B246" s="301"/>
      <c r="C246" s="65" t="s">
        <v>53</v>
      </c>
      <c r="D246" s="66">
        <f>D205+D182+D163+D143+D215+D177+D154+D133+D131+D175+D120+D111+D109+D96+D86+D84+D82+D80+D61+D32</f>
        <v>140382424</v>
      </c>
      <c r="E246" s="66">
        <f t="shared" ref="E246:K246" si="93">E205+E182+E163+E143+E215+E177+E154+E133+E131+E175+E120+E111+E109+E96+E86+E84+E82+E80+E61+E32</f>
        <v>150937828</v>
      </c>
      <c r="F246" s="66">
        <f t="shared" si="93"/>
        <v>-10500000</v>
      </c>
      <c r="G246" s="66">
        <f t="shared" si="93"/>
        <v>0</v>
      </c>
      <c r="H246" s="66">
        <f t="shared" si="93"/>
        <v>0</v>
      </c>
      <c r="I246" s="66">
        <f t="shared" si="93"/>
        <v>0</v>
      </c>
      <c r="J246" s="66">
        <f t="shared" si="93"/>
        <v>140437828</v>
      </c>
      <c r="K246" s="66">
        <f t="shared" si="93"/>
        <v>76555536</v>
      </c>
    </row>
    <row r="247" spans="1:12" x14ac:dyDescent="0.25">
      <c r="A247" s="300"/>
      <c r="B247" s="301"/>
      <c r="C247" s="67" t="s">
        <v>31</v>
      </c>
      <c r="D247" s="66">
        <f>D206+D183+D178+D176+D216+D164+D155+D144+D134+D132+D121+D112+D110+D97+D87+D85+D83+D81+D62+D33</f>
        <v>27536677</v>
      </c>
      <c r="E247" s="66">
        <f>E206+E183+E178+E176+E216+E164+E155+E144+E134+E132+E121+E112+E110+E97+E87+E85+E83+E81+E62+E33</f>
        <v>27547481</v>
      </c>
      <c r="F247" s="66">
        <f t="shared" ref="F247:K247" si="94">F206+F183+F178+F176+F216+F164+F155+F144+F134+F132+F121+F112+F110+F97+F87+F85+F83+F81+F62+F33</f>
        <v>4274550</v>
      </c>
      <c r="G247" s="66">
        <f t="shared" si="94"/>
        <v>0</v>
      </c>
      <c r="H247" s="66">
        <f t="shared" si="94"/>
        <v>0</v>
      </c>
      <c r="I247" s="66">
        <f t="shared" si="94"/>
        <v>0</v>
      </c>
      <c r="J247" s="66">
        <f t="shared" si="94"/>
        <v>31822031</v>
      </c>
      <c r="K247" s="66">
        <f t="shared" si="94"/>
        <v>18569013</v>
      </c>
    </row>
    <row r="248" spans="1:12" x14ac:dyDescent="0.25">
      <c r="A248" s="300"/>
      <c r="B248" s="301"/>
      <c r="C248" s="33" t="s">
        <v>32</v>
      </c>
      <c r="D248" s="34">
        <f>D165+D145+D122+D98+D63+D34</f>
        <v>540000</v>
      </c>
      <c r="E248" s="34">
        <f>E165+E145+E122+E98+E63+E34</f>
        <v>540000</v>
      </c>
      <c r="F248" s="34">
        <f t="shared" ref="F248:K248" si="95">F165+F145+F122+F98+F63+F34</f>
        <v>0</v>
      </c>
      <c r="G248" s="34">
        <f t="shared" si="95"/>
        <v>0</v>
      </c>
      <c r="H248" s="34">
        <f t="shared" si="95"/>
        <v>0</v>
      </c>
      <c r="I248" s="34">
        <f t="shared" si="95"/>
        <v>0</v>
      </c>
      <c r="J248" s="34">
        <f t="shared" si="95"/>
        <v>540000</v>
      </c>
      <c r="K248" s="34">
        <f t="shared" si="95"/>
        <v>49638</v>
      </c>
    </row>
    <row r="249" spans="1:12" x14ac:dyDescent="0.25">
      <c r="A249" s="300"/>
      <c r="B249" s="301"/>
      <c r="C249" s="35" t="s">
        <v>33</v>
      </c>
      <c r="D249" s="34">
        <f>D184+D166+D146+D123+D99+D64+D35+D207</f>
        <v>1700000</v>
      </c>
      <c r="E249" s="34">
        <f t="shared" ref="E249:K249" si="96">E184+E166+E146+E123+E99+E64+E35+E207</f>
        <v>1886928</v>
      </c>
      <c r="F249" s="34">
        <f t="shared" si="96"/>
        <v>142959</v>
      </c>
      <c r="G249" s="34">
        <f t="shared" si="96"/>
        <v>0</v>
      </c>
      <c r="H249" s="34">
        <f t="shared" si="96"/>
        <v>0</v>
      </c>
      <c r="I249" s="34">
        <f t="shared" si="96"/>
        <v>0</v>
      </c>
      <c r="J249" s="34">
        <f t="shared" si="96"/>
        <v>2029887</v>
      </c>
      <c r="K249" s="34">
        <f t="shared" si="96"/>
        <v>285180</v>
      </c>
    </row>
    <row r="250" spans="1:12" x14ac:dyDescent="0.25">
      <c r="A250" s="300"/>
      <c r="B250" s="301"/>
      <c r="C250" s="33" t="s">
        <v>34</v>
      </c>
      <c r="D250" s="34">
        <f>D167+D147+D124+D100+D65+D36</f>
        <v>1036000</v>
      </c>
      <c r="E250" s="34">
        <f>E167+E147+E124+E100+E65+E36</f>
        <v>988000</v>
      </c>
      <c r="F250" s="34">
        <f t="shared" ref="F250:K250" si="97">F167+F147+F124+F100+F65+F36</f>
        <v>0</v>
      </c>
      <c r="G250" s="34">
        <f t="shared" si="97"/>
        <v>0</v>
      </c>
      <c r="H250" s="34">
        <f t="shared" si="97"/>
        <v>0</v>
      </c>
      <c r="I250" s="34">
        <f t="shared" si="97"/>
        <v>0</v>
      </c>
      <c r="J250" s="34">
        <f t="shared" si="97"/>
        <v>988000</v>
      </c>
      <c r="K250" s="34">
        <f t="shared" si="97"/>
        <v>141986</v>
      </c>
    </row>
    <row r="251" spans="1:12" x14ac:dyDescent="0.25">
      <c r="A251" s="300"/>
      <c r="B251" s="301"/>
      <c r="C251" s="33" t="s">
        <v>35</v>
      </c>
      <c r="D251" s="34">
        <f>D208+D168+D101+D66+D37</f>
        <v>610000</v>
      </c>
      <c r="E251" s="34">
        <f>E208+E168+E101+E66+E37</f>
        <v>617000</v>
      </c>
      <c r="F251" s="34">
        <f t="shared" ref="F251:K251" si="98">F208+F168+F101+F66+F37</f>
        <v>0</v>
      </c>
      <c r="G251" s="34">
        <f t="shared" si="98"/>
        <v>0</v>
      </c>
      <c r="H251" s="34">
        <f t="shared" si="98"/>
        <v>0</v>
      </c>
      <c r="I251" s="34">
        <f t="shared" si="98"/>
        <v>0</v>
      </c>
      <c r="J251" s="34">
        <f t="shared" si="98"/>
        <v>617000</v>
      </c>
      <c r="K251" s="34">
        <f t="shared" si="98"/>
        <v>128913</v>
      </c>
    </row>
    <row r="252" spans="1:12" x14ac:dyDescent="0.25">
      <c r="A252" s="300"/>
      <c r="B252" s="301"/>
      <c r="C252" s="33" t="s">
        <v>36</v>
      </c>
      <c r="D252" s="34">
        <f>D102+D67+D38</f>
        <v>1739080</v>
      </c>
      <c r="E252" s="34">
        <f>E102+E67+E38</f>
        <v>1739080</v>
      </c>
      <c r="F252" s="34">
        <f t="shared" ref="F252:K252" si="99">F102+F67+F38</f>
        <v>0</v>
      </c>
      <c r="G252" s="34">
        <f t="shared" si="99"/>
        <v>0</v>
      </c>
      <c r="H252" s="34">
        <f t="shared" si="99"/>
        <v>0</v>
      </c>
      <c r="I252" s="34">
        <f t="shared" si="99"/>
        <v>0</v>
      </c>
      <c r="J252" s="34">
        <f t="shared" si="99"/>
        <v>1739080</v>
      </c>
      <c r="K252" s="34">
        <f t="shared" si="99"/>
        <v>1102554</v>
      </c>
    </row>
    <row r="253" spans="1:12" x14ac:dyDescent="0.25">
      <c r="A253" s="300"/>
      <c r="B253" s="301"/>
      <c r="C253" s="73" t="s">
        <v>37</v>
      </c>
      <c r="D253" s="61">
        <f>D185+D68+D39</f>
        <v>356000</v>
      </c>
      <c r="E253" s="61">
        <f>E185+E68+E39</f>
        <v>356000</v>
      </c>
      <c r="F253" s="61">
        <f t="shared" ref="F253:J253" si="100">F185+F68+F39</f>
        <v>0</v>
      </c>
      <c r="G253" s="61">
        <f t="shared" si="100"/>
        <v>0</v>
      </c>
      <c r="H253" s="61">
        <f t="shared" si="100"/>
        <v>0</v>
      </c>
      <c r="I253" s="61">
        <f t="shared" si="100"/>
        <v>0</v>
      </c>
      <c r="J253" s="61">
        <f t="shared" si="100"/>
        <v>356000</v>
      </c>
      <c r="K253" s="61">
        <f>K185+K68+K39</f>
        <v>0</v>
      </c>
      <c r="L253" s="74"/>
    </row>
    <row r="254" spans="1:12" x14ac:dyDescent="0.25">
      <c r="A254" s="300"/>
      <c r="B254" s="301"/>
      <c r="C254" s="33" t="s">
        <v>38</v>
      </c>
      <c r="D254" s="34">
        <f>D169+D148+D125+D103+D69+D40+D209</f>
        <v>1394000</v>
      </c>
      <c r="E254" s="34">
        <f>E169+E148+E125+E103+E69+E40+E209</f>
        <v>1394000</v>
      </c>
      <c r="F254" s="34">
        <f t="shared" ref="F254:K254" si="101">F169+F148+F125+F103+F69+F40+F209</f>
        <v>0</v>
      </c>
      <c r="G254" s="34">
        <f t="shared" si="101"/>
        <v>0</v>
      </c>
      <c r="H254" s="34">
        <f t="shared" si="101"/>
        <v>0</v>
      </c>
      <c r="I254" s="34">
        <f t="shared" si="101"/>
        <v>0</v>
      </c>
      <c r="J254" s="34">
        <f t="shared" si="101"/>
        <v>1394000</v>
      </c>
      <c r="K254" s="34">
        <f t="shared" si="101"/>
        <v>285812</v>
      </c>
    </row>
    <row r="255" spans="1:12" x14ac:dyDescent="0.25">
      <c r="A255" s="300"/>
      <c r="B255" s="301"/>
      <c r="C255" s="33" t="s">
        <v>39</v>
      </c>
      <c r="D255" s="34">
        <f>D41</f>
        <v>13200</v>
      </c>
      <c r="E255" s="34">
        <f>E41</f>
        <v>16540</v>
      </c>
      <c r="F255" s="34">
        <f t="shared" ref="F255:K255" si="102">F41</f>
        <v>0</v>
      </c>
      <c r="G255" s="34">
        <f t="shared" si="102"/>
        <v>0</v>
      </c>
      <c r="H255" s="34">
        <f t="shared" si="102"/>
        <v>0</v>
      </c>
      <c r="I255" s="34">
        <f t="shared" si="102"/>
        <v>0</v>
      </c>
      <c r="J255" s="34">
        <f t="shared" si="102"/>
        <v>16540</v>
      </c>
      <c r="K255" s="34">
        <f t="shared" si="102"/>
        <v>16059</v>
      </c>
    </row>
    <row r="256" spans="1:12" x14ac:dyDescent="0.25">
      <c r="A256" s="300"/>
      <c r="B256" s="301"/>
      <c r="C256" s="36" t="s">
        <v>40</v>
      </c>
      <c r="D256" s="34">
        <f t="shared" ref="D256:K256" si="103">D186+D170+D149+D126+D104+D70+D42</f>
        <v>16415104</v>
      </c>
      <c r="E256" s="34">
        <f t="shared" si="103"/>
        <v>16415104</v>
      </c>
      <c r="F256" s="34">
        <f t="shared" si="103"/>
        <v>0</v>
      </c>
      <c r="G256" s="34">
        <f t="shared" si="103"/>
        <v>0</v>
      </c>
      <c r="H256" s="34">
        <f t="shared" si="103"/>
        <v>0</v>
      </c>
      <c r="I256" s="34">
        <f t="shared" si="103"/>
        <v>0</v>
      </c>
      <c r="J256" s="34">
        <f t="shared" si="103"/>
        <v>16415104</v>
      </c>
      <c r="K256" s="34">
        <f t="shared" si="103"/>
        <v>437502</v>
      </c>
    </row>
    <row r="257" spans="1:11" x14ac:dyDescent="0.25">
      <c r="A257" s="300"/>
      <c r="B257" s="301"/>
      <c r="C257" s="33" t="s">
        <v>41</v>
      </c>
      <c r="D257" s="34">
        <f>D187+D171+D150+D127+D105+D71+D43+D210</f>
        <v>26876743</v>
      </c>
      <c r="E257" s="34">
        <f t="shared" ref="E257:K257" si="104">E187+E171+E150+E127+E105+E71+E43+E210</f>
        <v>8171246</v>
      </c>
      <c r="F257" s="34">
        <f t="shared" si="104"/>
        <v>6101839</v>
      </c>
      <c r="G257" s="34">
        <f t="shared" si="104"/>
        <v>0</v>
      </c>
      <c r="H257" s="34">
        <f t="shared" si="104"/>
        <v>0</v>
      </c>
      <c r="I257" s="34">
        <f t="shared" si="104"/>
        <v>0</v>
      </c>
      <c r="J257" s="34">
        <f t="shared" si="104"/>
        <v>14273085</v>
      </c>
      <c r="K257" s="34">
        <f t="shared" si="104"/>
        <v>6504391</v>
      </c>
    </row>
    <row r="258" spans="1:11" x14ac:dyDescent="0.25">
      <c r="A258" s="300"/>
      <c r="B258" s="301"/>
      <c r="C258" s="35" t="s">
        <v>42</v>
      </c>
      <c r="D258" s="34">
        <f>D211+D188+D172+D151+D128+D106+D72+D44</f>
        <v>2852000</v>
      </c>
      <c r="E258" s="34">
        <f>E211+E188+E172+E151+E128+E106+E72+E44</f>
        <v>2839440</v>
      </c>
      <c r="F258" s="34">
        <f t="shared" ref="F258:K258" si="105">F211+F188+F172+F151+F128+F106+F72+F44</f>
        <v>0</v>
      </c>
      <c r="G258" s="34">
        <f t="shared" si="105"/>
        <v>0</v>
      </c>
      <c r="H258" s="34">
        <f t="shared" si="105"/>
        <v>0</v>
      </c>
      <c r="I258" s="34">
        <f t="shared" si="105"/>
        <v>0</v>
      </c>
      <c r="J258" s="34">
        <f t="shared" si="105"/>
        <v>2839440</v>
      </c>
      <c r="K258" s="34">
        <f t="shared" si="105"/>
        <v>1013013</v>
      </c>
    </row>
    <row r="259" spans="1:11" x14ac:dyDescent="0.25">
      <c r="A259" s="300"/>
      <c r="B259" s="301"/>
      <c r="C259" s="35" t="s">
        <v>43</v>
      </c>
      <c r="D259" s="34">
        <f>D45+D73+D189</f>
        <v>290000</v>
      </c>
      <c r="E259" s="34">
        <f>E45+E73+E189</f>
        <v>290000</v>
      </c>
      <c r="F259" s="34">
        <f t="shared" ref="F259:K259" si="106">F45+F73+F189</f>
        <v>0</v>
      </c>
      <c r="G259" s="34">
        <f t="shared" si="106"/>
        <v>0</v>
      </c>
      <c r="H259" s="34">
        <f t="shared" si="106"/>
        <v>0</v>
      </c>
      <c r="I259" s="34">
        <f t="shared" si="106"/>
        <v>0</v>
      </c>
      <c r="J259" s="34">
        <f t="shared" si="106"/>
        <v>290000</v>
      </c>
      <c r="K259" s="34">
        <f t="shared" si="106"/>
        <v>0</v>
      </c>
    </row>
    <row r="260" spans="1:11" x14ac:dyDescent="0.25">
      <c r="A260" s="300"/>
      <c r="B260" s="301"/>
      <c r="C260" s="33" t="s">
        <v>44</v>
      </c>
      <c r="D260" s="34">
        <f>D212+D190+D173+D152+D129+D107+D74+D46</f>
        <v>7754652</v>
      </c>
      <c r="E260" s="34">
        <f>E212+E190+E173+E152+E129+E107+E74+E46</f>
        <v>5335441</v>
      </c>
      <c r="F260" s="34">
        <f t="shared" ref="F260:K260" si="107">F212+F190+F173+F152+F129+F107+F74+F46</f>
        <v>-19348</v>
      </c>
      <c r="G260" s="34">
        <f t="shared" si="107"/>
        <v>0</v>
      </c>
      <c r="H260" s="34">
        <f t="shared" si="107"/>
        <v>0</v>
      </c>
      <c r="I260" s="34">
        <f t="shared" si="107"/>
        <v>0</v>
      </c>
      <c r="J260" s="34">
        <f t="shared" si="107"/>
        <v>5316093</v>
      </c>
      <c r="K260" s="34">
        <f t="shared" si="107"/>
        <v>1906822</v>
      </c>
    </row>
    <row r="261" spans="1:11" x14ac:dyDescent="0.25">
      <c r="A261" s="300"/>
      <c r="B261" s="301"/>
      <c r="C261" s="37" t="s">
        <v>45</v>
      </c>
      <c r="D261" s="34">
        <f>D213+D191+D75+D47</f>
        <v>743011</v>
      </c>
      <c r="E261" s="34">
        <f>E213+E191+E75+E47</f>
        <v>743011</v>
      </c>
      <c r="F261" s="34">
        <f t="shared" ref="F261:K261" si="108">F213+F191+F75+F47</f>
        <v>0</v>
      </c>
      <c r="G261" s="34">
        <f t="shared" si="108"/>
        <v>0</v>
      </c>
      <c r="H261" s="34">
        <f t="shared" si="108"/>
        <v>0</v>
      </c>
      <c r="I261" s="34">
        <f t="shared" si="108"/>
        <v>0</v>
      </c>
      <c r="J261" s="34">
        <f t="shared" si="108"/>
        <v>743011</v>
      </c>
      <c r="K261" s="34">
        <f t="shared" si="108"/>
        <v>259112</v>
      </c>
    </row>
    <row r="262" spans="1:11" x14ac:dyDescent="0.25">
      <c r="A262" s="300"/>
      <c r="B262" s="301"/>
      <c r="C262" s="65" t="s">
        <v>49</v>
      </c>
      <c r="D262" s="66">
        <f>D214+D192+D174+D153+D130+D108+D76+D48</f>
        <v>62319790</v>
      </c>
      <c r="E262" s="66">
        <f>E214+E192+E174+E153+E130+E108+E76+E48</f>
        <v>41331790</v>
      </c>
      <c r="F262" s="66">
        <f t="shared" ref="F262:K262" si="109">F214+F192+F174+F153+F130+F108+F76+F48</f>
        <v>6225450</v>
      </c>
      <c r="G262" s="66">
        <f t="shared" si="109"/>
        <v>0</v>
      </c>
      <c r="H262" s="66">
        <f t="shared" si="109"/>
        <v>0</v>
      </c>
      <c r="I262" s="66">
        <f t="shared" si="109"/>
        <v>0</v>
      </c>
      <c r="J262" s="66">
        <f t="shared" si="109"/>
        <v>47557240</v>
      </c>
      <c r="K262" s="66">
        <f t="shared" si="109"/>
        <v>12130982</v>
      </c>
    </row>
    <row r="263" spans="1:11" x14ac:dyDescent="0.25">
      <c r="A263" s="300"/>
      <c r="B263" s="301"/>
      <c r="C263" s="65" t="s">
        <v>100</v>
      </c>
      <c r="D263" s="66">
        <f>D197</f>
        <v>0</v>
      </c>
      <c r="E263" s="66">
        <f t="shared" ref="E263:K263" si="110">E197</f>
        <v>10500000</v>
      </c>
      <c r="F263" s="66">
        <f t="shared" si="110"/>
        <v>0</v>
      </c>
      <c r="G263" s="66">
        <f t="shared" si="110"/>
        <v>0</v>
      </c>
      <c r="H263" s="66">
        <f t="shared" si="110"/>
        <v>0</v>
      </c>
      <c r="I263" s="66">
        <f t="shared" si="110"/>
        <v>0</v>
      </c>
      <c r="J263" s="66">
        <f t="shared" si="110"/>
        <v>10500000</v>
      </c>
      <c r="K263" s="66">
        <f t="shared" si="110"/>
        <v>10500000</v>
      </c>
    </row>
    <row r="264" spans="1:11" x14ac:dyDescent="0.25">
      <c r="A264" s="300"/>
      <c r="B264" s="301"/>
      <c r="C264" s="38" t="s">
        <v>50</v>
      </c>
      <c r="D264" s="34">
        <f t="shared" ref="D264:K266" si="111">D194+D77+D49</f>
        <v>161220</v>
      </c>
      <c r="E264" s="34">
        <f t="shared" si="111"/>
        <v>161220</v>
      </c>
      <c r="F264" s="34">
        <f t="shared" si="111"/>
        <v>0</v>
      </c>
      <c r="G264" s="34">
        <f t="shared" si="111"/>
        <v>0</v>
      </c>
      <c r="H264" s="34">
        <f t="shared" si="111"/>
        <v>0</v>
      </c>
      <c r="I264" s="34">
        <f t="shared" si="111"/>
        <v>0</v>
      </c>
      <c r="J264" s="34">
        <f t="shared" si="111"/>
        <v>161220</v>
      </c>
      <c r="K264" s="34">
        <f t="shared" si="111"/>
        <v>0</v>
      </c>
    </row>
    <row r="265" spans="1:11" x14ac:dyDescent="0.25">
      <c r="A265" s="300"/>
      <c r="B265" s="301"/>
      <c r="C265" s="37" t="s">
        <v>51</v>
      </c>
      <c r="D265" s="34">
        <f t="shared" si="111"/>
        <v>43530</v>
      </c>
      <c r="E265" s="34">
        <f t="shared" si="111"/>
        <v>43530</v>
      </c>
      <c r="F265" s="34">
        <f t="shared" si="111"/>
        <v>0</v>
      </c>
      <c r="G265" s="34">
        <f t="shared" si="111"/>
        <v>0</v>
      </c>
      <c r="H265" s="34">
        <f t="shared" si="111"/>
        <v>0</v>
      </c>
      <c r="I265" s="34">
        <f t="shared" si="111"/>
        <v>0</v>
      </c>
      <c r="J265" s="34">
        <f t="shared" si="111"/>
        <v>43530</v>
      </c>
      <c r="K265" s="34">
        <f t="shared" si="111"/>
        <v>0</v>
      </c>
    </row>
    <row r="266" spans="1:11" x14ac:dyDescent="0.25">
      <c r="A266" s="300"/>
      <c r="B266" s="301"/>
      <c r="C266" s="65" t="s">
        <v>52</v>
      </c>
      <c r="D266" s="68">
        <f t="shared" si="111"/>
        <v>204750</v>
      </c>
      <c r="E266" s="68">
        <f t="shared" si="111"/>
        <v>204750</v>
      </c>
      <c r="F266" s="68">
        <f t="shared" si="111"/>
        <v>0</v>
      </c>
      <c r="G266" s="68">
        <f t="shared" si="111"/>
        <v>0</v>
      </c>
      <c r="H266" s="68">
        <f t="shared" si="111"/>
        <v>0</v>
      </c>
      <c r="I266" s="68">
        <f t="shared" si="111"/>
        <v>0</v>
      </c>
      <c r="J266" s="68">
        <f t="shared" si="111"/>
        <v>204750</v>
      </c>
      <c r="K266" s="66">
        <f t="shared" si="111"/>
        <v>0</v>
      </c>
    </row>
    <row r="267" spans="1:11" x14ac:dyDescent="0.25">
      <c r="A267" s="302"/>
      <c r="B267" s="303"/>
      <c r="C267" s="69" t="s">
        <v>88</v>
      </c>
      <c r="D267" s="70">
        <f>D218</f>
        <v>230443641</v>
      </c>
      <c r="E267" s="70">
        <f>E218</f>
        <v>230521849</v>
      </c>
      <c r="F267" s="70">
        <f t="shared" ref="F267:K267" si="112">F218</f>
        <v>0</v>
      </c>
      <c r="G267" s="70">
        <f t="shared" si="112"/>
        <v>0</v>
      </c>
      <c r="H267" s="70">
        <f t="shared" si="112"/>
        <v>0</v>
      </c>
      <c r="I267" s="70">
        <f t="shared" si="112"/>
        <v>0</v>
      </c>
      <c r="J267" s="70">
        <f t="shared" si="112"/>
        <v>230521849</v>
      </c>
      <c r="K267" s="70">
        <f t="shared" si="112"/>
        <v>117755531</v>
      </c>
    </row>
    <row r="268" spans="1:11" x14ac:dyDescent="0.25">
      <c r="B268" s="5"/>
      <c r="E268" s="4"/>
      <c r="F268" s="4"/>
      <c r="G268" s="4"/>
      <c r="H268" s="4"/>
      <c r="I268" s="4"/>
      <c r="J268" s="4"/>
      <c r="K268" s="111"/>
    </row>
    <row r="269" spans="1:11" x14ac:dyDescent="0.25">
      <c r="B269" s="5"/>
      <c r="E269" s="4"/>
      <c r="F269" s="4"/>
      <c r="G269" s="4"/>
      <c r="H269" s="4"/>
      <c r="I269" s="4"/>
      <c r="J269" s="4"/>
      <c r="K269" s="111"/>
    </row>
  </sheetData>
  <mergeCells count="74">
    <mergeCell ref="A1:L1"/>
    <mergeCell ref="A3:A4"/>
    <mergeCell ref="B3:B4"/>
    <mergeCell ref="C3:C4"/>
    <mergeCell ref="D3:D4"/>
    <mergeCell ref="E3:E4"/>
    <mergeCell ref="F3:I3"/>
    <mergeCell ref="J3:J4"/>
    <mergeCell ref="K3:K4"/>
    <mergeCell ref="L3:L4"/>
    <mergeCell ref="A5:A13"/>
    <mergeCell ref="B5:B7"/>
    <mergeCell ref="B8:B11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C24"/>
    <mergeCell ref="A25:A79"/>
    <mergeCell ref="B25:B51"/>
    <mergeCell ref="B52:B79"/>
    <mergeCell ref="A80:A81"/>
    <mergeCell ref="B80:B81"/>
    <mergeCell ref="A82:A83"/>
    <mergeCell ref="B82:B83"/>
    <mergeCell ref="A84:A85"/>
    <mergeCell ref="B84:B85"/>
    <mergeCell ref="A131:A132"/>
    <mergeCell ref="B131:B132"/>
    <mergeCell ref="A86:A87"/>
    <mergeCell ref="B86:B87"/>
    <mergeCell ref="A88:C88"/>
    <mergeCell ref="A89:A108"/>
    <mergeCell ref="B89:B108"/>
    <mergeCell ref="A109:A110"/>
    <mergeCell ref="B109:B110"/>
    <mergeCell ref="A111:A112"/>
    <mergeCell ref="B111:B112"/>
    <mergeCell ref="A113:C113"/>
    <mergeCell ref="A114:A130"/>
    <mergeCell ref="B114:B130"/>
    <mergeCell ref="A177:A178"/>
    <mergeCell ref="B177:B178"/>
    <mergeCell ref="A133:A134"/>
    <mergeCell ref="B133:B134"/>
    <mergeCell ref="A135:C135"/>
    <mergeCell ref="A136:A153"/>
    <mergeCell ref="B136:B153"/>
    <mergeCell ref="A154:A155"/>
    <mergeCell ref="B154:B155"/>
    <mergeCell ref="A156:C156"/>
    <mergeCell ref="A157:A174"/>
    <mergeCell ref="B157:B174"/>
    <mergeCell ref="A175:A176"/>
    <mergeCell ref="B175:B176"/>
    <mergeCell ref="A226:B267"/>
    <mergeCell ref="A179:C179"/>
    <mergeCell ref="A180:A197"/>
    <mergeCell ref="B180:B197"/>
    <mergeCell ref="A198:C198"/>
    <mergeCell ref="A199:A214"/>
    <mergeCell ref="B199:B214"/>
    <mergeCell ref="A215:A216"/>
    <mergeCell ref="B215:B216"/>
    <mergeCell ref="A217:C217"/>
    <mergeCell ref="A218:C218"/>
    <mergeCell ref="A225:K225"/>
  </mergeCells>
  <pageMargins left="0.7" right="0.7" top="0.75" bottom="0.75" header="0.3" footer="0.3"/>
  <pageSetup paperSize="9" scale="50" orientation="portrait" r:id="rId1"/>
  <rowBreaks count="2" manualBreakCount="2">
    <brk id="88" max="16383" man="1"/>
    <brk id="17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69"/>
  <sheetViews>
    <sheetView workbookViewId="0">
      <pane xSplit="2" ySplit="4" topLeftCell="C5" activePane="bottomRight" state="frozen"/>
      <selection activeCell="D8" sqref="D8"/>
      <selection pane="topRight" activeCell="D8" sqref="D8"/>
      <selection pane="bottomLeft" activeCell="D8" sqref="D8"/>
      <selection pane="bottomRight" activeCell="D8" sqref="D8"/>
    </sheetView>
  </sheetViews>
  <sheetFormatPr defaultRowHeight="15" x14ac:dyDescent="0.25"/>
  <cols>
    <col min="1" max="1" width="42.7109375" customWidth="1"/>
    <col min="3" max="3" width="7.7109375" customWidth="1"/>
    <col min="4" max="5" width="13.7109375" customWidth="1"/>
    <col min="6" max="6" width="10.28515625" customWidth="1"/>
    <col min="7" max="7" width="11.7109375" customWidth="1"/>
    <col min="8" max="9" width="10.28515625" bestFit="1" customWidth="1"/>
    <col min="10" max="10" width="13.85546875" bestFit="1" customWidth="1"/>
    <col min="11" max="11" width="16.42578125" style="122" customWidth="1"/>
    <col min="12" max="12" width="13.85546875" customWidth="1"/>
  </cols>
  <sheetData>
    <row r="1" spans="1:12" ht="21" x14ac:dyDescent="0.25">
      <c r="A1" s="360" t="s">
        <v>0</v>
      </c>
      <c r="B1" s="360"/>
      <c r="C1" s="360"/>
      <c r="D1" s="360"/>
      <c r="E1" s="360"/>
      <c r="F1" s="360"/>
      <c r="G1" s="360"/>
      <c r="H1" s="360"/>
      <c r="I1" s="360"/>
      <c r="J1" s="360"/>
      <c r="K1" s="360"/>
      <c r="L1" s="360"/>
    </row>
    <row r="2" spans="1:12" x14ac:dyDescent="0.25">
      <c r="B2" s="5"/>
      <c r="E2" s="4"/>
      <c r="F2" s="4"/>
      <c r="G2" s="4"/>
      <c r="H2" s="4"/>
      <c r="I2" s="4"/>
      <c r="J2" s="4"/>
      <c r="K2" s="111"/>
    </row>
    <row r="3" spans="1:12" ht="15" customHeight="1" x14ac:dyDescent="0.25">
      <c r="A3" s="342" t="s">
        <v>104</v>
      </c>
      <c r="B3" s="344" t="s">
        <v>105</v>
      </c>
      <c r="C3" s="342" t="s">
        <v>3</v>
      </c>
      <c r="D3" s="342" t="s">
        <v>4</v>
      </c>
      <c r="E3" s="346" t="s">
        <v>111</v>
      </c>
      <c r="F3" s="348" t="s">
        <v>114</v>
      </c>
      <c r="G3" s="349"/>
      <c r="H3" s="349"/>
      <c r="I3" s="350"/>
      <c r="J3" s="346" t="s">
        <v>115</v>
      </c>
      <c r="K3" s="351" t="s">
        <v>116</v>
      </c>
      <c r="L3" s="352" t="s">
        <v>117</v>
      </c>
    </row>
    <row r="4" spans="1:12" ht="25.5" x14ac:dyDescent="0.25">
      <c r="A4" s="343"/>
      <c r="B4" s="345"/>
      <c r="C4" s="343"/>
      <c r="D4" s="343"/>
      <c r="E4" s="347"/>
      <c r="F4" s="124" t="s">
        <v>70</v>
      </c>
      <c r="G4" s="125" t="s">
        <v>71</v>
      </c>
      <c r="H4" s="125" t="s">
        <v>71</v>
      </c>
      <c r="I4" s="125" t="s">
        <v>71</v>
      </c>
      <c r="J4" s="347"/>
      <c r="K4" s="351"/>
      <c r="L4" s="352"/>
    </row>
    <row r="5" spans="1:12" x14ac:dyDescent="0.25">
      <c r="A5" s="255" t="s">
        <v>6</v>
      </c>
      <c r="B5" s="268" t="s">
        <v>21</v>
      </c>
      <c r="C5" s="2" t="s">
        <v>16</v>
      </c>
      <c r="D5" s="3">
        <v>54810810</v>
      </c>
      <c r="E5" s="3">
        <v>54848819</v>
      </c>
      <c r="F5" s="3"/>
      <c r="G5" s="3"/>
      <c r="H5" s="3"/>
      <c r="I5" s="3"/>
      <c r="J5" s="20">
        <f>E5+F5+G5+H5+I5</f>
        <v>54848819</v>
      </c>
      <c r="K5" s="112">
        <v>32060981</v>
      </c>
      <c r="L5" s="3">
        <f>J5-K5</f>
        <v>22787838</v>
      </c>
    </row>
    <row r="6" spans="1:12" x14ac:dyDescent="0.25">
      <c r="A6" s="256"/>
      <c r="B6" s="268"/>
      <c r="C6" s="2" t="s">
        <v>17</v>
      </c>
      <c r="D6" s="3">
        <v>7273070</v>
      </c>
      <c r="E6" s="3">
        <v>7273070</v>
      </c>
      <c r="F6" s="3"/>
      <c r="G6" s="3"/>
      <c r="H6" s="3"/>
      <c r="I6" s="3"/>
      <c r="J6" s="20">
        <f t="shared" ref="J6:J23" si="0">E6+F6+G6+H6+I6</f>
        <v>7273070</v>
      </c>
      <c r="K6" s="112">
        <v>7273070</v>
      </c>
      <c r="L6" s="3">
        <f t="shared" ref="L6:L23" si="1">J6-K6</f>
        <v>0</v>
      </c>
    </row>
    <row r="7" spans="1:12" x14ac:dyDescent="0.25">
      <c r="A7" s="256"/>
      <c r="B7" s="268"/>
      <c r="C7" s="2" t="s">
        <v>18</v>
      </c>
      <c r="D7" s="3">
        <v>96985672</v>
      </c>
      <c r="E7" s="3">
        <v>96985672</v>
      </c>
      <c r="F7" s="3"/>
      <c r="G7" s="3"/>
      <c r="H7" s="3"/>
      <c r="I7" s="3"/>
      <c r="J7" s="20">
        <f t="shared" si="0"/>
        <v>96985672</v>
      </c>
      <c r="K7" s="112">
        <v>61177949</v>
      </c>
      <c r="L7" s="3">
        <f t="shared" si="1"/>
        <v>35807723</v>
      </c>
    </row>
    <row r="8" spans="1:12" x14ac:dyDescent="0.25">
      <c r="A8" s="256"/>
      <c r="B8" s="252">
        <v>104042</v>
      </c>
      <c r="C8" s="2" t="s">
        <v>22</v>
      </c>
      <c r="D8" s="3">
        <v>200000</v>
      </c>
      <c r="E8" s="3">
        <v>200000</v>
      </c>
      <c r="F8" s="3"/>
      <c r="G8" s="3"/>
      <c r="H8" s="3"/>
      <c r="I8" s="3"/>
      <c r="J8" s="20">
        <f t="shared" si="0"/>
        <v>200000</v>
      </c>
      <c r="K8" s="112">
        <v>0</v>
      </c>
      <c r="L8" s="3">
        <f t="shared" si="1"/>
        <v>200000</v>
      </c>
    </row>
    <row r="9" spans="1:12" x14ac:dyDescent="0.25">
      <c r="A9" s="256"/>
      <c r="B9" s="253"/>
      <c r="C9" s="2" t="s">
        <v>19</v>
      </c>
      <c r="D9" s="3">
        <v>13200</v>
      </c>
      <c r="E9" s="3">
        <v>16540</v>
      </c>
      <c r="F9" s="3">
        <f>5386</f>
        <v>5386</v>
      </c>
      <c r="G9" s="3"/>
      <c r="H9" s="3"/>
      <c r="I9" s="3"/>
      <c r="J9" s="20">
        <f t="shared" si="0"/>
        <v>21926</v>
      </c>
      <c r="K9" s="112">
        <v>21926</v>
      </c>
      <c r="L9" s="60">
        <f t="shared" si="1"/>
        <v>0</v>
      </c>
    </row>
    <row r="10" spans="1:12" x14ac:dyDescent="0.25">
      <c r="A10" s="256"/>
      <c r="B10" s="253"/>
      <c r="C10" s="2" t="s">
        <v>20</v>
      </c>
      <c r="D10" s="3">
        <v>500</v>
      </c>
      <c r="E10" s="3">
        <v>211</v>
      </c>
      <c r="F10" s="3">
        <v>-59</v>
      </c>
      <c r="G10" s="3"/>
      <c r="H10" s="3"/>
      <c r="I10" s="3"/>
      <c r="J10" s="20">
        <f t="shared" si="0"/>
        <v>152</v>
      </c>
      <c r="K10" s="112">
        <v>152</v>
      </c>
      <c r="L10" s="3">
        <f t="shared" si="1"/>
        <v>0</v>
      </c>
    </row>
    <row r="11" spans="1:12" x14ac:dyDescent="0.25">
      <c r="A11" s="256"/>
      <c r="B11" s="254"/>
      <c r="C11" s="2" t="s">
        <v>84</v>
      </c>
      <c r="D11" s="3">
        <v>0</v>
      </c>
      <c r="E11" s="3">
        <v>9238</v>
      </c>
      <c r="F11" s="3">
        <f>96-5386</f>
        <v>-5290</v>
      </c>
      <c r="G11" s="3"/>
      <c r="H11" s="3"/>
      <c r="I11" s="3"/>
      <c r="J11" s="20">
        <f t="shared" si="0"/>
        <v>3948</v>
      </c>
      <c r="K11" s="112">
        <v>3834</v>
      </c>
      <c r="L11" s="3">
        <f t="shared" si="1"/>
        <v>114</v>
      </c>
    </row>
    <row r="12" spans="1:12" x14ac:dyDescent="0.25">
      <c r="A12" s="256"/>
      <c r="B12" s="252">
        <v>104043</v>
      </c>
      <c r="C12" s="2" t="s">
        <v>20</v>
      </c>
      <c r="D12" s="3">
        <v>500</v>
      </c>
      <c r="E12" s="3">
        <v>210</v>
      </c>
      <c r="F12" s="3">
        <v>-37</v>
      </c>
      <c r="G12" s="3"/>
      <c r="H12" s="3"/>
      <c r="I12" s="3"/>
      <c r="J12" s="20">
        <f t="shared" si="0"/>
        <v>173</v>
      </c>
      <c r="K12" s="112">
        <v>152</v>
      </c>
      <c r="L12" s="3">
        <f t="shared" si="1"/>
        <v>21</v>
      </c>
    </row>
    <row r="13" spans="1:12" x14ac:dyDescent="0.25">
      <c r="A13" s="257"/>
      <c r="B13" s="254"/>
      <c r="C13" s="2" t="s">
        <v>84</v>
      </c>
      <c r="D13" s="3">
        <v>0</v>
      </c>
      <c r="E13" s="3">
        <v>1</v>
      </c>
      <c r="F13" s="3"/>
      <c r="G13" s="3"/>
      <c r="H13" s="3"/>
      <c r="I13" s="3"/>
      <c r="J13" s="20">
        <f t="shared" si="0"/>
        <v>1</v>
      </c>
      <c r="K13" s="112">
        <v>1</v>
      </c>
      <c r="L13" s="3">
        <f t="shared" si="1"/>
        <v>0</v>
      </c>
    </row>
    <row r="14" spans="1:12" x14ac:dyDescent="0.25">
      <c r="A14" s="258" t="s">
        <v>7</v>
      </c>
      <c r="B14" s="268" t="s">
        <v>21</v>
      </c>
      <c r="C14" s="2" t="s">
        <v>16</v>
      </c>
      <c r="D14" s="3">
        <v>245982</v>
      </c>
      <c r="E14" s="3">
        <v>245982</v>
      </c>
      <c r="F14" s="3"/>
      <c r="G14" s="3"/>
      <c r="H14" s="3"/>
      <c r="I14" s="3"/>
      <c r="J14" s="20">
        <f t="shared" si="0"/>
        <v>245982</v>
      </c>
      <c r="K14" s="112">
        <v>122992</v>
      </c>
      <c r="L14" s="3">
        <f t="shared" si="1"/>
        <v>122990</v>
      </c>
    </row>
    <row r="15" spans="1:12" x14ac:dyDescent="0.25">
      <c r="A15" s="258"/>
      <c r="B15" s="268"/>
      <c r="C15" s="2" t="s">
        <v>17</v>
      </c>
      <c r="D15" s="3">
        <v>1005557</v>
      </c>
      <c r="E15" s="3">
        <v>1005557</v>
      </c>
      <c r="F15" s="3"/>
      <c r="G15" s="3"/>
      <c r="H15" s="3"/>
      <c r="I15" s="3"/>
      <c r="J15" s="20">
        <f t="shared" si="0"/>
        <v>1005557</v>
      </c>
      <c r="K15" s="112">
        <v>1005557</v>
      </c>
      <c r="L15" s="3">
        <f t="shared" si="1"/>
        <v>0</v>
      </c>
    </row>
    <row r="16" spans="1:12" x14ac:dyDescent="0.25">
      <c r="A16" s="258" t="s">
        <v>8</v>
      </c>
      <c r="B16" s="268" t="s">
        <v>21</v>
      </c>
      <c r="C16" s="2" t="s">
        <v>16</v>
      </c>
      <c r="D16" s="3">
        <v>3086953</v>
      </c>
      <c r="E16" s="3">
        <v>3103704</v>
      </c>
      <c r="F16" s="3"/>
      <c r="G16" s="3"/>
      <c r="H16" s="3"/>
      <c r="I16" s="3"/>
      <c r="J16" s="20">
        <f t="shared" si="0"/>
        <v>3103704</v>
      </c>
      <c r="K16" s="112">
        <v>1560228</v>
      </c>
      <c r="L16" s="3">
        <f t="shared" si="1"/>
        <v>1543476</v>
      </c>
    </row>
    <row r="17" spans="1:12" x14ac:dyDescent="0.25">
      <c r="A17" s="258"/>
      <c r="B17" s="268"/>
      <c r="C17" s="2" t="s">
        <v>17</v>
      </c>
      <c r="D17" s="3">
        <v>440959</v>
      </c>
      <c r="E17" s="3">
        <v>440959</v>
      </c>
      <c r="F17" s="3"/>
      <c r="G17" s="3"/>
      <c r="H17" s="3"/>
      <c r="I17" s="3"/>
      <c r="J17" s="20">
        <f t="shared" si="0"/>
        <v>440959</v>
      </c>
      <c r="K17" s="112">
        <v>440959</v>
      </c>
      <c r="L17" s="3">
        <f t="shared" si="1"/>
        <v>0</v>
      </c>
    </row>
    <row r="18" spans="1:12" x14ac:dyDescent="0.25">
      <c r="A18" s="258" t="s">
        <v>9</v>
      </c>
      <c r="B18" s="268" t="s">
        <v>21</v>
      </c>
      <c r="C18" s="2" t="s">
        <v>16</v>
      </c>
      <c r="D18" s="3">
        <v>1403439</v>
      </c>
      <c r="E18" s="3">
        <v>1414887</v>
      </c>
      <c r="F18" s="3"/>
      <c r="G18" s="3"/>
      <c r="H18" s="3"/>
      <c r="I18" s="3"/>
      <c r="J18" s="20">
        <f t="shared" si="0"/>
        <v>1414887</v>
      </c>
      <c r="K18" s="112">
        <v>780469</v>
      </c>
      <c r="L18" s="3">
        <f t="shared" si="1"/>
        <v>634418</v>
      </c>
    </row>
    <row r="19" spans="1:12" x14ac:dyDescent="0.25">
      <c r="A19" s="258"/>
      <c r="B19" s="268"/>
      <c r="C19" s="2" t="s">
        <v>17</v>
      </c>
      <c r="D19" s="3">
        <v>599759</v>
      </c>
      <c r="E19" s="3">
        <v>599759</v>
      </c>
      <c r="F19" s="3"/>
      <c r="G19" s="3"/>
      <c r="H19" s="3"/>
      <c r="I19" s="3"/>
      <c r="J19" s="20">
        <f t="shared" si="0"/>
        <v>599759</v>
      </c>
      <c r="K19" s="112">
        <v>599759</v>
      </c>
      <c r="L19" s="3">
        <f t="shared" si="1"/>
        <v>0</v>
      </c>
    </row>
    <row r="20" spans="1:12" x14ac:dyDescent="0.25">
      <c r="A20" s="255" t="s">
        <v>54</v>
      </c>
      <c r="B20" s="252" t="s">
        <v>21</v>
      </c>
      <c r="C20" s="2" t="s">
        <v>16</v>
      </c>
      <c r="D20" s="3">
        <v>4056383</v>
      </c>
      <c r="E20" s="3">
        <v>4056383</v>
      </c>
      <c r="F20" s="3"/>
      <c r="G20" s="3"/>
      <c r="H20" s="3"/>
      <c r="I20" s="3"/>
      <c r="J20" s="20">
        <f t="shared" si="0"/>
        <v>4056383</v>
      </c>
      <c r="K20" s="112">
        <v>2028192</v>
      </c>
      <c r="L20" s="3">
        <f t="shared" si="1"/>
        <v>2028191</v>
      </c>
    </row>
    <row r="21" spans="1:12" x14ac:dyDescent="0.25">
      <c r="A21" s="257"/>
      <c r="B21" s="254"/>
      <c r="C21" s="2" t="s">
        <v>17</v>
      </c>
      <c r="D21" s="3">
        <v>226299</v>
      </c>
      <c r="E21" s="3">
        <v>226299</v>
      </c>
      <c r="F21" s="3"/>
      <c r="G21" s="3"/>
      <c r="H21" s="3"/>
      <c r="I21" s="3"/>
      <c r="J21" s="20">
        <f t="shared" si="0"/>
        <v>226299</v>
      </c>
      <c r="K21" s="112">
        <v>226299</v>
      </c>
      <c r="L21" s="3">
        <f t="shared" si="1"/>
        <v>0</v>
      </c>
    </row>
    <row r="22" spans="1:12" x14ac:dyDescent="0.25">
      <c r="A22" s="258" t="s">
        <v>10</v>
      </c>
      <c r="B22" s="268" t="s">
        <v>21</v>
      </c>
      <c r="C22" s="2" t="s">
        <v>16</v>
      </c>
      <c r="D22" s="3">
        <v>53627392</v>
      </c>
      <c r="E22" s="3">
        <v>53627392</v>
      </c>
      <c r="F22" s="3"/>
      <c r="G22" s="3"/>
      <c r="H22" s="3"/>
      <c r="I22" s="3"/>
      <c r="J22" s="20">
        <f t="shared" si="0"/>
        <v>53627392</v>
      </c>
      <c r="K22" s="112">
        <v>20202943</v>
      </c>
      <c r="L22" s="3">
        <f t="shared" si="1"/>
        <v>33424449</v>
      </c>
    </row>
    <row r="23" spans="1:12" x14ac:dyDescent="0.25">
      <c r="A23" s="258"/>
      <c r="B23" s="268"/>
      <c r="C23" s="2" t="s">
        <v>17</v>
      </c>
      <c r="D23" s="3">
        <v>6467166</v>
      </c>
      <c r="E23" s="3">
        <v>6467166</v>
      </c>
      <c r="F23" s="3"/>
      <c r="G23" s="3"/>
      <c r="H23" s="3"/>
      <c r="I23" s="3"/>
      <c r="J23" s="20">
        <f t="shared" si="0"/>
        <v>6467166</v>
      </c>
      <c r="K23" s="112">
        <v>6467166</v>
      </c>
      <c r="L23" s="3">
        <f t="shared" si="1"/>
        <v>0</v>
      </c>
    </row>
    <row r="24" spans="1:12" ht="30" customHeight="1" x14ac:dyDescent="0.25">
      <c r="A24" s="353" t="s">
        <v>73</v>
      </c>
      <c r="B24" s="354"/>
      <c r="C24" s="355"/>
      <c r="D24" s="126">
        <f t="shared" ref="D24:L24" si="2">SUM(D5:D23)</f>
        <v>230443641</v>
      </c>
      <c r="E24" s="126">
        <f t="shared" si="2"/>
        <v>230521849</v>
      </c>
      <c r="F24" s="126">
        <f t="shared" si="2"/>
        <v>0</v>
      </c>
      <c r="G24" s="126">
        <f t="shared" si="2"/>
        <v>0</v>
      </c>
      <c r="H24" s="126">
        <f t="shared" si="2"/>
        <v>0</v>
      </c>
      <c r="I24" s="126">
        <f t="shared" si="2"/>
        <v>0</v>
      </c>
      <c r="J24" s="126">
        <f t="shared" si="2"/>
        <v>230521849</v>
      </c>
      <c r="K24" s="127">
        <f t="shared" si="2"/>
        <v>133972629</v>
      </c>
      <c r="L24" s="126">
        <f t="shared" si="2"/>
        <v>96549220</v>
      </c>
    </row>
    <row r="25" spans="1:12" x14ac:dyDescent="0.25">
      <c r="A25" s="258" t="s">
        <v>11</v>
      </c>
      <c r="B25" s="252" t="s">
        <v>23</v>
      </c>
      <c r="C25" s="2" t="s">
        <v>24</v>
      </c>
      <c r="D25" s="3">
        <v>35883092</v>
      </c>
      <c r="E25" s="3">
        <v>35569400</v>
      </c>
      <c r="F25" s="3">
        <v>-30420</v>
      </c>
      <c r="G25" s="3"/>
      <c r="H25" s="3"/>
      <c r="I25" s="3"/>
      <c r="J25" s="20">
        <f t="shared" ref="J25:J31" si="3">E25+F25+G25+H25+I25</f>
        <v>35538980</v>
      </c>
      <c r="K25" s="112">
        <v>21352561</v>
      </c>
      <c r="L25" s="3">
        <f t="shared" ref="L25:L31" si="4">J25-K25</f>
        <v>14186419</v>
      </c>
    </row>
    <row r="26" spans="1:12" x14ac:dyDescent="0.25">
      <c r="A26" s="258"/>
      <c r="B26" s="253"/>
      <c r="C26" s="2" t="s">
        <v>25</v>
      </c>
      <c r="D26" s="3">
        <v>1542000</v>
      </c>
      <c r="E26" s="3">
        <v>1542000</v>
      </c>
      <c r="F26" s="3"/>
      <c r="G26" s="3"/>
      <c r="H26" s="3"/>
      <c r="I26" s="3"/>
      <c r="J26" s="20">
        <f t="shared" si="3"/>
        <v>1542000</v>
      </c>
      <c r="K26" s="112">
        <v>725000</v>
      </c>
      <c r="L26" s="3">
        <f t="shared" si="4"/>
        <v>817000</v>
      </c>
    </row>
    <row r="27" spans="1:12" x14ac:dyDescent="0.25">
      <c r="A27" s="258"/>
      <c r="B27" s="253"/>
      <c r="C27" s="2" t="s">
        <v>26</v>
      </c>
      <c r="D27" s="3">
        <v>80000</v>
      </c>
      <c r="E27" s="3">
        <v>80000</v>
      </c>
      <c r="F27" s="3"/>
      <c r="G27" s="3"/>
      <c r="H27" s="3"/>
      <c r="I27" s="3"/>
      <c r="J27" s="20">
        <f t="shared" si="3"/>
        <v>80000</v>
      </c>
      <c r="K27" s="112">
        <v>0</v>
      </c>
      <c r="L27" s="3">
        <f t="shared" si="4"/>
        <v>80000</v>
      </c>
    </row>
    <row r="28" spans="1:12" x14ac:dyDescent="0.25">
      <c r="A28" s="258"/>
      <c r="B28" s="253"/>
      <c r="C28" s="2" t="s">
        <v>27</v>
      </c>
      <c r="D28" s="3">
        <v>893400</v>
      </c>
      <c r="E28" s="3">
        <v>887586</v>
      </c>
      <c r="F28" s="3"/>
      <c r="G28" s="3"/>
      <c r="H28" s="3"/>
      <c r="I28" s="3"/>
      <c r="J28" s="20">
        <f t="shared" si="3"/>
        <v>887586</v>
      </c>
      <c r="K28" s="112">
        <v>457178</v>
      </c>
      <c r="L28" s="3">
        <f t="shared" si="4"/>
        <v>430408</v>
      </c>
    </row>
    <row r="29" spans="1:12" x14ac:dyDescent="0.25">
      <c r="A29" s="258"/>
      <c r="B29" s="253"/>
      <c r="C29" s="2" t="s">
        <v>28</v>
      </c>
      <c r="D29" s="3">
        <v>190000</v>
      </c>
      <c r="E29" s="3">
        <v>190000</v>
      </c>
      <c r="F29" s="3"/>
      <c r="G29" s="3"/>
      <c r="H29" s="3"/>
      <c r="I29" s="3"/>
      <c r="J29" s="20">
        <f t="shared" si="3"/>
        <v>190000</v>
      </c>
      <c r="K29" s="112">
        <v>93000</v>
      </c>
      <c r="L29" s="3">
        <f t="shared" si="4"/>
        <v>97000</v>
      </c>
    </row>
    <row r="30" spans="1:12" x14ac:dyDescent="0.25">
      <c r="A30" s="258"/>
      <c r="B30" s="253"/>
      <c r="C30" s="2" t="s">
        <v>29</v>
      </c>
      <c r="D30" s="3">
        <v>1086500</v>
      </c>
      <c r="E30" s="3">
        <v>1353759</v>
      </c>
      <c r="F30" s="3">
        <v>30420</v>
      </c>
      <c r="G30" s="3"/>
      <c r="H30" s="3"/>
      <c r="I30" s="3"/>
      <c r="J30" s="20">
        <f t="shared" si="3"/>
        <v>1384179</v>
      </c>
      <c r="K30" s="112">
        <v>434161</v>
      </c>
      <c r="L30" s="3">
        <f t="shared" si="4"/>
        <v>950018</v>
      </c>
    </row>
    <row r="31" spans="1:12" x14ac:dyDescent="0.25">
      <c r="A31" s="258"/>
      <c r="B31" s="253"/>
      <c r="C31" s="2" t="s">
        <v>30</v>
      </c>
      <c r="D31" s="3">
        <v>100000</v>
      </c>
      <c r="E31" s="3">
        <v>100000</v>
      </c>
      <c r="F31" s="3"/>
      <c r="G31" s="3"/>
      <c r="H31" s="3"/>
      <c r="I31" s="3"/>
      <c r="J31" s="20">
        <f t="shared" si="3"/>
        <v>100000</v>
      </c>
      <c r="K31" s="112">
        <v>13902</v>
      </c>
      <c r="L31" s="3">
        <f t="shared" si="4"/>
        <v>86098</v>
      </c>
    </row>
    <row r="32" spans="1:12" x14ac:dyDescent="0.25">
      <c r="A32" s="258"/>
      <c r="B32" s="253"/>
      <c r="C32" s="6" t="s">
        <v>53</v>
      </c>
      <c r="D32" s="7">
        <f>SUM(D25:D31)</f>
        <v>39774992</v>
      </c>
      <c r="E32" s="7">
        <v>39786862</v>
      </c>
      <c r="F32" s="7">
        <f t="shared" ref="F32:L32" si="5">SUM(F25:F31)</f>
        <v>0</v>
      </c>
      <c r="G32" s="7">
        <f t="shared" si="5"/>
        <v>0</v>
      </c>
      <c r="H32" s="7">
        <f t="shared" si="5"/>
        <v>0</v>
      </c>
      <c r="I32" s="7">
        <f t="shared" si="5"/>
        <v>0</v>
      </c>
      <c r="J32" s="7">
        <f t="shared" si="5"/>
        <v>39722745</v>
      </c>
      <c r="K32" s="114">
        <f t="shared" si="5"/>
        <v>23075802</v>
      </c>
      <c r="L32" s="7">
        <f t="shared" si="5"/>
        <v>16646943</v>
      </c>
    </row>
    <row r="33" spans="1:12" x14ac:dyDescent="0.25">
      <c r="A33" s="258"/>
      <c r="B33" s="253"/>
      <c r="C33" s="86" t="s">
        <v>31</v>
      </c>
      <c r="D33" s="87">
        <v>7793417</v>
      </c>
      <c r="E33" s="87">
        <v>7795732</v>
      </c>
      <c r="F33" s="87"/>
      <c r="G33" s="87"/>
      <c r="H33" s="87"/>
      <c r="I33" s="87"/>
      <c r="J33" s="88">
        <f t="shared" ref="J33:J47" si="6">E33+F33+G33+H33+I33</f>
        <v>7795732</v>
      </c>
      <c r="K33" s="115">
        <v>4764032</v>
      </c>
      <c r="L33" s="89">
        <f t="shared" ref="L33:L47" si="7">J33-K33</f>
        <v>3031700</v>
      </c>
    </row>
    <row r="34" spans="1:12" x14ac:dyDescent="0.25">
      <c r="A34" s="258"/>
      <c r="B34" s="253"/>
      <c r="C34" s="2" t="s">
        <v>32</v>
      </c>
      <c r="D34" s="3">
        <v>105000</v>
      </c>
      <c r="E34" s="3">
        <v>105000</v>
      </c>
      <c r="F34" s="3"/>
      <c r="G34" s="3"/>
      <c r="H34" s="3"/>
      <c r="I34" s="3"/>
      <c r="J34" s="20">
        <f t="shared" si="6"/>
        <v>105000</v>
      </c>
      <c r="K34" s="112">
        <v>24818</v>
      </c>
      <c r="L34" s="3">
        <f t="shared" si="7"/>
        <v>80182</v>
      </c>
    </row>
    <row r="35" spans="1:12" x14ac:dyDescent="0.25">
      <c r="A35" s="258"/>
      <c r="B35" s="253"/>
      <c r="C35" s="2" t="s">
        <v>33</v>
      </c>
      <c r="D35" s="3">
        <v>500000</v>
      </c>
      <c r="E35" s="3">
        <v>500000</v>
      </c>
      <c r="F35" s="3"/>
      <c r="G35" s="3"/>
      <c r="H35" s="3"/>
      <c r="I35" s="3"/>
      <c r="J35" s="20">
        <f t="shared" si="6"/>
        <v>500000</v>
      </c>
      <c r="K35" s="112">
        <v>1922</v>
      </c>
      <c r="L35" s="3">
        <f t="shared" si="7"/>
        <v>498078</v>
      </c>
    </row>
    <row r="36" spans="1:12" x14ac:dyDescent="0.25">
      <c r="A36" s="258"/>
      <c r="B36" s="253"/>
      <c r="C36" s="2" t="s">
        <v>34</v>
      </c>
      <c r="D36" s="3">
        <v>213000</v>
      </c>
      <c r="E36" s="3">
        <v>213000</v>
      </c>
      <c r="F36" s="3"/>
      <c r="G36" s="3"/>
      <c r="H36" s="3"/>
      <c r="I36" s="3"/>
      <c r="J36" s="20">
        <f t="shared" si="6"/>
        <v>213000</v>
      </c>
      <c r="K36" s="112">
        <v>80797</v>
      </c>
      <c r="L36" s="3">
        <f t="shared" si="7"/>
        <v>132203</v>
      </c>
    </row>
    <row r="37" spans="1:12" x14ac:dyDescent="0.25">
      <c r="A37" s="258"/>
      <c r="B37" s="253"/>
      <c r="C37" s="2" t="s">
        <v>35</v>
      </c>
      <c r="D37" s="3">
        <v>162000</v>
      </c>
      <c r="E37" s="3">
        <v>162000</v>
      </c>
      <c r="F37" s="3"/>
      <c r="G37" s="3"/>
      <c r="H37" s="3"/>
      <c r="I37" s="3"/>
      <c r="J37" s="20">
        <f t="shared" si="6"/>
        <v>162000</v>
      </c>
      <c r="K37" s="112">
        <v>45024</v>
      </c>
      <c r="L37" s="3">
        <f t="shared" si="7"/>
        <v>116976</v>
      </c>
    </row>
    <row r="38" spans="1:12" x14ac:dyDescent="0.25">
      <c r="A38" s="258"/>
      <c r="B38" s="253"/>
      <c r="C38" s="2" t="s">
        <v>36</v>
      </c>
      <c r="D38" s="3">
        <v>569540</v>
      </c>
      <c r="E38" s="3">
        <v>569540</v>
      </c>
      <c r="F38" s="3"/>
      <c r="G38" s="3"/>
      <c r="H38" s="3"/>
      <c r="I38" s="3"/>
      <c r="J38" s="20">
        <f t="shared" si="6"/>
        <v>569540</v>
      </c>
      <c r="K38" s="112">
        <v>367907</v>
      </c>
      <c r="L38" s="3">
        <f t="shared" si="7"/>
        <v>201633</v>
      </c>
    </row>
    <row r="39" spans="1:12" x14ac:dyDescent="0.25">
      <c r="A39" s="258"/>
      <c r="B39" s="253"/>
      <c r="C39" s="2" t="s">
        <v>37</v>
      </c>
      <c r="D39" s="3">
        <v>3000</v>
      </c>
      <c r="E39" s="3">
        <v>3000</v>
      </c>
      <c r="F39" s="3"/>
      <c r="G39" s="3"/>
      <c r="H39" s="3"/>
      <c r="I39" s="3"/>
      <c r="J39" s="20">
        <f t="shared" si="6"/>
        <v>3000</v>
      </c>
      <c r="K39" s="112">
        <v>0</v>
      </c>
      <c r="L39" s="3">
        <f t="shared" si="7"/>
        <v>3000</v>
      </c>
    </row>
    <row r="40" spans="1:12" x14ac:dyDescent="0.25">
      <c r="A40" s="258"/>
      <c r="B40" s="253"/>
      <c r="C40" s="2" t="s">
        <v>38</v>
      </c>
      <c r="D40" s="3">
        <v>460000</v>
      </c>
      <c r="E40" s="3">
        <v>456500</v>
      </c>
      <c r="F40" s="3"/>
      <c r="G40" s="3"/>
      <c r="H40" s="3"/>
      <c r="I40" s="3"/>
      <c r="J40" s="20">
        <f t="shared" si="6"/>
        <v>456500</v>
      </c>
      <c r="K40" s="112">
        <v>168339</v>
      </c>
      <c r="L40" s="3">
        <f t="shared" si="7"/>
        <v>288161</v>
      </c>
    </row>
    <row r="41" spans="1:12" x14ac:dyDescent="0.25">
      <c r="A41" s="258"/>
      <c r="B41" s="253"/>
      <c r="C41" s="2" t="s">
        <v>39</v>
      </c>
      <c r="D41" s="3">
        <v>13200</v>
      </c>
      <c r="E41" s="3">
        <v>16540</v>
      </c>
      <c r="F41" s="3">
        <v>5386</v>
      </c>
      <c r="G41" s="3"/>
      <c r="H41" s="3"/>
      <c r="I41" s="3"/>
      <c r="J41" s="20">
        <f t="shared" si="6"/>
        <v>21926</v>
      </c>
      <c r="K41" s="112">
        <v>21926</v>
      </c>
      <c r="L41" s="60">
        <f t="shared" si="7"/>
        <v>0</v>
      </c>
    </row>
    <row r="42" spans="1:12" x14ac:dyDescent="0.25">
      <c r="A42" s="258"/>
      <c r="B42" s="253"/>
      <c r="C42" s="2" t="s">
        <v>40</v>
      </c>
      <c r="D42" s="3">
        <v>137800</v>
      </c>
      <c r="E42" s="3">
        <v>137800</v>
      </c>
      <c r="F42" s="3"/>
      <c r="G42" s="3"/>
      <c r="H42" s="3"/>
      <c r="I42" s="3"/>
      <c r="J42" s="20">
        <f t="shared" si="6"/>
        <v>137800</v>
      </c>
      <c r="K42" s="112">
        <v>53500</v>
      </c>
      <c r="L42" s="3">
        <f t="shared" si="7"/>
        <v>84300</v>
      </c>
    </row>
    <row r="43" spans="1:12" x14ac:dyDescent="0.25">
      <c r="A43" s="258"/>
      <c r="B43" s="253"/>
      <c r="C43" s="2" t="s">
        <v>41</v>
      </c>
      <c r="D43" s="3">
        <v>582236</v>
      </c>
      <c r="E43" s="3">
        <v>583896</v>
      </c>
      <c r="F43" s="3">
        <v>-5386</v>
      </c>
      <c r="G43" s="3"/>
      <c r="H43" s="3"/>
      <c r="I43" s="3"/>
      <c r="J43" s="20">
        <f t="shared" si="6"/>
        <v>578510</v>
      </c>
      <c r="K43" s="112">
        <v>448061</v>
      </c>
      <c r="L43" s="3">
        <f t="shared" si="7"/>
        <v>130449</v>
      </c>
    </row>
    <row r="44" spans="1:12" x14ac:dyDescent="0.25">
      <c r="A44" s="258"/>
      <c r="B44" s="253"/>
      <c r="C44" s="2" t="s">
        <v>42</v>
      </c>
      <c r="D44" s="3">
        <v>552000</v>
      </c>
      <c r="E44" s="3">
        <v>534045</v>
      </c>
      <c r="F44" s="3"/>
      <c r="G44" s="3"/>
      <c r="H44" s="3"/>
      <c r="I44" s="3"/>
      <c r="J44" s="20">
        <f t="shared" si="6"/>
        <v>534045</v>
      </c>
      <c r="K44" s="112">
        <v>258335</v>
      </c>
      <c r="L44" s="3">
        <f t="shared" si="7"/>
        <v>275710</v>
      </c>
    </row>
    <row r="45" spans="1:12" x14ac:dyDescent="0.25">
      <c r="A45" s="258"/>
      <c r="B45" s="253"/>
      <c r="C45" s="2" t="s">
        <v>43</v>
      </c>
      <c r="D45" s="3">
        <v>30000</v>
      </c>
      <c r="E45" s="3">
        <v>30000</v>
      </c>
      <c r="F45" s="3"/>
      <c r="G45" s="3"/>
      <c r="H45" s="3"/>
      <c r="I45" s="3"/>
      <c r="J45" s="20">
        <f t="shared" si="6"/>
        <v>30000</v>
      </c>
      <c r="K45" s="112">
        <v>0</v>
      </c>
      <c r="L45" s="3">
        <f t="shared" si="7"/>
        <v>30000</v>
      </c>
    </row>
    <row r="46" spans="1:12" x14ac:dyDescent="0.25">
      <c r="A46" s="258"/>
      <c r="B46" s="253"/>
      <c r="C46" s="2" t="s">
        <v>44</v>
      </c>
      <c r="D46" s="3">
        <v>455834</v>
      </c>
      <c r="E46" s="3">
        <v>218435</v>
      </c>
      <c r="F46" s="3"/>
      <c r="G46" s="3"/>
      <c r="H46" s="3"/>
      <c r="I46" s="3"/>
      <c r="J46" s="20">
        <f t="shared" si="6"/>
        <v>218435</v>
      </c>
      <c r="K46" s="112">
        <v>120393</v>
      </c>
      <c r="L46" s="3">
        <f t="shared" si="7"/>
        <v>98042</v>
      </c>
    </row>
    <row r="47" spans="1:12" x14ac:dyDescent="0.25">
      <c r="A47" s="258"/>
      <c r="B47" s="253"/>
      <c r="C47" s="2" t="s">
        <v>45</v>
      </c>
      <c r="D47" s="3">
        <v>80000</v>
      </c>
      <c r="E47" s="3">
        <v>75764</v>
      </c>
      <c r="F47" s="3"/>
      <c r="G47" s="3"/>
      <c r="H47" s="3"/>
      <c r="I47" s="3"/>
      <c r="J47" s="20">
        <f t="shared" si="6"/>
        <v>75764</v>
      </c>
      <c r="K47" s="112">
        <v>48233</v>
      </c>
      <c r="L47" s="3">
        <f t="shared" si="7"/>
        <v>27531</v>
      </c>
    </row>
    <row r="48" spans="1:12" x14ac:dyDescent="0.25">
      <c r="A48" s="258"/>
      <c r="B48" s="253"/>
      <c r="C48" s="6" t="s">
        <v>49</v>
      </c>
      <c r="D48" s="7">
        <f>SUM(D34:D47)</f>
        <v>3863610</v>
      </c>
      <c r="E48" s="7">
        <v>3610915</v>
      </c>
      <c r="F48" s="7">
        <f t="shared" ref="F48:L48" si="8">SUM(F34:F47)</f>
        <v>0</v>
      </c>
      <c r="G48" s="7">
        <f t="shared" si="8"/>
        <v>0</v>
      </c>
      <c r="H48" s="7">
        <f t="shared" si="8"/>
        <v>0</v>
      </c>
      <c r="I48" s="7">
        <f t="shared" si="8"/>
        <v>0</v>
      </c>
      <c r="J48" s="7">
        <f t="shared" si="8"/>
        <v>3605520</v>
      </c>
      <c r="K48" s="114">
        <f t="shared" si="8"/>
        <v>1639255</v>
      </c>
      <c r="L48" s="7">
        <f t="shared" si="8"/>
        <v>1966265</v>
      </c>
    </row>
    <row r="49" spans="1:12" x14ac:dyDescent="0.25">
      <c r="A49" s="258"/>
      <c r="B49" s="253"/>
      <c r="C49" s="2" t="s">
        <v>50</v>
      </c>
      <c r="D49" s="3">
        <v>78740</v>
      </c>
      <c r="E49" s="3">
        <v>78740</v>
      </c>
      <c r="F49" s="3"/>
      <c r="G49" s="3"/>
      <c r="H49" s="3"/>
      <c r="I49" s="3"/>
      <c r="J49" s="20">
        <f t="shared" ref="J49:J50" si="9">E49+F49+G49+H49+I49</f>
        <v>78740</v>
      </c>
      <c r="K49" s="112">
        <v>0</v>
      </c>
      <c r="L49" s="3">
        <f t="shared" ref="L49:L50" si="10">J49-K49</f>
        <v>78740</v>
      </c>
    </row>
    <row r="50" spans="1:12" x14ac:dyDescent="0.25">
      <c r="A50" s="258"/>
      <c r="B50" s="253"/>
      <c r="C50" s="2" t="s">
        <v>51</v>
      </c>
      <c r="D50" s="3">
        <v>21260</v>
      </c>
      <c r="E50" s="3">
        <v>21260</v>
      </c>
      <c r="F50" s="3"/>
      <c r="G50" s="3"/>
      <c r="H50" s="3"/>
      <c r="I50" s="3"/>
      <c r="J50" s="20">
        <f t="shared" si="9"/>
        <v>21260</v>
      </c>
      <c r="K50" s="112">
        <v>0</v>
      </c>
      <c r="L50" s="3">
        <f t="shared" si="10"/>
        <v>21260</v>
      </c>
    </row>
    <row r="51" spans="1:12" x14ac:dyDescent="0.25">
      <c r="A51" s="258"/>
      <c r="B51" s="254"/>
      <c r="C51" s="6" t="s">
        <v>52</v>
      </c>
      <c r="D51" s="7">
        <f>SUM(D49:D50)</f>
        <v>100000</v>
      </c>
      <c r="E51" s="7">
        <v>100000</v>
      </c>
      <c r="F51" s="7">
        <f t="shared" ref="F51:L51" si="11">SUM(F49:F50)</f>
        <v>0</v>
      </c>
      <c r="G51" s="7">
        <f t="shared" si="11"/>
        <v>0</v>
      </c>
      <c r="H51" s="7">
        <f t="shared" si="11"/>
        <v>0</v>
      </c>
      <c r="I51" s="7">
        <f t="shared" si="11"/>
        <v>0</v>
      </c>
      <c r="J51" s="7">
        <f t="shared" si="11"/>
        <v>100000</v>
      </c>
      <c r="K51" s="114">
        <f t="shared" si="11"/>
        <v>0</v>
      </c>
      <c r="L51" s="7">
        <f t="shared" si="11"/>
        <v>100000</v>
      </c>
    </row>
    <row r="52" spans="1:12" x14ac:dyDescent="0.25">
      <c r="A52" s="258"/>
      <c r="B52" s="268" t="s">
        <v>46</v>
      </c>
      <c r="C52" s="2" t="s">
        <v>24</v>
      </c>
      <c r="D52" s="3">
        <v>25123345</v>
      </c>
      <c r="E52" s="3">
        <v>25143281</v>
      </c>
      <c r="F52" s="3"/>
      <c r="G52" s="3"/>
      <c r="H52" s="3"/>
      <c r="I52" s="3"/>
      <c r="J52" s="20">
        <f t="shared" ref="J52:J60" si="12">E52+F52+G52+H52+I52</f>
        <v>25143281</v>
      </c>
      <c r="K52" s="112">
        <v>15043672</v>
      </c>
      <c r="L52" s="3">
        <f t="shared" ref="L52:L60" si="13">J52-K52</f>
        <v>10099609</v>
      </c>
    </row>
    <row r="53" spans="1:12" x14ac:dyDescent="0.25">
      <c r="A53" s="258"/>
      <c r="B53" s="268"/>
      <c r="C53" s="2" t="s">
        <v>47</v>
      </c>
      <c r="D53" s="3">
        <v>2040480</v>
      </c>
      <c r="E53" s="3">
        <v>2040480</v>
      </c>
      <c r="F53" s="3"/>
      <c r="G53" s="3"/>
      <c r="H53" s="3"/>
      <c r="I53" s="3"/>
      <c r="J53" s="20">
        <f t="shared" si="12"/>
        <v>2040480</v>
      </c>
      <c r="K53" s="112">
        <v>1270865</v>
      </c>
      <c r="L53" s="3">
        <f t="shared" si="13"/>
        <v>769615</v>
      </c>
    </row>
    <row r="54" spans="1:12" x14ac:dyDescent="0.25">
      <c r="A54" s="258"/>
      <c r="B54" s="268"/>
      <c r="C54" s="2" t="s">
        <v>48</v>
      </c>
      <c r="D54" s="3">
        <v>0</v>
      </c>
      <c r="E54" s="3">
        <v>0</v>
      </c>
      <c r="F54" s="3"/>
      <c r="G54" s="3"/>
      <c r="H54" s="3"/>
      <c r="I54" s="3"/>
      <c r="J54" s="20">
        <f t="shared" si="12"/>
        <v>0</v>
      </c>
      <c r="K54" s="112">
        <v>0</v>
      </c>
      <c r="L54" s="3">
        <f t="shared" si="13"/>
        <v>0</v>
      </c>
    </row>
    <row r="55" spans="1:12" x14ac:dyDescent="0.25">
      <c r="A55" s="258"/>
      <c r="B55" s="268"/>
      <c r="C55" s="2" t="s">
        <v>25</v>
      </c>
      <c r="D55" s="3">
        <v>1025000</v>
      </c>
      <c r="E55" s="3">
        <v>1025000</v>
      </c>
      <c r="F55" s="3"/>
      <c r="G55" s="3"/>
      <c r="H55" s="3"/>
      <c r="I55" s="3"/>
      <c r="J55" s="20">
        <f t="shared" si="12"/>
        <v>1025000</v>
      </c>
      <c r="K55" s="112">
        <v>450000</v>
      </c>
      <c r="L55" s="3">
        <f t="shared" si="13"/>
        <v>575000</v>
      </c>
    </row>
    <row r="56" spans="1:12" x14ac:dyDescent="0.25">
      <c r="A56" s="258"/>
      <c r="B56" s="268"/>
      <c r="C56" s="2" t="s">
        <v>26</v>
      </c>
      <c r="D56" s="3">
        <v>60000</v>
      </c>
      <c r="E56" s="3">
        <v>60000</v>
      </c>
      <c r="F56" s="3"/>
      <c r="G56" s="3"/>
      <c r="H56" s="3"/>
      <c r="I56" s="3"/>
      <c r="J56" s="20">
        <f t="shared" si="12"/>
        <v>60000</v>
      </c>
      <c r="K56" s="112">
        <v>0</v>
      </c>
      <c r="L56" s="3">
        <f t="shared" si="13"/>
        <v>60000</v>
      </c>
    </row>
    <row r="57" spans="1:12" x14ac:dyDescent="0.25">
      <c r="A57" s="258"/>
      <c r="B57" s="268"/>
      <c r="C57" s="2" t="s">
        <v>27</v>
      </c>
      <c r="D57" s="3">
        <v>240000</v>
      </c>
      <c r="E57" s="3">
        <v>234798</v>
      </c>
      <c r="F57" s="3">
        <v>-4896</v>
      </c>
      <c r="G57" s="3"/>
      <c r="H57" s="3"/>
      <c r="I57" s="3"/>
      <c r="J57" s="20">
        <f t="shared" si="12"/>
        <v>229902</v>
      </c>
      <c r="K57" s="112">
        <v>103320</v>
      </c>
      <c r="L57" s="3">
        <f t="shared" si="13"/>
        <v>126582</v>
      </c>
    </row>
    <row r="58" spans="1:12" x14ac:dyDescent="0.25">
      <c r="A58" s="258"/>
      <c r="B58" s="268"/>
      <c r="C58" s="2" t="s">
        <v>28</v>
      </c>
      <c r="D58" s="3">
        <v>147000</v>
      </c>
      <c r="E58" s="3">
        <v>147000</v>
      </c>
      <c r="F58" s="3"/>
      <c r="G58" s="3"/>
      <c r="H58" s="3"/>
      <c r="I58" s="3"/>
      <c r="J58" s="20">
        <f t="shared" si="12"/>
        <v>147000</v>
      </c>
      <c r="K58" s="112">
        <v>57000</v>
      </c>
      <c r="L58" s="3">
        <f t="shared" si="13"/>
        <v>90000</v>
      </c>
    </row>
    <row r="59" spans="1:12" x14ac:dyDescent="0.25">
      <c r="A59" s="258"/>
      <c r="B59" s="268"/>
      <c r="C59" s="2" t="s">
        <v>29</v>
      </c>
      <c r="D59" s="3">
        <v>553500</v>
      </c>
      <c r="E59" s="3">
        <v>553500</v>
      </c>
      <c r="F59" s="3">
        <v>-30420</v>
      </c>
      <c r="G59" s="3"/>
      <c r="H59" s="3"/>
      <c r="I59" s="3"/>
      <c r="J59" s="20">
        <f t="shared" si="12"/>
        <v>523080</v>
      </c>
      <c r="K59" s="112">
        <v>385988</v>
      </c>
      <c r="L59" s="3">
        <f t="shared" si="13"/>
        <v>137092</v>
      </c>
    </row>
    <row r="60" spans="1:12" x14ac:dyDescent="0.25">
      <c r="A60" s="258"/>
      <c r="B60" s="268"/>
      <c r="C60" s="2" t="s">
        <v>30</v>
      </c>
      <c r="D60" s="3">
        <v>100000</v>
      </c>
      <c r="E60" s="3">
        <v>100000</v>
      </c>
      <c r="F60" s="3"/>
      <c r="G60" s="3"/>
      <c r="H60" s="3"/>
      <c r="I60" s="3"/>
      <c r="J60" s="20">
        <f t="shared" si="12"/>
        <v>100000</v>
      </c>
      <c r="K60" s="112">
        <v>13902</v>
      </c>
      <c r="L60" s="3">
        <f t="shared" si="13"/>
        <v>86098</v>
      </c>
    </row>
    <row r="61" spans="1:12" x14ac:dyDescent="0.25">
      <c r="A61" s="258"/>
      <c r="B61" s="268"/>
      <c r="C61" s="6" t="s">
        <v>53</v>
      </c>
      <c r="D61" s="7">
        <f>SUM(D52:D60)</f>
        <v>29289325</v>
      </c>
      <c r="E61" s="7">
        <v>29304059</v>
      </c>
      <c r="F61" s="7">
        <f t="shared" ref="F61:L61" si="14">SUM(F52:F60)</f>
        <v>-35316</v>
      </c>
      <c r="G61" s="7">
        <f t="shared" si="14"/>
        <v>0</v>
      </c>
      <c r="H61" s="7">
        <f t="shared" si="14"/>
        <v>0</v>
      </c>
      <c r="I61" s="7">
        <f t="shared" si="14"/>
        <v>0</v>
      </c>
      <c r="J61" s="7">
        <f t="shared" si="14"/>
        <v>29268743</v>
      </c>
      <c r="K61" s="114">
        <f t="shared" si="14"/>
        <v>17324747</v>
      </c>
      <c r="L61" s="7">
        <f t="shared" si="14"/>
        <v>11943996</v>
      </c>
    </row>
    <row r="62" spans="1:12" x14ac:dyDescent="0.25">
      <c r="A62" s="258"/>
      <c r="B62" s="268"/>
      <c r="C62" s="86" t="s">
        <v>31</v>
      </c>
      <c r="D62" s="87">
        <v>5849797</v>
      </c>
      <c r="E62" s="87">
        <v>5853685</v>
      </c>
      <c r="F62" s="87"/>
      <c r="G62" s="87"/>
      <c r="H62" s="87"/>
      <c r="I62" s="87"/>
      <c r="J62" s="88">
        <f t="shared" ref="J62:J75" si="15">E62+F62+G62+H62+I62</f>
        <v>5853685</v>
      </c>
      <c r="K62" s="115">
        <v>3678022</v>
      </c>
      <c r="L62" s="89">
        <f t="shared" ref="L62:L75" si="16">J62-K62</f>
        <v>2175663</v>
      </c>
    </row>
    <row r="63" spans="1:12" x14ac:dyDescent="0.25">
      <c r="A63" s="258"/>
      <c r="B63" s="268"/>
      <c r="C63" s="2" t="s">
        <v>32</v>
      </c>
      <c r="D63" s="3">
        <v>105000</v>
      </c>
      <c r="E63" s="3">
        <v>105000</v>
      </c>
      <c r="F63" s="3"/>
      <c r="G63" s="3"/>
      <c r="H63" s="3"/>
      <c r="I63" s="3"/>
      <c r="J63" s="20">
        <f t="shared" si="15"/>
        <v>105000</v>
      </c>
      <c r="K63" s="112">
        <v>24820</v>
      </c>
      <c r="L63" s="3">
        <f t="shared" si="16"/>
        <v>80180</v>
      </c>
    </row>
    <row r="64" spans="1:12" x14ac:dyDescent="0.25">
      <c r="A64" s="258"/>
      <c r="B64" s="268"/>
      <c r="C64" s="2" t="s">
        <v>33</v>
      </c>
      <c r="D64" s="3">
        <v>700000</v>
      </c>
      <c r="E64" s="3">
        <v>700000</v>
      </c>
      <c r="F64" s="3"/>
      <c r="G64" s="3"/>
      <c r="H64" s="3"/>
      <c r="I64" s="3"/>
      <c r="J64" s="20">
        <f t="shared" si="15"/>
        <v>700000</v>
      </c>
      <c r="K64" s="112">
        <v>36894</v>
      </c>
      <c r="L64" s="3">
        <f t="shared" si="16"/>
        <v>663106</v>
      </c>
    </row>
    <row r="65" spans="1:12" x14ac:dyDescent="0.25">
      <c r="A65" s="258"/>
      <c r="B65" s="268"/>
      <c r="C65" s="2" t="s">
        <v>34</v>
      </c>
      <c r="D65" s="3">
        <v>213000</v>
      </c>
      <c r="E65" s="3">
        <v>213000</v>
      </c>
      <c r="F65" s="3"/>
      <c r="G65" s="3"/>
      <c r="H65" s="3"/>
      <c r="I65" s="3"/>
      <c r="J65" s="20">
        <f t="shared" si="15"/>
        <v>213000</v>
      </c>
      <c r="K65" s="112">
        <v>73179</v>
      </c>
      <c r="L65" s="3">
        <f t="shared" si="16"/>
        <v>139821</v>
      </c>
    </row>
    <row r="66" spans="1:12" x14ac:dyDescent="0.25">
      <c r="A66" s="258"/>
      <c r="B66" s="268"/>
      <c r="C66" s="2" t="s">
        <v>35</v>
      </c>
      <c r="D66" s="3">
        <v>288000</v>
      </c>
      <c r="E66" s="3">
        <v>122200</v>
      </c>
      <c r="F66" s="3"/>
      <c r="G66" s="3"/>
      <c r="H66" s="3"/>
      <c r="I66" s="3"/>
      <c r="J66" s="20">
        <f t="shared" si="15"/>
        <v>122200</v>
      </c>
      <c r="K66" s="112">
        <v>76807</v>
      </c>
      <c r="L66" s="3">
        <f t="shared" si="16"/>
        <v>45393</v>
      </c>
    </row>
    <row r="67" spans="1:12" x14ac:dyDescent="0.25">
      <c r="A67" s="258"/>
      <c r="B67" s="268"/>
      <c r="C67" s="2" t="s">
        <v>36</v>
      </c>
      <c r="D67" s="3">
        <v>669540</v>
      </c>
      <c r="E67" s="3">
        <v>669540</v>
      </c>
      <c r="F67" s="3"/>
      <c r="G67" s="3"/>
      <c r="H67" s="3"/>
      <c r="I67" s="3"/>
      <c r="J67" s="20">
        <f t="shared" si="15"/>
        <v>669540</v>
      </c>
      <c r="K67" s="112">
        <v>444442</v>
      </c>
      <c r="L67" s="3">
        <f t="shared" si="16"/>
        <v>225098</v>
      </c>
    </row>
    <row r="68" spans="1:12" x14ac:dyDescent="0.25">
      <c r="A68" s="258"/>
      <c r="B68" s="268"/>
      <c r="C68" s="2" t="s">
        <v>37</v>
      </c>
      <c r="D68" s="3">
        <v>123000</v>
      </c>
      <c r="E68" s="3">
        <v>123000</v>
      </c>
      <c r="F68" s="3"/>
      <c r="G68" s="3"/>
      <c r="H68" s="3"/>
      <c r="I68" s="3"/>
      <c r="J68" s="20">
        <f t="shared" si="15"/>
        <v>123000</v>
      </c>
      <c r="K68" s="112">
        <v>0</v>
      </c>
      <c r="L68" s="3">
        <f t="shared" si="16"/>
        <v>123000</v>
      </c>
    </row>
    <row r="69" spans="1:12" x14ac:dyDescent="0.25">
      <c r="A69" s="258"/>
      <c r="B69" s="268"/>
      <c r="C69" s="2" t="s">
        <v>38</v>
      </c>
      <c r="D69" s="3">
        <v>460000</v>
      </c>
      <c r="E69" s="3">
        <v>460000</v>
      </c>
      <c r="F69" s="3"/>
      <c r="G69" s="3"/>
      <c r="H69" s="3"/>
      <c r="I69" s="3"/>
      <c r="J69" s="20">
        <f t="shared" si="15"/>
        <v>460000</v>
      </c>
      <c r="K69" s="112">
        <v>172839</v>
      </c>
      <c r="L69" s="3">
        <f t="shared" si="16"/>
        <v>287161</v>
      </c>
    </row>
    <row r="70" spans="1:12" x14ac:dyDescent="0.25">
      <c r="A70" s="258"/>
      <c r="B70" s="268"/>
      <c r="C70" s="2" t="s">
        <v>40</v>
      </c>
      <c r="D70" s="3">
        <v>1361904</v>
      </c>
      <c r="E70" s="3">
        <v>1361904</v>
      </c>
      <c r="F70" s="3"/>
      <c r="G70" s="3"/>
      <c r="H70" s="3"/>
      <c r="I70" s="3"/>
      <c r="J70" s="20">
        <f t="shared" si="15"/>
        <v>1361904</v>
      </c>
      <c r="K70" s="112">
        <v>481594</v>
      </c>
      <c r="L70" s="3">
        <f t="shared" si="16"/>
        <v>880310</v>
      </c>
    </row>
    <row r="71" spans="1:12" x14ac:dyDescent="0.25">
      <c r="A71" s="258"/>
      <c r="B71" s="268"/>
      <c r="C71" s="2" t="s">
        <v>41</v>
      </c>
      <c r="D71" s="3">
        <v>982236</v>
      </c>
      <c r="E71" s="3">
        <v>980551</v>
      </c>
      <c r="F71" s="3"/>
      <c r="G71" s="3"/>
      <c r="H71" s="3"/>
      <c r="I71" s="3"/>
      <c r="J71" s="20">
        <f t="shared" si="15"/>
        <v>980551</v>
      </c>
      <c r="K71" s="112">
        <v>593361</v>
      </c>
      <c r="L71" s="3">
        <f t="shared" si="16"/>
        <v>387190</v>
      </c>
    </row>
    <row r="72" spans="1:12" x14ac:dyDescent="0.25">
      <c r="A72" s="258"/>
      <c r="B72" s="268"/>
      <c r="C72" s="2" t="s">
        <v>42</v>
      </c>
      <c r="D72" s="3">
        <v>1200000</v>
      </c>
      <c r="E72" s="3">
        <v>1140675</v>
      </c>
      <c r="F72" s="3">
        <v>-1630</v>
      </c>
      <c r="G72" s="3"/>
      <c r="H72" s="3"/>
      <c r="I72" s="3"/>
      <c r="J72" s="20">
        <f t="shared" si="15"/>
        <v>1139045</v>
      </c>
      <c r="K72" s="112">
        <v>244790</v>
      </c>
      <c r="L72" s="3">
        <f t="shared" si="16"/>
        <v>894255</v>
      </c>
    </row>
    <row r="73" spans="1:12" x14ac:dyDescent="0.25">
      <c r="A73" s="258"/>
      <c r="B73" s="268"/>
      <c r="C73" s="2" t="s">
        <v>43</v>
      </c>
      <c r="D73" s="3">
        <v>30000</v>
      </c>
      <c r="E73" s="3">
        <v>30000</v>
      </c>
      <c r="F73" s="3"/>
      <c r="G73" s="3"/>
      <c r="H73" s="3"/>
      <c r="I73" s="3"/>
      <c r="J73" s="20">
        <f t="shared" si="15"/>
        <v>30000</v>
      </c>
      <c r="K73" s="112">
        <v>0</v>
      </c>
      <c r="L73" s="3">
        <f t="shared" si="16"/>
        <v>30000</v>
      </c>
    </row>
    <row r="74" spans="1:12" x14ac:dyDescent="0.25">
      <c r="A74" s="258"/>
      <c r="B74" s="268"/>
      <c r="C74" s="2" t="s">
        <v>44</v>
      </c>
      <c r="D74" s="3">
        <v>1041508</v>
      </c>
      <c r="E74" s="3">
        <v>980423</v>
      </c>
      <c r="F74" s="3"/>
      <c r="G74" s="3"/>
      <c r="H74" s="3"/>
      <c r="I74" s="3"/>
      <c r="J74" s="20">
        <f t="shared" si="15"/>
        <v>980423</v>
      </c>
      <c r="K74" s="112">
        <v>242031</v>
      </c>
      <c r="L74" s="3">
        <f t="shared" si="16"/>
        <v>738392</v>
      </c>
    </row>
    <row r="75" spans="1:12" x14ac:dyDescent="0.25">
      <c r="A75" s="258"/>
      <c r="B75" s="268"/>
      <c r="C75" s="2" t="s">
        <v>45</v>
      </c>
      <c r="D75" s="3">
        <v>433021</v>
      </c>
      <c r="E75" s="3">
        <v>134003</v>
      </c>
      <c r="F75" s="3"/>
      <c r="G75" s="3"/>
      <c r="H75" s="3"/>
      <c r="I75" s="3"/>
      <c r="J75" s="20">
        <f t="shared" si="15"/>
        <v>134003</v>
      </c>
      <c r="K75" s="112">
        <v>0</v>
      </c>
      <c r="L75" s="3">
        <f t="shared" si="16"/>
        <v>134003</v>
      </c>
    </row>
    <row r="76" spans="1:12" x14ac:dyDescent="0.25">
      <c r="A76" s="258"/>
      <c r="B76" s="268"/>
      <c r="C76" s="6" t="s">
        <v>49</v>
      </c>
      <c r="D76" s="7">
        <f>SUM(D63:D75)</f>
        <v>7607209</v>
      </c>
      <c r="E76" s="7">
        <v>7046696</v>
      </c>
      <c r="F76" s="7">
        <f t="shared" ref="F76:L76" si="17">SUM(F63:F75)</f>
        <v>-1630</v>
      </c>
      <c r="G76" s="7">
        <f t="shared" si="17"/>
        <v>0</v>
      </c>
      <c r="H76" s="7">
        <f t="shared" si="17"/>
        <v>0</v>
      </c>
      <c r="I76" s="7">
        <f t="shared" si="17"/>
        <v>0</v>
      </c>
      <c r="J76" s="7">
        <f t="shared" si="17"/>
        <v>7018666</v>
      </c>
      <c r="K76" s="114">
        <f t="shared" si="17"/>
        <v>2390757</v>
      </c>
      <c r="L76" s="7">
        <f t="shared" si="17"/>
        <v>4627909</v>
      </c>
    </row>
    <row r="77" spans="1:12" x14ac:dyDescent="0.25">
      <c r="A77" s="258"/>
      <c r="B77" s="268"/>
      <c r="C77" s="2" t="s">
        <v>50</v>
      </c>
      <c r="D77" s="3">
        <v>78740</v>
      </c>
      <c r="E77" s="3">
        <v>78740</v>
      </c>
      <c r="F77" s="3"/>
      <c r="G77" s="3"/>
      <c r="H77" s="3"/>
      <c r="I77" s="3"/>
      <c r="J77" s="20">
        <f t="shared" ref="J77:J78" si="18">E77+F77+G77+H77+I77</f>
        <v>78740</v>
      </c>
      <c r="K77" s="112">
        <v>0</v>
      </c>
      <c r="L77" s="3">
        <f t="shared" ref="L77:L78" si="19">J77-K77</f>
        <v>78740</v>
      </c>
    </row>
    <row r="78" spans="1:12" x14ac:dyDescent="0.25">
      <c r="A78" s="258"/>
      <c r="B78" s="268"/>
      <c r="C78" s="2" t="s">
        <v>51</v>
      </c>
      <c r="D78" s="3">
        <v>21260</v>
      </c>
      <c r="E78" s="3">
        <v>21260</v>
      </c>
      <c r="F78" s="3"/>
      <c r="G78" s="3"/>
      <c r="H78" s="3"/>
      <c r="I78" s="3"/>
      <c r="J78" s="20">
        <f t="shared" si="18"/>
        <v>21260</v>
      </c>
      <c r="K78" s="112">
        <v>0</v>
      </c>
      <c r="L78" s="3">
        <f t="shared" si="19"/>
        <v>21260</v>
      </c>
    </row>
    <row r="79" spans="1:12" x14ac:dyDescent="0.25">
      <c r="A79" s="258"/>
      <c r="B79" s="268"/>
      <c r="C79" s="6" t="s">
        <v>52</v>
      </c>
      <c r="D79" s="7">
        <f>SUM(D77:D78)</f>
        <v>100000</v>
      </c>
      <c r="E79" s="7">
        <v>100000</v>
      </c>
      <c r="F79" s="7">
        <f t="shared" ref="F79:L79" si="20">SUM(F77:F78)</f>
        <v>0</v>
      </c>
      <c r="G79" s="7">
        <f t="shared" si="20"/>
        <v>0</v>
      </c>
      <c r="H79" s="7">
        <f t="shared" si="20"/>
        <v>0</v>
      </c>
      <c r="I79" s="7">
        <f t="shared" si="20"/>
        <v>0</v>
      </c>
      <c r="J79" s="7">
        <f t="shared" si="20"/>
        <v>100000</v>
      </c>
      <c r="K79" s="114">
        <f t="shared" si="20"/>
        <v>0</v>
      </c>
      <c r="L79" s="7">
        <f t="shared" si="20"/>
        <v>100000</v>
      </c>
    </row>
    <row r="80" spans="1:12" x14ac:dyDescent="0.25">
      <c r="A80" s="259" t="s">
        <v>58</v>
      </c>
      <c r="B80" s="261" t="s">
        <v>46</v>
      </c>
      <c r="C80" s="15" t="s">
        <v>29</v>
      </c>
      <c r="D80" s="24">
        <v>410400</v>
      </c>
      <c r="E80" s="24">
        <v>410400</v>
      </c>
      <c r="F80" s="11"/>
      <c r="G80" s="11"/>
      <c r="H80" s="11"/>
      <c r="I80" s="11"/>
      <c r="J80" s="20">
        <f t="shared" ref="J80:J87" si="21">E80+F80+G80+H80+I80</f>
        <v>410400</v>
      </c>
      <c r="K80" s="112">
        <v>286600</v>
      </c>
      <c r="L80" s="3">
        <f t="shared" ref="L80:L87" si="22">J80-K80</f>
        <v>123800</v>
      </c>
    </row>
    <row r="81" spans="1:12" x14ac:dyDescent="0.25">
      <c r="A81" s="260"/>
      <c r="B81" s="262"/>
      <c r="C81" s="15" t="s">
        <v>31</v>
      </c>
      <c r="D81" s="24">
        <v>76266</v>
      </c>
      <c r="E81" s="24">
        <v>76266</v>
      </c>
      <c r="F81" s="11"/>
      <c r="G81" s="11"/>
      <c r="H81" s="11"/>
      <c r="I81" s="11"/>
      <c r="J81" s="20">
        <f t="shared" si="21"/>
        <v>76266</v>
      </c>
      <c r="K81" s="112">
        <v>55159</v>
      </c>
      <c r="L81" s="3">
        <f t="shared" si="22"/>
        <v>21107</v>
      </c>
    </row>
    <row r="82" spans="1:12" x14ac:dyDescent="0.25">
      <c r="A82" s="259" t="s">
        <v>59</v>
      </c>
      <c r="B82" s="261" t="s">
        <v>23</v>
      </c>
      <c r="C82" s="15" t="s">
        <v>29</v>
      </c>
      <c r="D82" s="24">
        <v>603600</v>
      </c>
      <c r="E82" s="24">
        <v>603600</v>
      </c>
      <c r="F82" s="11"/>
      <c r="G82" s="11"/>
      <c r="H82" s="11"/>
      <c r="I82" s="11"/>
      <c r="J82" s="20">
        <f t="shared" si="21"/>
        <v>603600</v>
      </c>
      <c r="K82" s="112">
        <v>235800</v>
      </c>
      <c r="L82" s="3">
        <f t="shared" si="22"/>
        <v>367800</v>
      </c>
    </row>
    <row r="83" spans="1:12" x14ac:dyDescent="0.25">
      <c r="A83" s="260"/>
      <c r="B83" s="262"/>
      <c r="C83" s="15" t="s">
        <v>31</v>
      </c>
      <c r="D83" s="24">
        <v>112169</v>
      </c>
      <c r="E83" s="24">
        <v>112169</v>
      </c>
      <c r="F83" s="11"/>
      <c r="G83" s="11"/>
      <c r="H83" s="11"/>
      <c r="I83" s="11"/>
      <c r="J83" s="20">
        <f t="shared" si="21"/>
        <v>112169</v>
      </c>
      <c r="K83" s="112">
        <v>45452</v>
      </c>
      <c r="L83" s="3">
        <f t="shared" si="22"/>
        <v>66717</v>
      </c>
    </row>
    <row r="84" spans="1:12" x14ac:dyDescent="0.25">
      <c r="A84" s="259" t="s">
        <v>60</v>
      </c>
      <c r="B84" s="261" t="s">
        <v>23</v>
      </c>
      <c r="C84" s="15" t="s">
        <v>24</v>
      </c>
      <c r="D84" s="24">
        <v>10676226</v>
      </c>
      <c r="E84" s="24">
        <v>10676226</v>
      </c>
      <c r="F84" s="11"/>
      <c r="G84" s="11"/>
      <c r="H84" s="11"/>
      <c r="I84" s="11"/>
      <c r="J84" s="20">
        <f t="shared" si="21"/>
        <v>10676226</v>
      </c>
      <c r="K84" s="112">
        <v>6886332</v>
      </c>
      <c r="L84" s="3">
        <f t="shared" si="22"/>
        <v>3789894</v>
      </c>
    </row>
    <row r="85" spans="1:12" x14ac:dyDescent="0.25">
      <c r="A85" s="260"/>
      <c r="B85" s="262"/>
      <c r="C85" s="15" t="s">
        <v>31</v>
      </c>
      <c r="D85" s="24">
        <v>1989265</v>
      </c>
      <c r="E85" s="24">
        <v>1989265</v>
      </c>
      <c r="F85" s="11"/>
      <c r="G85" s="11"/>
      <c r="H85" s="11"/>
      <c r="I85" s="11"/>
      <c r="J85" s="20">
        <f t="shared" si="21"/>
        <v>1989265</v>
      </c>
      <c r="K85" s="112">
        <v>1325339</v>
      </c>
      <c r="L85" s="3">
        <f t="shared" si="22"/>
        <v>663926</v>
      </c>
    </row>
    <row r="86" spans="1:12" x14ac:dyDescent="0.25">
      <c r="A86" s="259" t="s">
        <v>61</v>
      </c>
      <c r="B86" s="261" t="s">
        <v>46</v>
      </c>
      <c r="C86" s="15" t="s">
        <v>24</v>
      </c>
      <c r="D86" s="24">
        <v>8397674</v>
      </c>
      <c r="E86" s="24">
        <v>8397674</v>
      </c>
      <c r="F86" s="11"/>
      <c r="G86" s="11"/>
      <c r="H86" s="11"/>
      <c r="I86" s="11"/>
      <c r="J86" s="20">
        <f t="shared" si="21"/>
        <v>8397674</v>
      </c>
      <c r="K86" s="112">
        <v>5045597</v>
      </c>
      <c r="L86" s="3">
        <f t="shared" si="22"/>
        <v>3352077</v>
      </c>
    </row>
    <row r="87" spans="1:12" x14ac:dyDescent="0.25">
      <c r="A87" s="260"/>
      <c r="B87" s="262"/>
      <c r="C87" s="15" t="s">
        <v>31</v>
      </c>
      <c r="D87" s="24">
        <v>1563353</v>
      </c>
      <c r="E87" s="24">
        <v>1563353</v>
      </c>
      <c r="F87" s="11"/>
      <c r="G87" s="11"/>
      <c r="H87" s="11"/>
      <c r="I87" s="11"/>
      <c r="J87" s="20">
        <f t="shared" si="21"/>
        <v>1563353</v>
      </c>
      <c r="K87" s="112">
        <v>971239</v>
      </c>
      <c r="L87" s="3">
        <f t="shared" si="22"/>
        <v>592114</v>
      </c>
    </row>
    <row r="88" spans="1:12" x14ac:dyDescent="0.25">
      <c r="A88" s="353" t="s">
        <v>76</v>
      </c>
      <c r="B88" s="354"/>
      <c r="C88" s="355"/>
      <c r="D88" s="126">
        <f t="shared" ref="D88" si="23">SUM(D32+D33+D48+D51+D61+D62+D76+D79+D80+D81+D82+D83+D84+D85+D86+D87)</f>
        <v>118207303</v>
      </c>
      <c r="E88" s="126">
        <v>117426902</v>
      </c>
      <c r="F88" s="126">
        <f t="shared" ref="F88:L88" si="24">SUM(F32+F33+F48+F51+F61+F62+F76+F79+F80+F81+F82+F83+F84+F85+F86+F87)</f>
        <v>-36946</v>
      </c>
      <c r="G88" s="126">
        <f t="shared" si="24"/>
        <v>0</v>
      </c>
      <c r="H88" s="126">
        <f t="shared" si="24"/>
        <v>0</v>
      </c>
      <c r="I88" s="126">
        <f t="shared" si="24"/>
        <v>0</v>
      </c>
      <c r="J88" s="126">
        <f t="shared" si="24"/>
        <v>117294044</v>
      </c>
      <c r="K88" s="128">
        <f t="shared" si="24"/>
        <v>67724133</v>
      </c>
      <c r="L88" s="126">
        <f t="shared" si="24"/>
        <v>49569911</v>
      </c>
    </row>
    <row r="89" spans="1:12" x14ac:dyDescent="0.25">
      <c r="A89" s="258" t="s">
        <v>12</v>
      </c>
      <c r="B89" s="268" t="s">
        <v>23</v>
      </c>
      <c r="C89" s="2" t="s">
        <v>24</v>
      </c>
      <c r="D89" s="3">
        <v>4811583</v>
      </c>
      <c r="E89" s="3">
        <v>4732868</v>
      </c>
      <c r="F89" s="3"/>
      <c r="G89" s="3"/>
      <c r="H89" s="3"/>
      <c r="I89" s="3"/>
      <c r="J89" s="20">
        <f t="shared" ref="J89:J95" si="25">E89+F89+G89+H89+I89</f>
        <v>4732868</v>
      </c>
      <c r="K89" s="112">
        <v>2978552</v>
      </c>
      <c r="L89" s="3">
        <f t="shared" ref="L89:L95" si="26">J89-K89</f>
        <v>1754316</v>
      </c>
    </row>
    <row r="90" spans="1:12" x14ac:dyDescent="0.25">
      <c r="A90" s="258"/>
      <c r="B90" s="268"/>
      <c r="C90" s="2" t="s">
        <v>25</v>
      </c>
      <c r="D90" s="3">
        <v>200000</v>
      </c>
      <c r="E90" s="3">
        <v>200000</v>
      </c>
      <c r="F90" s="3"/>
      <c r="G90" s="3"/>
      <c r="H90" s="3"/>
      <c r="I90" s="3"/>
      <c r="J90" s="20">
        <f t="shared" si="25"/>
        <v>200000</v>
      </c>
      <c r="K90" s="112">
        <v>100000</v>
      </c>
      <c r="L90" s="3">
        <f t="shared" si="26"/>
        <v>100000</v>
      </c>
    </row>
    <row r="91" spans="1:12" x14ac:dyDescent="0.25">
      <c r="A91" s="258"/>
      <c r="B91" s="268"/>
      <c r="C91" s="2" t="s">
        <v>26</v>
      </c>
      <c r="D91" s="3">
        <v>10000</v>
      </c>
      <c r="E91" s="3">
        <v>10000</v>
      </c>
      <c r="F91" s="3"/>
      <c r="G91" s="3"/>
      <c r="H91" s="3"/>
      <c r="I91" s="3"/>
      <c r="J91" s="20">
        <f t="shared" si="25"/>
        <v>10000</v>
      </c>
      <c r="K91" s="112">
        <v>0</v>
      </c>
      <c r="L91" s="3">
        <f t="shared" si="26"/>
        <v>10000</v>
      </c>
    </row>
    <row r="92" spans="1:12" x14ac:dyDescent="0.25">
      <c r="A92" s="258"/>
      <c r="B92" s="268"/>
      <c r="C92" s="2" t="s">
        <v>27</v>
      </c>
      <c r="D92" s="3">
        <v>198000</v>
      </c>
      <c r="E92" s="3">
        <v>198000</v>
      </c>
      <c r="F92" s="3"/>
      <c r="G92" s="3"/>
      <c r="H92" s="3"/>
      <c r="I92" s="3"/>
      <c r="J92" s="20">
        <f t="shared" si="25"/>
        <v>198000</v>
      </c>
      <c r="K92" s="112">
        <v>89100</v>
      </c>
      <c r="L92" s="3">
        <f t="shared" si="26"/>
        <v>108900</v>
      </c>
    </row>
    <row r="93" spans="1:12" x14ac:dyDescent="0.25">
      <c r="A93" s="258"/>
      <c r="B93" s="268"/>
      <c r="C93" s="2" t="s">
        <v>28</v>
      </c>
      <c r="D93" s="3">
        <v>24000</v>
      </c>
      <c r="E93" s="3">
        <v>24000</v>
      </c>
      <c r="F93" s="3"/>
      <c r="G93" s="3"/>
      <c r="H93" s="3"/>
      <c r="I93" s="3"/>
      <c r="J93" s="20">
        <f t="shared" si="25"/>
        <v>24000</v>
      </c>
      <c r="K93" s="112">
        <v>12000</v>
      </c>
      <c r="L93" s="3">
        <f t="shared" si="26"/>
        <v>12000</v>
      </c>
    </row>
    <row r="94" spans="1:12" x14ac:dyDescent="0.25">
      <c r="A94" s="258"/>
      <c r="B94" s="268"/>
      <c r="C94" s="2" t="s">
        <v>29</v>
      </c>
      <c r="D94" s="3">
        <v>75000</v>
      </c>
      <c r="E94" s="3">
        <v>153715</v>
      </c>
      <c r="F94" s="3"/>
      <c r="G94" s="3"/>
      <c r="H94" s="3"/>
      <c r="I94" s="3"/>
      <c r="J94" s="20">
        <f t="shared" si="25"/>
        <v>153715</v>
      </c>
      <c r="K94" s="112">
        <v>78715</v>
      </c>
      <c r="L94" s="3">
        <f t="shared" si="26"/>
        <v>75000</v>
      </c>
    </row>
    <row r="95" spans="1:12" x14ac:dyDescent="0.25">
      <c r="A95" s="258"/>
      <c r="B95" s="268"/>
      <c r="C95" s="2" t="s">
        <v>30</v>
      </c>
      <c r="D95" s="3">
        <v>0</v>
      </c>
      <c r="E95" s="3">
        <v>0</v>
      </c>
      <c r="F95" s="3"/>
      <c r="G95" s="3"/>
      <c r="H95" s="3"/>
      <c r="I95" s="3"/>
      <c r="J95" s="20">
        <f t="shared" si="25"/>
        <v>0</v>
      </c>
      <c r="K95" s="112">
        <v>0</v>
      </c>
      <c r="L95" s="3">
        <f t="shared" si="26"/>
        <v>0</v>
      </c>
    </row>
    <row r="96" spans="1:12" x14ac:dyDescent="0.25">
      <c r="A96" s="258"/>
      <c r="B96" s="268"/>
      <c r="C96" s="6" t="s">
        <v>53</v>
      </c>
      <c r="D96" s="7">
        <f>SUM(D89:D95)</f>
        <v>5318583</v>
      </c>
      <c r="E96" s="7">
        <v>5318583</v>
      </c>
      <c r="F96" s="7">
        <f t="shared" ref="F96:L96" si="27">SUM(F89:F95)</f>
        <v>0</v>
      </c>
      <c r="G96" s="7">
        <f t="shared" si="27"/>
        <v>0</v>
      </c>
      <c r="H96" s="7">
        <f t="shared" si="27"/>
        <v>0</v>
      </c>
      <c r="I96" s="7">
        <f t="shared" si="27"/>
        <v>0</v>
      </c>
      <c r="J96" s="7">
        <f t="shared" si="27"/>
        <v>5318583</v>
      </c>
      <c r="K96" s="114">
        <f t="shared" si="27"/>
        <v>3258367</v>
      </c>
      <c r="L96" s="7">
        <f t="shared" si="27"/>
        <v>2060216</v>
      </c>
    </row>
    <row r="97" spans="1:12" x14ac:dyDescent="0.25">
      <c r="A97" s="258"/>
      <c r="B97" s="268"/>
      <c r="C97" s="86" t="s">
        <v>31</v>
      </c>
      <c r="D97" s="87">
        <v>1035556</v>
      </c>
      <c r="E97" s="87">
        <v>1035556</v>
      </c>
      <c r="F97" s="87"/>
      <c r="G97" s="87"/>
      <c r="H97" s="87"/>
      <c r="I97" s="87"/>
      <c r="J97" s="88">
        <f t="shared" ref="J97:J107" si="28">E97+F97+G97+H97+I97</f>
        <v>1035556</v>
      </c>
      <c r="K97" s="115">
        <v>665076</v>
      </c>
      <c r="L97" s="89">
        <f t="shared" ref="L97:L107" si="29">J97-K97</f>
        <v>370480</v>
      </c>
    </row>
    <row r="98" spans="1:12" x14ac:dyDescent="0.25">
      <c r="A98" s="258"/>
      <c r="B98" s="268"/>
      <c r="C98" s="2" t="s">
        <v>32</v>
      </c>
      <c r="D98" s="3">
        <v>100000</v>
      </c>
      <c r="E98" s="3">
        <v>100000</v>
      </c>
      <c r="F98" s="3"/>
      <c r="G98" s="3"/>
      <c r="H98" s="3"/>
      <c r="I98" s="3"/>
      <c r="J98" s="20">
        <f t="shared" si="28"/>
        <v>100000</v>
      </c>
      <c r="K98" s="112">
        <v>0</v>
      </c>
      <c r="L98" s="3">
        <f t="shared" si="29"/>
        <v>100000</v>
      </c>
    </row>
    <row r="99" spans="1:12" x14ac:dyDescent="0.25">
      <c r="A99" s="258"/>
      <c r="B99" s="268"/>
      <c r="C99" s="2" t="s">
        <v>33</v>
      </c>
      <c r="D99" s="3">
        <v>100000</v>
      </c>
      <c r="E99" s="3">
        <v>100000</v>
      </c>
      <c r="F99" s="3"/>
      <c r="G99" s="3"/>
      <c r="H99" s="3"/>
      <c r="I99" s="3"/>
      <c r="J99" s="20">
        <f t="shared" si="28"/>
        <v>100000</v>
      </c>
      <c r="K99" s="112">
        <v>0</v>
      </c>
      <c r="L99" s="3">
        <f t="shared" si="29"/>
        <v>100000</v>
      </c>
    </row>
    <row r="100" spans="1:12" x14ac:dyDescent="0.25">
      <c r="A100" s="258"/>
      <c r="B100" s="268"/>
      <c r="C100" s="2" t="s">
        <v>34</v>
      </c>
      <c r="D100" s="3">
        <v>210000</v>
      </c>
      <c r="E100" s="3">
        <v>210000</v>
      </c>
      <c r="F100" s="3"/>
      <c r="G100" s="3"/>
      <c r="H100" s="3"/>
      <c r="I100" s="3"/>
      <c r="J100" s="20">
        <f t="shared" si="28"/>
        <v>210000</v>
      </c>
      <c r="K100" s="112">
        <v>0</v>
      </c>
      <c r="L100" s="3">
        <f t="shared" si="29"/>
        <v>210000</v>
      </c>
    </row>
    <row r="101" spans="1:12" x14ac:dyDescent="0.25">
      <c r="A101" s="258"/>
      <c r="B101" s="268"/>
      <c r="C101" s="2" t="s">
        <v>35</v>
      </c>
      <c r="D101" s="3">
        <v>110000</v>
      </c>
      <c r="E101" s="3">
        <v>110000</v>
      </c>
      <c r="F101" s="3"/>
      <c r="G101" s="3"/>
      <c r="H101" s="3"/>
      <c r="I101" s="3"/>
      <c r="J101" s="20">
        <f t="shared" si="28"/>
        <v>110000</v>
      </c>
      <c r="K101" s="112">
        <v>0</v>
      </c>
      <c r="L101" s="3">
        <f t="shared" si="29"/>
        <v>110000</v>
      </c>
    </row>
    <row r="102" spans="1:12" x14ac:dyDescent="0.25">
      <c r="A102" s="258"/>
      <c r="B102" s="268"/>
      <c r="C102" s="2" t="s">
        <v>36</v>
      </c>
      <c r="D102" s="3">
        <v>500000</v>
      </c>
      <c r="E102" s="3">
        <v>500000</v>
      </c>
      <c r="F102" s="3">
        <v>-900</v>
      </c>
      <c r="G102" s="3"/>
      <c r="H102" s="3"/>
      <c r="I102" s="3"/>
      <c r="J102" s="20">
        <f t="shared" si="28"/>
        <v>499100</v>
      </c>
      <c r="K102" s="112">
        <v>338922</v>
      </c>
      <c r="L102" s="3">
        <f t="shared" si="29"/>
        <v>160178</v>
      </c>
    </row>
    <row r="103" spans="1:12" x14ac:dyDescent="0.25">
      <c r="A103" s="258"/>
      <c r="B103" s="268"/>
      <c r="C103" s="2" t="s">
        <v>38</v>
      </c>
      <c r="D103" s="3">
        <v>140000</v>
      </c>
      <c r="E103" s="3">
        <v>140000</v>
      </c>
      <c r="F103" s="3">
        <v>-4620</v>
      </c>
      <c r="G103" s="3"/>
      <c r="H103" s="3"/>
      <c r="I103" s="3"/>
      <c r="J103" s="20">
        <f t="shared" si="28"/>
        <v>135380</v>
      </c>
      <c r="K103" s="112">
        <v>0</v>
      </c>
      <c r="L103" s="3">
        <f t="shared" si="29"/>
        <v>135380</v>
      </c>
    </row>
    <row r="104" spans="1:12" x14ac:dyDescent="0.25">
      <c r="A104" s="258"/>
      <c r="B104" s="268"/>
      <c r="C104" s="2" t="s">
        <v>40</v>
      </c>
      <c r="D104" s="3">
        <v>16800</v>
      </c>
      <c r="E104" s="3">
        <v>16800</v>
      </c>
      <c r="F104" s="3">
        <v>3400</v>
      </c>
      <c r="G104" s="3"/>
      <c r="H104" s="3"/>
      <c r="I104" s="3"/>
      <c r="J104" s="20">
        <f t="shared" si="28"/>
        <v>20200</v>
      </c>
      <c r="K104" s="112">
        <v>6800</v>
      </c>
      <c r="L104" s="3">
        <f t="shared" si="29"/>
        <v>13400</v>
      </c>
    </row>
    <row r="105" spans="1:12" x14ac:dyDescent="0.25">
      <c r="A105" s="258"/>
      <c r="B105" s="268"/>
      <c r="C105" s="2" t="s">
        <v>41</v>
      </c>
      <c r="D105" s="3">
        <v>80000</v>
      </c>
      <c r="E105" s="3">
        <v>85160</v>
      </c>
      <c r="F105" s="3">
        <f>900-3400+3400+1220</f>
        <v>2120</v>
      </c>
      <c r="G105" s="3"/>
      <c r="H105" s="3"/>
      <c r="I105" s="3"/>
      <c r="J105" s="20">
        <f t="shared" si="28"/>
        <v>87280</v>
      </c>
      <c r="K105" s="112">
        <v>86060</v>
      </c>
      <c r="L105" s="60">
        <f t="shared" si="29"/>
        <v>1220</v>
      </c>
    </row>
    <row r="106" spans="1:12" x14ac:dyDescent="0.25">
      <c r="A106" s="258"/>
      <c r="B106" s="268"/>
      <c r="C106" s="2" t="s">
        <v>42</v>
      </c>
      <c r="D106" s="3">
        <v>240000</v>
      </c>
      <c r="E106" s="3">
        <v>240000</v>
      </c>
      <c r="F106" s="3"/>
      <c r="G106" s="3"/>
      <c r="H106" s="3"/>
      <c r="I106" s="3"/>
      <c r="J106" s="20">
        <f t="shared" si="28"/>
        <v>240000</v>
      </c>
      <c r="K106" s="112">
        <v>113680</v>
      </c>
      <c r="L106" s="3">
        <f t="shared" si="29"/>
        <v>126320</v>
      </c>
    </row>
    <row r="107" spans="1:12" x14ac:dyDescent="0.25">
      <c r="A107" s="258"/>
      <c r="B107" s="268"/>
      <c r="C107" s="2" t="s">
        <v>44</v>
      </c>
      <c r="D107" s="3">
        <v>200600</v>
      </c>
      <c r="E107" s="3">
        <v>195440</v>
      </c>
      <c r="F107" s="3"/>
      <c r="G107" s="3"/>
      <c r="H107" s="3"/>
      <c r="I107" s="3"/>
      <c r="J107" s="20">
        <f t="shared" si="28"/>
        <v>195440</v>
      </c>
      <c r="K107" s="112">
        <v>27491</v>
      </c>
      <c r="L107" s="3">
        <f t="shared" si="29"/>
        <v>167949</v>
      </c>
    </row>
    <row r="108" spans="1:12" x14ac:dyDescent="0.25">
      <c r="A108" s="258"/>
      <c r="B108" s="268"/>
      <c r="C108" s="6" t="s">
        <v>49</v>
      </c>
      <c r="D108" s="7">
        <f>SUM(D98:D107)</f>
        <v>1697400</v>
      </c>
      <c r="E108" s="7">
        <v>1697400</v>
      </c>
      <c r="F108" s="7">
        <f t="shared" ref="F108:L108" si="30">SUM(F98:F107)</f>
        <v>0</v>
      </c>
      <c r="G108" s="7">
        <f t="shared" si="30"/>
        <v>0</v>
      </c>
      <c r="H108" s="7">
        <f t="shared" si="30"/>
        <v>0</v>
      </c>
      <c r="I108" s="7">
        <f t="shared" si="30"/>
        <v>0</v>
      </c>
      <c r="J108" s="7">
        <f t="shared" si="30"/>
        <v>1697400</v>
      </c>
      <c r="K108" s="114">
        <f t="shared" si="30"/>
        <v>572953</v>
      </c>
      <c r="L108" s="7">
        <f t="shared" si="30"/>
        <v>1124447</v>
      </c>
    </row>
    <row r="109" spans="1:12" x14ac:dyDescent="0.25">
      <c r="A109" s="255" t="s">
        <v>62</v>
      </c>
      <c r="B109" s="252" t="s">
        <v>23</v>
      </c>
      <c r="C109" s="15" t="s">
        <v>29</v>
      </c>
      <c r="D109" s="24">
        <v>111600</v>
      </c>
      <c r="E109" s="24">
        <v>111600</v>
      </c>
      <c r="F109" s="11"/>
      <c r="G109" s="11"/>
      <c r="H109" s="11"/>
      <c r="I109" s="11"/>
      <c r="J109" s="20">
        <f t="shared" ref="J109:J112" si="31">E109+F109+G109+H109+I109</f>
        <v>111600</v>
      </c>
      <c r="K109" s="112">
        <v>46400</v>
      </c>
      <c r="L109" s="3">
        <f t="shared" ref="L109:L112" si="32">J109-K109</f>
        <v>65200</v>
      </c>
    </row>
    <row r="110" spans="1:12" x14ac:dyDescent="0.25">
      <c r="A110" s="257"/>
      <c r="B110" s="254"/>
      <c r="C110" s="15" t="s">
        <v>31</v>
      </c>
      <c r="D110" s="24">
        <v>20739</v>
      </c>
      <c r="E110" s="24">
        <v>20739</v>
      </c>
      <c r="F110" s="11"/>
      <c r="G110" s="11"/>
      <c r="H110" s="11"/>
      <c r="I110" s="11"/>
      <c r="J110" s="20">
        <f t="shared" si="31"/>
        <v>20739</v>
      </c>
      <c r="K110" s="112">
        <v>8939</v>
      </c>
      <c r="L110" s="3">
        <f t="shared" si="32"/>
        <v>11800</v>
      </c>
    </row>
    <row r="111" spans="1:12" x14ac:dyDescent="0.25">
      <c r="A111" s="255" t="s">
        <v>63</v>
      </c>
      <c r="B111" s="252" t="s">
        <v>23</v>
      </c>
      <c r="C111" s="15" t="s">
        <v>24</v>
      </c>
      <c r="D111" s="24">
        <v>1460272</v>
      </c>
      <c r="E111" s="24">
        <v>1460272</v>
      </c>
      <c r="F111" s="11"/>
      <c r="G111" s="11"/>
      <c r="H111" s="11"/>
      <c r="I111" s="11"/>
      <c r="J111" s="20">
        <f t="shared" si="31"/>
        <v>1460272</v>
      </c>
      <c r="K111" s="112">
        <v>1000842</v>
      </c>
      <c r="L111" s="3">
        <f t="shared" si="32"/>
        <v>459430</v>
      </c>
    </row>
    <row r="112" spans="1:12" x14ac:dyDescent="0.25">
      <c r="A112" s="257"/>
      <c r="B112" s="254"/>
      <c r="C112" s="15" t="s">
        <v>31</v>
      </c>
      <c r="D112" s="24">
        <v>272168</v>
      </c>
      <c r="E112" s="24">
        <v>272168</v>
      </c>
      <c r="F112" s="11"/>
      <c r="G112" s="11"/>
      <c r="H112" s="11"/>
      <c r="I112" s="11"/>
      <c r="J112" s="20">
        <f t="shared" si="31"/>
        <v>272168</v>
      </c>
      <c r="K112" s="112">
        <v>192647</v>
      </c>
      <c r="L112" s="3">
        <f t="shared" si="32"/>
        <v>79521</v>
      </c>
    </row>
    <row r="113" spans="1:12" x14ac:dyDescent="0.25">
      <c r="A113" s="353" t="s">
        <v>77</v>
      </c>
      <c r="B113" s="354"/>
      <c r="C113" s="355"/>
      <c r="D113" s="126">
        <f>SUM(D96+D97+D108+D109+D110+D111+D112)</f>
        <v>9916318</v>
      </c>
      <c r="E113" s="126">
        <v>9916318</v>
      </c>
      <c r="F113" s="126">
        <f t="shared" ref="F113:L113" si="33">SUM(F96+F97+F108+F109+F110+F111+F112)</f>
        <v>0</v>
      </c>
      <c r="G113" s="126">
        <f t="shared" si="33"/>
        <v>0</v>
      </c>
      <c r="H113" s="126">
        <f t="shared" si="33"/>
        <v>0</v>
      </c>
      <c r="I113" s="126">
        <f t="shared" si="33"/>
        <v>0</v>
      </c>
      <c r="J113" s="126">
        <f t="shared" si="33"/>
        <v>9916318</v>
      </c>
      <c r="K113" s="128">
        <f t="shared" si="33"/>
        <v>5745224</v>
      </c>
      <c r="L113" s="126">
        <f t="shared" si="33"/>
        <v>4171094</v>
      </c>
    </row>
    <row r="114" spans="1:12" x14ac:dyDescent="0.25">
      <c r="A114" s="258" t="s">
        <v>13</v>
      </c>
      <c r="B114" s="268" t="s">
        <v>23</v>
      </c>
      <c r="C114" s="2" t="s">
        <v>24</v>
      </c>
      <c r="D114" s="3">
        <v>4871210</v>
      </c>
      <c r="E114" s="3">
        <v>4856627</v>
      </c>
      <c r="F114" s="3"/>
      <c r="G114" s="3"/>
      <c r="H114" s="3"/>
      <c r="I114" s="3"/>
      <c r="J114" s="20">
        <f t="shared" ref="J114:J119" si="34">E114+F114+G114+H114+I114</f>
        <v>4856627</v>
      </c>
      <c r="K114" s="112">
        <v>3132900</v>
      </c>
      <c r="L114" s="3">
        <f t="shared" ref="L114:L119" si="35">J114-K114</f>
        <v>1723727</v>
      </c>
    </row>
    <row r="115" spans="1:12" x14ac:dyDescent="0.25">
      <c r="A115" s="258"/>
      <c r="B115" s="268"/>
      <c r="C115" s="2" t="s">
        <v>25</v>
      </c>
      <c r="D115" s="3">
        <v>200000</v>
      </c>
      <c r="E115" s="3">
        <v>200000</v>
      </c>
      <c r="F115" s="3"/>
      <c r="G115" s="3"/>
      <c r="H115" s="3"/>
      <c r="I115" s="3"/>
      <c r="J115" s="20">
        <f t="shared" si="34"/>
        <v>200000</v>
      </c>
      <c r="K115" s="112">
        <v>100000</v>
      </c>
      <c r="L115" s="3">
        <f t="shared" si="35"/>
        <v>100000</v>
      </c>
    </row>
    <row r="116" spans="1:12" x14ac:dyDescent="0.25">
      <c r="A116" s="258"/>
      <c r="B116" s="268"/>
      <c r="C116" s="2" t="s">
        <v>26</v>
      </c>
      <c r="D116" s="3">
        <v>10000</v>
      </c>
      <c r="E116" s="3">
        <v>10000</v>
      </c>
      <c r="F116" s="3"/>
      <c r="G116" s="3"/>
      <c r="H116" s="3"/>
      <c r="I116" s="3"/>
      <c r="J116" s="20">
        <f t="shared" si="34"/>
        <v>10000</v>
      </c>
      <c r="K116" s="112">
        <v>0</v>
      </c>
      <c r="L116" s="3">
        <f t="shared" si="35"/>
        <v>10000</v>
      </c>
    </row>
    <row r="117" spans="1:12" x14ac:dyDescent="0.25">
      <c r="A117" s="258"/>
      <c r="B117" s="268"/>
      <c r="C117" s="2" t="s">
        <v>28</v>
      </c>
      <c r="D117" s="3">
        <v>24000</v>
      </c>
      <c r="E117" s="3">
        <v>24000</v>
      </c>
      <c r="F117" s="3"/>
      <c r="G117" s="3"/>
      <c r="H117" s="3"/>
      <c r="I117" s="3"/>
      <c r="J117" s="20">
        <f t="shared" si="34"/>
        <v>24000</v>
      </c>
      <c r="K117" s="112">
        <v>12000</v>
      </c>
      <c r="L117" s="3">
        <f t="shared" si="35"/>
        <v>12000</v>
      </c>
    </row>
    <row r="118" spans="1:12" x14ac:dyDescent="0.25">
      <c r="A118" s="258"/>
      <c r="B118" s="268"/>
      <c r="C118" s="2" t="s">
        <v>29</v>
      </c>
      <c r="D118" s="3">
        <v>75000</v>
      </c>
      <c r="E118" s="3">
        <v>103601</v>
      </c>
      <c r="F118" s="3"/>
      <c r="G118" s="3"/>
      <c r="H118" s="3"/>
      <c r="I118" s="3"/>
      <c r="J118" s="20">
        <f t="shared" si="34"/>
        <v>103601</v>
      </c>
      <c r="K118" s="112">
        <v>28601</v>
      </c>
      <c r="L118" s="3">
        <f t="shared" si="35"/>
        <v>75000</v>
      </c>
    </row>
    <row r="119" spans="1:12" x14ac:dyDescent="0.25">
      <c r="A119" s="258"/>
      <c r="B119" s="268"/>
      <c r="C119" s="2" t="s">
        <v>30</v>
      </c>
      <c r="D119" s="3">
        <v>0</v>
      </c>
      <c r="E119" s="3">
        <v>0</v>
      </c>
      <c r="F119" s="3"/>
      <c r="G119" s="3"/>
      <c r="H119" s="3"/>
      <c r="I119" s="3"/>
      <c r="J119" s="20">
        <f t="shared" si="34"/>
        <v>0</v>
      </c>
      <c r="K119" s="112">
        <v>0</v>
      </c>
      <c r="L119" s="3">
        <f t="shared" si="35"/>
        <v>0</v>
      </c>
    </row>
    <row r="120" spans="1:12" x14ac:dyDescent="0.25">
      <c r="A120" s="258"/>
      <c r="B120" s="268"/>
      <c r="C120" s="6" t="s">
        <v>53</v>
      </c>
      <c r="D120" s="7">
        <f>SUM(D114:D119)</f>
        <v>5180210</v>
      </c>
      <c r="E120" s="7">
        <v>5194228</v>
      </c>
      <c r="F120" s="7">
        <f t="shared" ref="F120:L120" si="36">SUM(F114:F119)</f>
        <v>0</v>
      </c>
      <c r="G120" s="7">
        <f t="shared" si="36"/>
        <v>0</v>
      </c>
      <c r="H120" s="7">
        <f t="shared" si="36"/>
        <v>0</v>
      </c>
      <c r="I120" s="7">
        <f t="shared" si="36"/>
        <v>0</v>
      </c>
      <c r="J120" s="7">
        <f t="shared" si="36"/>
        <v>5194228</v>
      </c>
      <c r="K120" s="114">
        <f t="shared" si="36"/>
        <v>3273501</v>
      </c>
      <c r="L120" s="7">
        <f t="shared" si="36"/>
        <v>1920727</v>
      </c>
    </row>
    <row r="121" spans="1:12" x14ac:dyDescent="0.25">
      <c r="A121" s="258"/>
      <c r="B121" s="268"/>
      <c r="C121" s="86" t="s">
        <v>31</v>
      </c>
      <c r="D121" s="87">
        <v>1046402</v>
      </c>
      <c r="E121" s="87">
        <v>1049135</v>
      </c>
      <c r="F121" s="87"/>
      <c r="G121" s="87"/>
      <c r="H121" s="87"/>
      <c r="I121" s="87"/>
      <c r="J121" s="88">
        <f t="shared" ref="J121:J129" si="37">E121+F121+G121+H121+I121</f>
        <v>1049135</v>
      </c>
      <c r="K121" s="115">
        <v>685261</v>
      </c>
      <c r="L121" s="89">
        <f t="shared" ref="L121:L129" si="38">J121-K121</f>
        <v>363874</v>
      </c>
    </row>
    <row r="122" spans="1:12" x14ac:dyDescent="0.25">
      <c r="A122" s="258"/>
      <c r="B122" s="268"/>
      <c r="C122" s="2" t="s">
        <v>32</v>
      </c>
      <c r="D122" s="3">
        <v>50000</v>
      </c>
      <c r="E122" s="3">
        <v>50000</v>
      </c>
      <c r="F122" s="3"/>
      <c r="G122" s="3"/>
      <c r="H122" s="3"/>
      <c r="I122" s="3"/>
      <c r="J122" s="20">
        <f t="shared" si="37"/>
        <v>50000</v>
      </c>
      <c r="K122" s="112">
        <v>0</v>
      </c>
      <c r="L122" s="3">
        <f t="shared" si="38"/>
        <v>50000</v>
      </c>
    </row>
    <row r="123" spans="1:12" x14ac:dyDescent="0.25">
      <c r="A123" s="258"/>
      <c r="B123" s="268"/>
      <c r="C123" s="2" t="s">
        <v>33</v>
      </c>
      <c r="D123" s="3">
        <v>100000</v>
      </c>
      <c r="E123" s="3">
        <v>100000</v>
      </c>
      <c r="F123" s="3"/>
      <c r="G123" s="3"/>
      <c r="H123" s="3"/>
      <c r="I123" s="3"/>
      <c r="J123" s="20">
        <f t="shared" si="37"/>
        <v>100000</v>
      </c>
      <c r="K123" s="112">
        <v>0</v>
      </c>
      <c r="L123" s="3">
        <f t="shared" si="38"/>
        <v>100000</v>
      </c>
    </row>
    <row r="124" spans="1:12" x14ac:dyDescent="0.25">
      <c r="A124" s="258"/>
      <c r="B124" s="268"/>
      <c r="C124" s="2" t="s">
        <v>34</v>
      </c>
      <c r="D124" s="3">
        <v>150000</v>
      </c>
      <c r="E124" s="3">
        <v>116000</v>
      </c>
      <c r="F124" s="3"/>
      <c r="G124" s="3"/>
      <c r="H124" s="3"/>
      <c r="I124" s="3"/>
      <c r="J124" s="20">
        <f t="shared" si="37"/>
        <v>116000</v>
      </c>
      <c r="K124" s="112">
        <v>0</v>
      </c>
      <c r="L124" s="3">
        <f t="shared" si="38"/>
        <v>116000</v>
      </c>
    </row>
    <row r="125" spans="1:12" x14ac:dyDescent="0.25">
      <c r="A125" s="258"/>
      <c r="B125" s="268"/>
      <c r="C125" s="2" t="s">
        <v>38</v>
      </c>
      <c r="D125" s="3">
        <v>50000</v>
      </c>
      <c r="E125" s="3">
        <v>50000</v>
      </c>
      <c r="F125" s="3">
        <v>-3400</v>
      </c>
      <c r="G125" s="3"/>
      <c r="H125" s="3"/>
      <c r="I125" s="3"/>
      <c r="J125" s="20">
        <f t="shared" si="37"/>
        <v>46600</v>
      </c>
      <c r="K125" s="112">
        <v>0</v>
      </c>
      <c r="L125" s="3">
        <f t="shared" si="38"/>
        <v>46600</v>
      </c>
    </row>
    <row r="126" spans="1:12" x14ac:dyDescent="0.25">
      <c r="A126" s="258"/>
      <c r="B126" s="268"/>
      <c r="C126" s="2" t="s">
        <v>40</v>
      </c>
      <c r="D126" s="3">
        <v>16800</v>
      </c>
      <c r="E126" s="3">
        <v>16800</v>
      </c>
      <c r="F126" s="3">
        <v>3400</v>
      </c>
      <c r="G126" s="3"/>
      <c r="H126" s="3"/>
      <c r="I126" s="3"/>
      <c r="J126" s="20">
        <f t="shared" si="37"/>
        <v>20200</v>
      </c>
      <c r="K126" s="112">
        <v>6800</v>
      </c>
      <c r="L126" s="3">
        <f t="shared" si="38"/>
        <v>13400</v>
      </c>
    </row>
    <row r="127" spans="1:12" x14ac:dyDescent="0.25">
      <c r="A127" s="258"/>
      <c r="B127" s="268"/>
      <c r="C127" s="2" t="s">
        <v>41</v>
      </c>
      <c r="D127" s="3">
        <v>0</v>
      </c>
      <c r="E127" s="3">
        <v>40280</v>
      </c>
      <c r="F127" s="3"/>
      <c r="G127" s="3"/>
      <c r="H127" s="3"/>
      <c r="I127" s="3"/>
      <c r="J127" s="20">
        <f t="shared" si="37"/>
        <v>40280</v>
      </c>
      <c r="K127" s="112">
        <v>39060</v>
      </c>
      <c r="L127" s="3">
        <f t="shared" si="38"/>
        <v>1220</v>
      </c>
    </row>
    <row r="128" spans="1:12" x14ac:dyDescent="0.25">
      <c r="A128" s="258"/>
      <c r="B128" s="268"/>
      <c r="C128" s="2" t="s">
        <v>42</v>
      </c>
      <c r="D128" s="3">
        <v>240000</v>
      </c>
      <c r="E128" s="3">
        <v>233720</v>
      </c>
      <c r="F128" s="3"/>
      <c r="G128" s="3"/>
      <c r="H128" s="3"/>
      <c r="I128" s="3"/>
      <c r="J128" s="20">
        <f t="shared" si="37"/>
        <v>233720</v>
      </c>
      <c r="K128" s="112">
        <v>98375</v>
      </c>
      <c r="L128" s="3">
        <f t="shared" si="38"/>
        <v>135345</v>
      </c>
    </row>
    <row r="129" spans="1:12" x14ac:dyDescent="0.25">
      <c r="A129" s="258"/>
      <c r="B129" s="268"/>
      <c r="C129" s="2" t="s">
        <v>44</v>
      </c>
      <c r="D129" s="3">
        <v>94500</v>
      </c>
      <c r="E129" s="3">
        <v>94500</v>
      </c>
      <c r="F129" s="3"/>
      <c r="G129" s="3"/>
      <c r="H129" s="3"/>
      <c r="I129" s="3"/>
      <c r="J129" s="20">
        <f t="shared" si="37"/>
        <v>94500</v>
      </c>
      <c r="K129" s="112">
        <v>10545</v>
      </c>
      <c r="L129" s="3">
        <f t="shared" si="38"/>
        <v>83955</v>
      </c>
    </row>
    <row r="130" spans="1:12" x14ac:dyDescent="0.25">
      <c r="A130" s="258"/>
      <c r="B130" s="268"/>
      <c r="C130" s="6" t="s">
        <v>49</v>
      </c>
      <c r="D130" s="7">
        <f>SUM(D122:D129)</f>
        <v>701300</v>
      </c>
      <c r="E130" s="7">
        <v>701300</v>
      </c>
      <c r="F130" s="7">
        <f t="shared" ref="F130:L130" si="39">SUM(F122:F129)</f>
        <v>0</v>
      </c>
      <c r="G130" s="7">
        <f t="shared" si="39"/>
        <v>0</v>
      </c>
      <c r="H130" s="7">
        <f t="shared" si="39"/>
        <v>0</v>
      </c>
      <c r="I130" s="7">
        <f t="shared" si="39"/>
        <v>0</v>
      </c>
      <c r="J130" s="7">
        <f t="shared" si="39"/>
        <v>701300</v>
      </c>
      <c r="K130" s="114">
        <f t="shared" si="39"/>
        <v>154780</v>
      </c>
      <c r="L130" s="7">
        <f t="shared" si="39"/>
        <v>546520</v>
      </c>
    </row>
    <row r="131" spans="1:12" x14ac:dyDescent="0.25">
      <c r="A131" s="255" t="s">
        <v>64</v>
      </c>
      <c r="B131" s="252" t="s">
        <v>23</v>
      </c>
      <c r="C131" s="15" t="s">
        <v>29</v>
      </c>
      <c r="D131" s="24">
        <v>39600</v>
      </c>
      <c r="E131" s="24">
        <v>39600</v>
      </c>
      <c r="F131" s="11"/>
      <c r="G131" s="11"/>
      <c r="H131" s="11"/>
      <c r="I131" s="11"/>
      <c r="J131" s="20">
        <f t="shared" ref="J131:J134" si="40">E131+F131+G131+H131+I131</f>
        <v>39600</v>
      </c>
      <c r="K131" s="112">
        <v>26400</v>
      </c>
      <c r="L131" s="3">
        <f t="shared" ref="L131:L134" si="41">J131-K131</f>
        <v>13200</v>
      </c>
    </row>
    <row r="132" spans="1:12" x14ac:dyDescent="0.25">
      <c r="A132" s="257"/>
      <c r="B132" s="254"/>
      <c r="C132" s="15" t="s">
        <v>31</v>
      </c>
      <c r="D132" s="24">
        <v>7359</v>
      </c>
      <c r="E132" s="24">
        <v>7359</v>
      </c>
      <c r="F132" s="11"/>
      <c r="G132" s="11"/>
      <c r="H132" s="11"/>
      <c r="I132" s="11"/>
      <c r="J132" s="20">
        <f t="shared" si="40"/>
        <v>7359</v>
      </c>
      <c r="K132" s="112">
        <v>5083</v>
      </c>
      <c r="L132" s="3">
        <f t="shared" si="41"/>
        <v>2276</v>
      </c>
    </row>
    <row r="133" spans="1:12" x14ac:dyDescent="0.25">
      <c r="A133" s="255" t="s">
        <v>65</v>
      </c>
      <c r="B133" s="252" t="s">
        <v>23</v>
      </c>
      <c r="C133" s="15" t="s">
        <v>24</v>
      </c>
      <c r="D133" s="24">
        <v>1357158</v>
      </c>
      <c r="E133" s="24">
        <v>1357158</v>
      </c>
      <c r="F133" s="11"/>
      <c r="G133" s="11"/>
      <c r="H133" s="11"/>
      <c r="I133" s="11"/>
      <c r="J133" s="20">
        <f t="shared" si="40"/>
        <v>1357158</v>
      </c>
      <c r="K133" s="112">
        <v>905488</v>
      </c>
      <c r="L133" s="3">
        <f t="shared" si="41"/>
        <v>451670</v>
      </c>
    </row>
    <row r="134" spans="1:12" x14ac:dyDescent="0.25">
      <c r="A134" s="257"/>
      <c r="B134" s="254"/>
      <c r="C134" s="15" t="s">
        <v>31</v>
      </c>
      <c r="D134" s="24">
        <v>253327</v>
      </c>
      <c r="E134" s="24">
        <v>253327</v>
      </c>
      <c r="F134" s="11"/>
      <c r="G134" s="11"/>
      <c r="H134" s="11"/>
      <c r="I134" s="11"/>
      <c r="J134" s="20">
        <f t="shared" si="40"/>
        <v>253327</v>
      </c>
      <c r="K134" s="112">
        <v>174303</v>
      </c>
      <c r="L134" s="3">
        <f t="shared" si="41"/>
        <v>79024</v>
      </c>
    </row>
    <row r="135" spans="1:12" x14ac:dyDescent="0.25">
      <c r="A135" s="353" t="s">
        <v>78</v>
      </c>
      <c r="B135" s="354"/>
      <c r="C135" s="355"/>
      <c r="D135" s="126">
        <f>SUM(D120+D121+D130+D131+D132+D133+D134)</f>
        <v>8585356</v>
      </c>
      <c r="E135" s="126">
        <v>8602107</v>
      </c>
      <c r="F135" s="126">
        <f t="shared" ref="F135:L135" si="42">SUM(F120+F121+F130+F131+F132+F133+F134)</f>
        <v>0</v>
      </c>
      <c r="G135" s="126">
        <f t="shared" si="42"/>
        <v>0</v>
      </c>
      <c r="H135" s="126">
        <f t="shared" si="42"/>
        <v>0</v>
      </c>
      <c r="I135" s="126">
        <f t="shared" si="42"/>
        <v>0</v>
      </c>
      <c r="J135" s="126">
        <f t="shared" si="42"/>
        <v>8602107</v>
      </c>
      <c r="K135" s="128">
        <f t="shared" si="42"/>
        <v>5224816</v>
      </c>
      <c r="L135" s="126">
        <f t="shared" si="42"/>
        <v>3377291</v>
      </c>
    </row>
    <row r="136" spans="1:12" x14ac:dyDescent="0.25">
      <c r="A136" s="258" t="s">
        <v>14</v>
      </c>
      <c r="B136" s="268" t="s">
        <v>23</v>
      </c>
      <c r="C136" s="2" t="s">
        <v>24</v>
      </c>
      <c r="D136" s="3">
        <v>4756797</v>
      </c>
      <c r="E136" s="3">
        <v>4668070</v>
      </c>
      <c r="F136" s="3"/>
      <c r="G136" s="3"/>
      <c r="H136" s="3"/>
      <c r="I136" s="3"/>
      <c r="J136" s="20">
        <f t="shared" ref="J136:J142" si="43">E136+F136+G136+H136+I136</f>
        <v>4668070</v>
      </c>
      <c r="K136" s="112">
        <v>2971577</v>
      </c>
      <c r="L136" s="3">
        <f t="shared" ref="L136:L142" si="44">J136-K136</f>
        <v>1696493</v>
      </c>
    </row>
    <row r="137" spans="1:12" x14ac:dyDescent="0.25">
      <c r="A137" s="258"/>
      <c r="B137" s="268"/>
      <c r="C137" s="2" t="s">
        <v>25</v>
      </c>
      <c r="D137" s="3">
        <v>200000</v>
      </c>
      <c r="E137" s="3">
        <v>200000</v>
      </c>
      <c r="F137" s="3"/>
      <c r="G137" s="3"/>
      <c r="H137" s="3"/>
      <c r="I137" s="3"/>
      <c r="J137" s="20">
        <f t="shared" si="43"/>
        <v>200000</v>
      </c>
      <c r="K137" s="112">
        <v>100000</v>
      </c>
      <c r="L137" s="3">
        <f t="shared" si="44"/>
        <v>100000</v>
      </c>
    </row>
    <row r="138" spans="1:12" x14ac:dyDescent="0.25">
      <c r="A138" s="258"/>
      <c r="B138" s="268"/>
      <c r="C138" s="2" t="s">
        <v>26</v>
      </c>
      <c r="D138" s="3">
        <v>10000</v>
      </c>
      <c r="E138" s="3">
        <v>10000</v>
      </c>
      <c r="F138" s="3"/>
      <c r="G138" s="3"/>
      <c r="H138" s="3"/>
      <c r="I138" s="3"/>
      <c r="J138" s="20">
        <f t="shared" si="43"/>
        <v>10000</v>
      </c>
      <c r="K138" s="112">
        <v>0</v>
      </c>
      <c r="L138" s="3">
        <f t="shared" si="44"/>
        <v>10000</v>
      </c>
    </row>
    <row r="139" spans="1:12" x14ac:dyDescent="0.25">
      <c r="A139" s="258"/>
      <c r="B139" s="268"/>
      <c r="C139" s="2" t="s">
        <v>27</v>
      </c>
      <c r="D139" s="3">
        <v>255000</v>
      </c>
      <c r="E139" s="3">
        <v>255000</v>
      </c>
      <c r="F139" s="3"/>
      <c r="G139" s="3"/>
      <c r="H139" s="3"/>
      <c r="I139" s="3"/>
      <c r="J139" s="20">
        <f t="shared" si="43"/>
        <v>255000</v>
      </c>
      <c r="K139" s="112">
        <v>128878</v>
      </c>
      <c r="L139" s="3">
        <f t="shared" si="44"/>
        <v>126122</v>
      </c>
    </row>
    <row r="140" spans="1:12" x14ac:dyDescent="0.25">
      <c r="A140" s="258"/>
      <c r="B140" s="268"/>
      <c r="C140" s="2" t="s">
        <v>28</v>
      </c>
      <c r="D140" s="3">
        <v>24000</v>
      </c>
      <c r="E140" s="3">
        <v>24000</v>
      </c>
      <c r="F140" s="3"/>
      <c r="G140" s="3"/>
      <c r="H140" s="3"/>
      <c r="I140" s="3"/>
      <c r="J140" s="20">
        <f t="shared" si="43"/>
        <v>24000</v>
      </c>
      <c r="K140" s="112">
        <v>12000</v>
      </c>
      <c r="L140" s="3">
        <f t="shared" si="44"/>
        <v>12000</v>
      </c>
    </row>
    <row r="141" spans="1:12" x14ac:dyDescent="0.25">
      <c r="A141" s="258"/>
      <c r="B141" s="268"/>
      <c r="C141" s="2" t="s">
        <v>29</v>
      </c>
      <c r="D141" s="3">
        <v>0</v>
      </c>
      <c r="E141" s="3">
        <v>98307</v>
      </c>
      <c r="F141" s="3"/>
      <c r="G141" s="3"/>
      <c r="H141" s="3"/>
      <c r="I141" s="3"/>
      <c r="J141" s="20">
        <f t="shared" si="43"/>
        <v>98307</v>
      </c>
      <c r="K141" s="112">
        <v>98307</v>
      </c>
      <c r="L141" s="3">
        <f t="shared" si="44"/>
        <v>0</v>
      </c>
    </row>
    <row r="142" spans="1:12" x14ac:dyDescent="0.25">
      <c r="A142" s="258"/>
      <c r="B142" s="268"/>
      <c r="C142" s="2" t="s">
        <v>30</v>
      </c>
      <c r="D142" s="3">
        <v>0</v>
      </c>
      <c r="E142" s="3">
        <v>0</v>
      </c>
      <c r="F142" s="3"/>
      <c r="G142" s="3"/>
      <c r="H142" s="3"/>
      <c r="I142" s="3"/>
      <c r="J142" s="20">
        <f t="shared" si="43"/>
        <v>0</v>
      </c>
      <c r="K142" s="112">
        <v>0</v>
      </c>
      <c r="L142" s="3">
        <f t="shared" si="44"/>
        <v>0</v>
      </c>
    </row>
    <row r="143" spans="1:12" x14ac:dyDescent="0.25">
      <c r="A143" s="258"/>
      <c r="B143" s="268"/>
      <c r="C143" s="6" t="s">
        <v>53</v>
      </c>
      <c r="D143" s="7">
        <f>SUM(D136:D142)</f>
        <v>5245797</v>
      </c>
      <c r="E143" s="7">
        <v>5255377</v>
      </c>
      <c r="F143" s="7">
        <f t="shared" ref="F143:L143" si="45">SUM(F136:F142)</f>
        <v>0</v>
      </c>
      <c r="G143" s="7">
        <f t="shared" si="45"/>
        <v>0</v>
      </c>
      <c r="H143" s="7">
        <f t="shared" si="45"/>
        <v>0</v>
      </c>
      <c r="I143" s="7">
        <f t="shared" si="45"/>
        <v>0</v>
      </c>
      <c r="J143" s="7">
        <f t="shared" si="45"/>
        <v>5255377</v>
      </c>
      <c r="K143" s="114">
        <f t="shared" si="45"/>
        <v>3310762</v>
      </c>
      <c r="L143" s="7">
        <f t="shared" si="45"/>
        <v>1944615</v>
      </c>
    </row>
    <row r="144" spans="1:12" x14ac:dyDescent="0.25">
      <c r="A144" s="258"/>
      <c r="B144" s="268"/>
      <c r="C144" s="86" t="s">
        <v>31</v>
      </c>
      <c r="D144" s="87">
        <v>1025121</v>
      </c>
      <c r="E144" s="87">
        <v>1026989</v>
      </c>
      <c r="F144" s="87"/>
      <c r="G144" s="87"/>
      <c r="H144" s="87"/>
      <c r="I144" s="87"/>
      <c r="J144" s="88">
        <f t="shared" ref="J144:J152" si="46">E144+F144+G144+H144+I144</f>
        <v>1026989</v>
      </c>
      <c r="K144" s="115">
        <v>667534</v>
      </c>
      <c r="L144" s="89">
        <f t="shared" ref="L144:L152" si="47">J144-K144</f>
        <v>359455</v>
      </c>
    </row>
    <row r="145" spans="1:12" x14ac:dyDescent="0.25">
      <c r="A145" s="258"/>
      <c r="B145" s="268"/>
      <c r="C145" s="2" t="s">
        <v>32</v>
      </c>
      <c r="D145" s="3">
        <v>80000</v>
      </c>
      <c r="E145" s="3">
        <v>80000</v>
      </c>
      <c r="F145" s="3"/>
      <c r="G145" s="3"/>
      <c r="H145" s="3"/>
      <c r="I145" s="3"/>
      <c r="J145" s="20">
        <f t="shared" si="46"/>
        <v>80000</v>
      </c>
      <c r="K145" s="112">
        <v>0</v>
      </c>
      <c r="L145" s="3">
        <f t="shared" si="47"/>
        <v>80000</v>
      </c>
    </row>
    <row r="146" spans="1:12" x14ac:dyDescent="0.25">
      <c r="A146" s="258"/>
      <c r="B146" s="268"/>
      <c r="C146" s="2" t="s">
        <v>33</v>
      </c>
      <c r="D146" s="3">
        <v>110000</v>
      </c>
      <c r="E146" s="3">
        <v>110000</v>
      </c>
      <c r="F146" s="3">
        <v>-20000</v>
      </c>
      <c r="G146" s="3"/>
      <c r="H146" s="3"/>
      <c r="I146" s="3"/>
      <c r="J146" s="20">
        <f t="shared" si="46"/>
        <v>90000</v>
      </c>
      <c r="K146" s="112">
        <v>0</v>
      </c>
      <c r="L146" s="3">
        <f t="shared" si="47"/>
        <v>90000</v>
      </c>
    </row>
    <row r="147" spans="1:12" x14ac:dyDescent="0.25">
      <c r="A147" s="258"/>
      <c r="B147" s="268"/>
      <c r="C147" s="2" t="s">
        <v>34</v>
      </c>
      <c r="D147" s="3">
        <v>150000</v>
      </c>
      <c r="E147" s="3">
        <v>136000</v>
      </c>
      <c r="F147" s="3"/>
      <c r="G147" s="3"/>
      <c r="H147" s="3"/>
      <c r="I147" s="3"/>
      <c r="J147" s="20">
        <f t="shared" si="46"/>
        <v>136000</v>
      </c>
      <c r="K147" s="112">
        <v>0</v>
      </c>
      <c r="L147" s="3">
        <f t="shared" si="47"/>
        <v>136000</v>
      </c>
    </row>
    <row r="148" spans="1:12" x14ac:dyDescent="0.25">
      <c r="A148" s="258"/>
      <c r="B148" s="268"/>
      <c r="C148" s="2" t="s">
        <v>38</v>
      </c>
      <c r="D148" s="3">
        <v>144000</v>
      </c>
      <c r="E148" s="3">
        <v>144000</v>
      </c>
      <c r="F148" s="3">
        <v>-3400</v>
      </c>
      <c r="G148" s="3"/>
      <c r="H148" s="3"/>
      <c r="I148" s="3"/>
      <c r="J148" s="20">
        <f t="shared" si="46"/>
        <v>140600</v>
      </c>
      <c r="K148" s="112">
        <v>0</v>
      </c>
      <c r="L148" s="3">
        <f t="shared" si="47"/>
        <v>140600</v>
      </c>
    </row>
    <row r="149" spans="1:12" x14ac:dyDescent="0.25">
      <c r="A149" s="258"/>
      <c r="B149" s="268"/>
      <c r="C149" s="2" t="s">
        <v>40</v>
      </c>
      <c r="D149" s="3">
        <v>16800</v>
      </c>
      <c r="E149" s="3">
        <v>16800</v>
      </c>
      <c r="F149" s="3">
        <v>3400</v>
      </c>
      <c r="G149" s="3"/>
      <c r="H149" s="3"/>
      <c r="I149" s="3"/>
      <c r="J149" s="20">
        <f t="shared" si="46"/>
        <v>20200</v>
      </c>
      <c r="K149" s="112">
        <v>6800</v>
      </c>
      <c r="L149" s="3">
        <f t="shared" si="47"/>
        <v>13400</v>
      </c>
    </row>
    <row r="150" spans="1:12" x14ac:dyDescent="0.25">
      <c r="A150" s="258"/>
      <c r="B150" s="268"/>
      <c r="C150" s="2" t="s">
        <v>41</v>
      </c>
      <c r="D150" s="3">
        <v>40000</v>
      </c>
      <c r="E150" s="3">
        <v>60280</v>
      </c>
      <c r="F150" s="3">
        <v>20000</v>
      </c>
      <c r="G150" s="3"/>
      <c r="H150" s="3"/>
      <c r="I150" s="3"/>
      <c r="J150" s="20">
        <f t="shared" si="46"/>
        <v>80280</v>
      </c>
      <c r="K150" s="112">
        <v>79060</v>
      </c>
      <c r="L150" s="3">
        <f t="shared" si="47"/>
        <v>1220</v>
      </c>
    </row>
    <row r="151" spans="1:12" x14ac:dyDescent="0.25">
      <c r="A151" s="258"/>
      <c r="B151" s="268"/>
      <c r="C151" s="2" t="s">
        <v>42</v>
      </c>
      <c r="D151" s="3">
        <v>150000</v>
      </c>
      <c r="E151" s="3">
        <v>143720</v>
      </c>
      <c r="F151" s="3"/>
      <c r="G151" s="3"/>
      <c r="H151" s="3"/>
      <c r="I151" s="3"/>
      <c r="J151" s="20">
        <f t="shared" si="46"/>
        <v>143720</v>
      </c>
      <c r="K151" s="112">
        <v>69520</v>
      </c>
      <c r="L151" s="3">
        <f t="shared" si="47"/>
        <v>74200</v>
      </c>
    </row>
    <row r="152" spans="1:12" x14ac:dyDescent="0.25">
      <c r="A152" s="258"/>
      <c r="B152" s="268"/>
      <c r="C152" s="2" t="s">
        <v>44</v>
      </c>
      <c r="D152" s="3">
        <v>141480</v>
      </c>
      <c r="E152" s="3">
        <v>141480</v>
      </c>
      <c r="F152" s="3"/>
      <c r="G152" s="3"/>
      <c r="H152" s="3"/>
      <c r="I152" s="3"/>
      <c r="J152" s="20">
        <f t="shared" si="46"/>
        <v>141480</v>
      </c>
      <c r="K152" s="112">
        <v>10547</v>
      </c>
      <c r="L152" s="3">
        <f t="shared" si="47"/>
        <v>130933</v>
      </c>
    </row>
    <row r="153" spans="1:12" x14ac:dyDescent="0.25">
      <c r="A153" s="258"/>
      <c r="B153" s="268"/>
      <c r="C153" s="6" t="s">
        <v>49</v>
      </c>
      <c r="D153" s="7">
        <f>SUM(D145:D152)</f>
        <v>832280</v>
      </c>
      <c r="E153" s="7">
        <v>832280</v>
      </c>
      <c r="F153" s="7">
        <f t="shared" ref="F153:L153" si="48">SUM(F145:F152)</f>
        <v>0</v>
      </c>
      <c r="G153" s="7">
        <f t="shared" si="48"/>
        <v>0</v>
      </c>
      <c r="H153" s="7">
        <f t="shared" si="48"/>
        <v>0</v>
      </c>
      <c r="I153" s="7">
        <f t="shared" si="48"/>
        <v>0</v>
      </c>
      <c r="J153" s="7">
        <f t="shared" si="48"/>
        <v>832280</v>
      </c>
      <c r="K153" s="114">
        <f t="shared" si="48"/>
        <v>165927</v>
      </c>
      <c r="L153" s="7">
        <f t="shared" si="48"/>
        <v>666353</v>
      </c>
    </row>
    <row r="154" spans="1:12" x14ac:dyDescent="0.25">
      <c r="A154" s="255" t="s">
        <v>66</v>
      </c>
      <c r="B154" s="252" t="s">
        <v>23</v>
      </c>
      <c r="C154" s="15" t="s">
        <v>24</v>
      </c>
      <c r="D154" s="24">
        <v>832628</v>
      </c>
      <c r="E154" s="24">
        <v>832628</v>
      </c>
      <c r="F154" s="11"/>
      <c r="G154" s="11"/>
      <c r="H154" s="11"/>
      <c r="I154" s="11"/>
      <c r="J154" s="20">
        <f t="shared" ref="J154:J155" si="49">E154+F154+G154+H154+I154</f>
        <v>832628</v>
      </c>
      <c r="K154" s="112">
        <v>543973</v>
      </c>
      <c r="L154" s="3">
        <f t="shared" ref="L154:L155" si="50">J154-K154</f>
        <v>288655</v>
      </c>
    </row>
    <row r="155" spans="1:12" x14ac:dyDescent="0.25">
      <c r="A155" s="257"/>
      <c r="B155" s="254"/>
      <c r="C155" s="15" t="s">
        <v>31</v>
      </c>
      <c r="D155" s="24">
        <v>155410</v>
      </c>
      <c r="E155" s="24">
        <v>155410</v>
      </c>
      <c r="F155" s="11"/>
      <c r="G155" s="11"/>
      <c r="H155" s="11"/>
      <c r="I155" s="11"/>
      <c r="J155" s="20">
        <f t="shared" si="49"/>
        <v>155410</v>
      </c>
      <c r="K155" s="112">
        <v>104684</v>
      </c>
      <c r="L155" s="3">
        <f t="shared" si="50"/>
        <v>50726</v>
      </c>
    </row>
    <row r="156" spans="1:12" x14ac:dyDescent="0.25">
      <c r="A156" s="353" t="s">
        <v>79</v>
      </c>
      <c r="B156" s="354"/>
      <c r="C156" s="355"/>
      <c r="D156" s="126">
        <f>SUM(D143+D144+D153+D154+D155)</f>
        <v>8091236</v>
      </c>
      <c r="E156" s="126">
        <v>8102684</v>
      </c>
      <c r="F156" s="126">
        <f t="shared" ref="F156:L156" si="51">SUM(F143+F144+F153+F154+F155)</f>
        <v>0</v>
      </c>
      <c r="G156" s="126">
        <f t="shared" si="51"/>
        <v>0</v>
      </c>
      <c r="H156" s="126">
        <f t="shared" si="51"/>
        <v>0</v>
      </c>
      <c r="I156" s="126">
        <f t="shared" si="51"/>
        <v>0</v>
      </c>
      <c r="J156" s="126">
        <f t="shared" si="51"/>
        <v>8102684</v>
      </c>
      <c r="K156" s="128">
        <f t="shared" si="51"/>
        <v>4792880</v>
      </c>
      <c r="L156" s="126">
        <f t="shared" si="51"/>
        <v>3309804</v>
      </c>
    </row>
    <row r="157" spans="1:12" x14ac:dyDescent="0.25">
      <c r="A157" s="258" t="s">
        <v>55</v>
      </c>
      <c r="B157" s="268" t="s">
        <v>23</v>
      </c>
      <c r="C157" s="10" t="s">
        <v>24</v>
      </c>
      <c r="D157" s="24">
        <v>5055869</v>
      </c>
      <c r="E157" s="24">
        <v>5055869</v>
      </c>
      <c r="F157" s="11"/>
      <c r="G157" s="11"/>
      <c r="H157" s="11"/>
      <c r="I157" s="11"/>
      <c r="J157" s="20">
        <f t="shared" ref="J157:J162" si="52">E157+F157+G157+H157+I157</f>
        <v>5055869</v>
      </c>
      <c r="K157" s="112">
        <v>3250996</v>
      </c>
      <c r="L157" s="3">
        <f t="shared" ref="L157:L162" si="53">J157-K157</f>
        <v>1804873</v>
      </c>
    </row>
    <row r="158" spans="1:12" x14ac:dyDescent="0.25">
      <c r="A158" s="258"/>
      <c r="B158" s="268"/>
      <c r="C158" s="10" t="s">
        <v>25</v>
      </c>
      <c r="D158" s="24">
        <v>425000</v>
      </c>
      <c r="E158" s="24">
        <v>425000</v>
      </c>
      <c r="F158" s="11"/>
      <c r="G158" s="11"/>
      <c r="H158" s="11"/>
      <c r="I158" s="11"/>
      <c r="J158" s="20">
        <f t="shared" si="52"/>
        <v>425000</v>
      </c>
      <c r="K158" s="112">
        <v>212500</v>
      </c>
      <c r="L158" s="3">
        <f t="shared" si="53"/>
        <v>212500</v>
      </c>
    </row>
    <row r="159" spans="1:12" x14ac:dyDescent="0.25">
      <c r="A159" s="258"/>
      <c r="B159" s="268"/>
      <c r="C159" s="10" t="s">
        <v>26</v>
      </c>
      <c r="D159" s="24">
        <v>10000</v>
      </c>
      <c r="E159" s="24">
        <v>10000</v>
      </c>
      <c r="F159" s="11"/>
      <c r="G159" s="11"/>
      <c r="H159" s="11"/>
      <c r="I159" s="11"/>
      <c r="J159" s="20">
        <f t="shared" si="52"/>
        <v>10000</v>
      </c>
      <c r="K159" s="112">
        <v>0</v>
      </c>
      <c r="L159" s="3">
        <f t="shared" si="53"/>
        <v>10000</v>
      </c>
    </row>
    <row r="160" spans="1:12" x14ac:dyDescent="0.25">
      <c r="A160" s="258"/>
      <c r="B160" s="268"/>
      <c r="C160" s="10" t="s">
        <v>28</v>
      </c>
      <c r="D160" s="24">
        <v>24000</v>
      </c>
      <c r="E160" s="24">
        <v>24000</v>
      </c>
      <c r="F160" s="11"/>
      <c r="G160" s="11"/>
      <c r="H160" s="11"/>
      <c r="I160" s="11"/>
      <c r="J160" s="20">
        <f t="shared" si="52"/>
        <v>24000</v>
      </c>
      <c r="K160" s="112">
        <v>12000</v>
      </c>
      <c r="L160" s="3">
        <f t="shared" si="53"/>
        <v>12000</v>
      </c>
    </row>
    <row r="161" spans="1:12" x14ac:dyDescent="0.25">
      <c r="A161" s="258"/>
      <c r="B161" s="268"/>
      <c r="C161" s="10" t="s">
        <v>29</v>
      </c>
      <c r="D161" s="24">
        <v>75000</v>
      </c>
      <c r="E161" s="24">
        <v>75000</v>
      </c>
      <c r="F161" s="11"/>
      <c r="G161" s="11"/>
      <c r="H161" s="11"/>
      <c r="I161" s="11"/>
      <c r="J161" s="20">
        <f t="shared" si="52"/>
        <v>75000</v>
      </c>
      <c r="K161" s="112">
        <v>0</v>
      </c>
      <c r="L161" s="3">
        <f t="shared" si="53"/>
        <v>75000</v>
      </c>
    </row>
    <row r="162" spans="1:12" x14ac:dyDescent="0.25">
      <c r="A162" s="258"/>
      <c r="B162" s="268"/>
      <c r="C162" s="10" t="s">
        <v>30</v>
      </c>
      <c r="D162" s="24">
        <v>0</v>
      </c>
      <c r="E162" s="24">
        <v>0</v>
      </c>
      <c r="F162" s="11"/>
      <c r="G162" s="11"/>
      <c r="H162" s="11"/>
      <c r="I162" s="11"/>
      <c r="J162" s="20">
        <f t="shared" si="52"/>
        <v>0</v>
      </c>
      <c r="K162" s="112">
        <v>0</v>
      </c>
      <c r="L162" s="3">
        <f t="shared" si="53"/>
        <v>0</v>
      </c>
    </row>
    <row r="163" spans="1:12" x14ac:dyDescent="0.25">
      <c r="A163" s="258"/>
      <c r="B163" s="268"/>
      <c r="C163" s="6" t="s">
        <v>53</v>
      </c>
      <c r="D163" s="7">
        <f>SUM(D157:D162)</f>
        <v>5589869</v>
      </c>
      <c r="E163" s="7">
        <v>5589869</v>
      </c>
      <c r="F163" s="7">
        <f t="shared" ref="F163:L163" si="54">SUM(F157:F162)</f>
        <v>0</v>
      </c>
      <c r="G163" s="7">
        <f t="shared" si="54"/>
        <v>0</v>
      </c>
      <c r="H163" s="7">
        <f t="shared" si="54"/>
        <v>0</v>
      </c>
      <c r="I163" s="7">
        <f t="shared" si="54"/>
        <v>0</v>
      </c>
      <c r="J163" s="7">
        <f t="shared" si="54"/>
        <v>5589869</v>
      </c>
      <c r="K163" s="114">
        <f t="shared" si="54"/>
        <v>3475496</v>
      </c>
      <c r="L163" s="7">
        <f t="shared" si="54"/>
        <v>2114373</v>
      </c>
    </row>
    <row r="164" spans="1:12" x14ac:dyDescent="0.25">
      <c r="A164" s="258"/>
      <c r="B164" s="268"/>
      <c r="C164" s="86" t="s">
        <v>31</v>
      </c>
      <c r="D164" s="87">
        <v>1124913</v>
      </c>
      <c r="E164" s="87">
        <v>1124913</v>
      </c>
      <c r="F164" s="87"/>
      <c r="G164" s="87"/>
      <c r="H164" s="87"/>
      <c r="I164" s="87"/>
      <c r="J164" s="88">
        <f t="shared" ref="J164:J173" si="55">E164+F164+G164+H164+I164</f>
        <v>1124913</v>
      </c>
      <c r="K164" s="115">
        <v>724385</v>
      </c>
      <c r="L164" s="89">
        <f t="shared" ref="L164:L173" si="56">J164-K164</f>
        <v>400528</v>
      </c>
    </row>
    <row r="165" spans="1:12" x14ac:dyDescent="0.25">
      <c r="A165" s="258"/>
      <c r="B165" s="268"/>
      <c r="C165" s="10" t="s">
        <v>32</v>
      </c>
      <c r="D165" s="24">
        <v>100000</v>
      </c>
      <c r="E165" s="24">
        <v>100000</v>
      </c>
      <c r="F165" s="11"/>
      <c r="G165" s="11"/>
      <c r="H165" s="11"/>
      <c r="I165" s="11"/>
      <c r="J165" s="20">
        <f t="shared" si="55"/>
        <v>100000</v>
      </c>
      <c r="K165" s="112">
        <v>0</v>
      </c>
      <c r="L165" s="3">
        <f t="shared" si="56"/>
        <v>100000</v>
      </c>
    </row>
    <row r="166" spans="1:12" x14ac:dyDescent="0.25">
      <c r="A166" s="258"/>
      <c r="B166" s="268"/>
      <c r="C166" s="10" t="s">
        <v>33</v>
      </c>
      <c r="D166" s="24">
        <v>100000</v>
      </c>
      <c r="E166" s="24">
        <v>100000</v>
      </c>
      <c r="F166" s="11"/>
      <c r="G166" s="11"/>
      <c r="H166" s="11"/>
      <c r="I166" s="11"/>
      <c r="J166" s="20">
        <f t="shared" si="55"/>
        <v>100000</v>
      </c>
      <c r="K166" s="112">
        <v>4536</v>
      </c>
      <c r="L166" s="3">
        <f t="shared" si="56"/>
        <v>95464</v>
      </c>
    </row>
    <row r="167" spans="1:12" x14ac:dyDescent="0.25">
      <c r="A167" s="258"/>
      <c r="B167" s="268"/>
      <c r="C167" s="10" t="s">
        <v>34</v>
      </c>
      <c r="D167" s="24">
        <v>100000</v>
      </c>
      <c r="E167" s="24">
        <v>100000</v>
      </c>
      <c r="F167" s="11"/>
      <c r="G167" s="11"/>
      <c r="H167" s="11"/>
      <c r="I167" s="11"/>
      <c r="J167" s="20">
        <f t="shared" si="55"/>
        <v>100000</v>
      </c>
      <c r="K167" s="112">
        <v>0</v>
      </c>
      <c r="L167" s="3">
        <f t="shared" si="56"/>
        <v>100000</v>
      </c>
    </row>
    <row r="168" spans="1:12" x14ac:dyDescent="0.25">
      <c r="A168" s="258"/>
      <c r="B168" s="268"/>
      <c r="C168" s="10" t="s">
        <v>35</v>
      </c>
      <c r="D168" s="24">
        <v>50000</v>
      </c>
      <c r="E168" s="24">
        <v>50000</v>
      </c>
      <c r="F168" s="11"/>
      <c r="G168" s="11"/>
      <c r="H168" s="11"/>
      <c r="I168" s="11"/>
      <c r="J168" s="20">
        <f t="shared" si="55"/>
        <v>50000</v>
      </c>
      <c r="K168" s="112">
        <v>0</v>
      </c>
      <c r="L168" s="3">
        <f t="shared" si="56"/>
        <v>50000</v>
      </c>
    </row>
    <row r="169" spans="1:12" x14ac:dyDescent="0.25">
      <c r="A169" s="258"/>
      <c r="B169" s="268"/>
      <c r="C169" s="10" t="s">
        <v>38</v>
      </c>
      <c r="D169" s="24">
        <v>140000</v>
      </c>
      <c r="E169" s="24">
        <v>140000</v>
      </c>
      <c r="F169" s="139">
        <v>-3400</v>
      </c>
      <c r="G169" s="11"/>
      <c r="H169" s="11"/>
      <c r="I169" s="11"/>
      <c r="J169" s="20">
        <f t="shared" si="55"/>
        <v>136600</v>
      </c>
      <c r="K169" s="112">
        <v>30190</v>
      </c>
      <c r="L169" s="3">
        <f t="shared" si="56"/>
        <v>106410</v>
      </c>
    </row>
    <row r="170" spans="1:12" x14ac:dyDescent="0.25">
      <c r="A170" s="258"/>
      <c r="B170" s="268"/>
      <c r="C170" s="10" t="s">
        <v>40</v>
      </c>
      <c r="D170" s="24">
        <v>15000</v>
      </c>
      <c r="E170" s="24">
        <v>15000</v>
      </c>
      <c r="F170" s="139">
        <v>3400</v>
      </c>
      <c r="G170" s="11"/>
      <c r="H170" s="11"/>
      <c r="I170" s="11"/>
      <c r="J170" s="20">
        <f t="shared" si="55"/>
        <v>18400</v>
      </c>
      <c r="K170" s="112">
        <v>6350</v>
      </c>
      <c r="L170" s="3">
        <f t="shared" si="56"/>
        <v>12050</v>
      </c>
    </row>
    <row r="171" spans="1:12" x14ac:dyDescent="0.25">
      <c r="A171" s="258"/>
      <c r="B171" s="268"/>
      <c r="C171" s="10" t="s">
        <v>41</v>
      </c>
      <c r="D171" s="24">
        <v>80000</v>
      </c>
      <c r="E171" s="24">
        <v>94188</v>
      </c>
      <c r="F171" s="11"/>
      <c r="G171" s="11"/>
      <c r="H171" s="11"/>
      <c r="I171" s="11"/>
      <c r="J171" s="20">
        <f t="shared" si="55"/>
        <v>94188</v>
      </c>
      <c r="K171" s="112">
        <v>92968</v>
      </c>
      <c r="L171" s="3">
        <f t="shared" si="56"/>
        <v>1220</v>
      </c>
    </row>
    <row r="172" spans="1:12" x14ac:dyDescent="0.25">
      <c r="A172" s="258"/>
      <c r="B172" s="268"/>
      <c r="C172" s="10" t="s">
        <v>42</v>
      </c>
      <c r="D172" s="24">
        <v>240000</v>
      </c>
      <c r="E172" s="24">
        <v>240000</v>
      </c>
      <c r="F172" s="11"/>
      <c r="G172" s="11"/>
      <c r="H172" s="11"/>
      <c r="I172" s="11"/>
      <c r="J172" s="20">
        <f t="shared" si="55"/>
        <v>240000</v>
      </c>
      <c r="K172" s="112">
        <v>190640</v>
      </c>
      <c r="L172" s="3">
        <f t="shared" si="56"/>
        <v>49360</v>
      </c>
    </row>
    <row r="173" spans="1:12" x14ac:dyDescent="0.25">
      <c r="A173" s="258"/>
      <c r="B173" s="268"/>
      <c r="C173" s="10" t="s">
        <v>44</v>
      </c>
      <c r="D173" s="24">
        <v>142900</v>
      </c>
      <c r="E173" s="24">
        <v>128712</v>
      </c>
      <c r="F173" s="11"/>
      <c r="G173" s="11"/>
      <c r="H173" s="11"/>
      <c r="I173" s="11"/>
      <c r="J173" s="20">
        <f t="shared" si="55"/>
        <v>128712</v>
      </c>
      <c r="K173" s="112">
        <v>21788</v>
      </c>
      <c r="L173" s="3">
        <f t="shared" si="56"/>
        <v>106924</v>
      </c>
    </row>
    <row r="174" spans="1:12" x14ac:dyDescent="0.25">
      <c r="A174" s="258"/>
      <c r="B174" s="268"/>
      <c r="C174" s="6" t="s">
        <v>49</v>
      </c>
      <c r="D174" s="7">
        <f>SUM(D165:D173)</f>
        <v>967900</v>
      </c>
      <c r="E174" s="7">
        <v>967900</v>
      </c>
      <c r="F174" s="7">
        <f t="shared" ref="F174:L174" si="57">SUM(F165:F173)</f>
        <v>0</v>
      </c>
      <c r="G174" s="7">
        <f t="shared" si="57"/>
        <v>0</v>
      </c>
      <c r="H174" s="7">
        <f t="shared" si="57"/>
        <v>0</v>
      </c>
      <c r="I174" s="7">
        <f t="shared" si="57"/>
        <v>0</v>
      </c>
      <c r="J174" s="7">
        <f t="shared" si="57"/>
        <v>967900</v>
      </c>
      <c r="K174" s="114">
        <f t="shared" si="57"/>
        <v>346472</v>
      </c>
      <c r="L174" s="7">
        <f t="shared" si="57"/>
        <v>621428</v>
      </c>
    </row>
    <row r="175" spans="1:12" x14ac:dyDescent="0.25">
      <c r="A175" s="255" t="s">
        <v>67</v>
      </c>
      <c r="B175" s="252" t="s">
        <v>23</v>
      </c>
      <c r="C175" s="25" t="s">
        <v>29</v>
      </c>
      <c r="D175" s="24">
        <v>157200</v>
      </c>
      <c r="E175" s="24">
        <v>157200</v>
      </c>
      <c r="F175" s="11"/>
      <c r="G175" s="11"/>
      <c r="H175" s="11"/>
      <c r="I175" s="11"/>
      <c r="J175" s="20">
        <f t="shared" ref="J175:J191" si="58">E175+F175+G175+H175+I175</f>
        <v>157200</v>
      </c>
      <c r="K175" s="112">
        <v>50200</v>
      </c>
      <c r="L175" s="3">
        <f t="shared" ref="L175:L191" si="59">J175-K175</f>
        <v>107000</v>
      </c>
    </row>
    <row r="176" spans="1:12" x14ac:dyDescent="0.25">
      <c r="A176" s="257"/>
      <c r="B176" s="254"/>
      <c r="C176" s="25" t="s">
        <v>31</v>
      </c>
      <c r="D176" s="24">
        <v>29213</v>
      </c>
      <c r="E176" s="24">
        <v>29213</v>
      </c>
      <c r="F176" s="11"/>
      <c r="G176" s="11"/>
      <c r="H176" s="11"/>
      <c r="I176" s="11"/>
      <c r="J176" s="20">
        <f t="shared" si="58"/>
        <v>29213</v>
      </c>
      <c r="K176" s="112">
        <v>9685</v>
      </c>
      <c r="L176" s="3">
        <f t="shared" si="59"/>
        <v>19528</v>
      </c>
    </row>
    <row r="177" spans="1:12" x14ac:dyDescent="0.25">
      <c r="A177" s="255" t="s">
        <v>75</v>
      </c>
      <c r="B177" s="252" t="s">
        <v>23</v>
      </c>
      <c r="C177" s="15" t="s">
        <v>24</v>
      </c>
      <c r="D177" s="24">
        <v>1604509</v>
      </c>
      <c r="E177" s="24">
        <v>1604509</v>
      </c>
      <c r="F177" s="11"/>
      <c r="G177" s="11"/>
      <c r="H177" s="11"/>
      <c r="I177" s="11"/>
      <c r="J177" s="20">
        <f t="shared" si="58"/>
        <v>1604509</v>
      </c>
      <c r="K177" s="112">
        <v>1094647</v>
      </c>
      <c r="L177" s="3">
        <f t="shared" si="59"/>
        <v>509862</v>
      </c>
    </row>
    <row r="178" spans="1:12" x14ac:dyDescent="0.25">
      <c r="A178" s="257"/>
      <c r="B178" s="254"/>
      <c r="C178" s="15" t="s">
        <v>31</v>
      </c>
      <c r="D178" s="24">
        <v>299119</v>
      </c>
      <c r="E178" s="24">
        <v>299119</v>
      </c>
      <c r="F178" s="11"/>
      <c r="G178" s="11"/>
      <c r="H178" s="11"/>
      <c r="I178" s="11"/>
      <c r="J178" s="20">
        <f t="shared" si="58"/>
        <v>299119</v>
      </c>
      <c r="K178" s="112">
        <v>210705</v>
      </c>
      <c r="L178" s="3">
        <f t="shared" si="59"/>
        <v>88414</v>
      </c>
    </row>
    <row r="179" spans="1:12" x14ac:dyDescent="0.25">
      <c r="A179" s="356" t="s">
        <v>80</v>
      </c>
      <c r="B179" s="356"/>
      <c r="C179" s="356"/>
      <c r="D179" s="127">
        <f>SUM(D163+D164+D174+D175+D176+D177+D178)</f>
        <v>9772723</v>
      </c>
      <c r="E179" s="127">
        <v>9772723</v>
      </c>
      <c r="F179" s="127">
        <f t="shared" ref="F179:L179" si="60">SUM(F163+F164+F174+F175+F176+F177+F178)</f>
        <v>0</v>
      </c>
      <c r="G179" s="127">
        <f t="shared" si="60"/>
        <v>0</v>
      </c>
      <c r="H179" s="127">
        <f t="shared" si="60"/>
        <v>0</v>
      </c>
      <c r="I179" s="127">
        <f t="shared" si="60"/>
        <v>0</v>
      </c>
      <c r="J179" s="127">
        <f t="shared" si="60"/>
        <v>9772723</v>
      </c>
      <c r="K179" s="128">
        <f t="shared" si="60"/>
        <v>5911590</v>
      </c>
      <c r="L179" s="127">
        <f t="shared" si="60"/>
        <v>3861133</v>
      </c>
    </row>
    <row r="180" spans="1:12" x14ac:dyDescent="0.25">
      <c r="A180" s="258" t="s">
        <v>15</v>
      </c>
      <c r="B180" s="252" t="s">
        <v>23</v>
      </c>
      <c r="C180" s="43" t="s">
        <v>24</v>
      </c>
      <c r="D180" s="44">
        <v>11144060</v>
      </c>
      <c r="E180" s="44">
        <v>11144060</v>
      </c>
      <c r="F180" s="44"/>
      <c r="G180" s="44"/>
      <c r="H180" s="44"/>
      <c r="I180" s="44"/>
      <c r="J180" s="20">
        <f t="shared" si="58"/>
        <v>11144060</v>
      </c>
      <c r="K180" s="56">
        <v>8187749</v>
      </c>
      <c r="L180" s="3">
        <f t="shared" si="59"/>
        <v>2956311</v>
      </c>
    </row>
    <row r="181" spans="1:12" x14ac:dyDescent="0.25">
      <c r="A181" s="258"/>
      <c r="B181" s="253"/>
      <c r="C181" s="43" t="s">
        <v>30</v>
      </c>
      <c r="D181" s="44">
        <v>0</v>
      </c>
      <c r="E181" s="44">
        <v>0</v>
      </c>
      <c r="F181" s="44"/>
      <c r="G181" s="44"/>
      <c r="H181" s="44"/>
      <c r="I181" s="44"/>
      <c r="J181" s="20">
        <f t="shared" si="58"/>
        <v>0</v>
      </c>
      <c r="K181" s="56">
        <v>0</v>
      </c>
      <c r="L181" s="3">
        <f t="shared" si="59"/>
        <v>0</v>
      </c>
    </row>
    <row r="182" spans="1:12" x14ac:dyDescent="0.25">
      <c r="A182" s="258"/>
      <c r="B182" s="253"/>
      <c r="C182" s="6" t="s">
        <v>53</v>
      </c>
      <c r="D182" s="7">
        <f>D180+D181</f>
        <v>11144060</v>
      </c>
      <c r="E182" s="7">
        <v>11144060</v>
      </c>
      <c r="F182" s="7">
        <f t="shared" ref="F182:L182" si="61">F180+F181</f>
        <v>0</v>
      </c>
      <c r="G182" s="7">
        <f t="shared" si="61"/>
        <v>0</v>
      </c>
      <c r="H182" s="7">
        <f t="shared" si="61"/>
        <v>0</v>
      </c>
      <c r="I182" s="7">
        <f t="shared" si="61"/>
        <v>0</v>
      </c>
      <c r="J182" s="8">
        <f t="shared" si="58"/>
        <v>11144060</v>
      </c>
      <c r="K182" s="117">
        <f t="shared" si="61"/>
        <v>8187749</v>
      </c>
      <c r="L182" s="7">
        <f t="shared" si="61"/>
        <v>2956311</v>
      </c>
    </row>
    <row r="183" spans="1:12" x14ac:dyDescent="0.25">
      <c r="A183" s="258"/>
      <c r="B183" s="253"/>
      <c r="C183" s="86" t="s">
        <v>31</v>
      </c>
      <c r="D183" s="87">
        <v>2295657</v>
      </c>
      <c r="E183" s="87">
        <v>6570207</v>
      </c>
      <c r="F183" s="87"/>
      <c r="G183" s="87"/>
      <c r="H183" s="87"/>
      <c r="I183" s="87"/>
      <c r="J183" s="89">
        <f t="shared" si="58"/>
        <v>6570207</v>
      </c>
      <c r="K183" s="115">
        <v>4345532</v>
      </c>
      <c r="L183" s="89">
        <f t="shared" si="59"/>
        <v>2224675</v>
      </c>
    </row>
    <row r="184" spans="1:12" x14ac:dyDescent="0.25">
      <c r="A184" s="258"/>
      <c r="B184" s="253"/>
      <c r="C184" s="10" t="s">
        <v>33</v>
      </c>
      <c r="D184" s="3">
        <v>90000</v>
      </c>
      <c r="E184" s="3">
        <v>232959</v>
      </c>
      <c r="F184" s="3"/>
      <c r="G184" s="3"/>
      <c r="H184" s="3"/>
      <c r="I184" s="3"/>
      <c r="J184" s="3">
        <f t="shared" si="58"/>
        <v>232959</v>
      </c>
      <c r="K184" s="112">
        <v>232959</v>
      </c>
      <c r="L184" s="3">
        <f t="shared" si="59"/>
        <v>0</v>
      </c>
    </row>
    <row r="185" spans="1:12" x14ac:dyDescent="0.25">
      <c r="A185" s="258"/>
      <c r="B185" s="253"/>
      <c r="C185" s="10" t="s">
        <v>37</v>
      </c>
      <c r="D185" s="3">
        <v>230000</v>
      </c>
      <c r="E185" s="3">
        <v>230000</v>
      </c>
      <c r="F185" s="3"/>
      <c r="G185" s="3"/>
      <c r="H185" s="3"/>
      <c r="I185" s="3"/>
      <c r="J185" s="3">
        <f t="shared" si="58"/>
        <v>230000</v>
      </c>
      <c r="K185" s="112">
        <v>0</v>
      </c>
      <c r="L185" s="3">
        <f t="shared" si="59"/>
        <v>230000</v>
      </c>
    </row>
    <row r="186" spans="1:12" x14ac:dyDescent="0.25">
      <c r="A186" s="258"/>
      <c r="B186" s="253"/>
      <c r="C186" s="10" t="s">
        <v>40</v>
      </c>
      <c r="D186" s="3">
        <v>14850000</v>
      </c>
      <c r="E186" s="3">
        <v>14850000</v>
      </c>
      <c r="F186" s="3"/>
      <c r="G186" s="3"/>
      <c r="H186" s="3"/>
      <c r="I186" s="3"/>
      <c r="J186" s="3">
        <f t="shared" si="58"/>
        <v>14850000</v>
      </c>
      <c r="K186" s="112">
        <v>0</v>
      </c>
      <c r="L186" s="3">
        <f t="shared" si="59"/>
        <v>14850000</v>
      </c>
    </row>
    <row r="187" spans="1:12" x14ac:dyDescent="0.25">
      <c r="A187" s="258"/>
      <c r="B187" s="253"/>
      <c r="C187" s="10" t="s">
        <v>41</v>
      </c>
      <c r="D187" s="3">
        <v>25112271</v>
      </c>
      <c r="E187" s="3">
        <v>12427045</v>
      </c>
      <c r="F187" s="3"/>
      <c r="G187" s="3"/>
      <c r="H187" s="3"/>
      <c r="I187" s="3"/>
      <c r="J187" s="3">
        <f t="shared" si="58"/>
        <v>12427045</v>
      </c>
      <c r="K187" s="112">
        <v>5250010</v>
      </c>
      <c r="L187" s="3">
        <f t="shared" si="59"/>
        <v>7177035</v>
      </c>
    </row>
    <row r="188" spans="1:12" x14ac:dyDescent="0.25">
      <c r="A188" s="258"/>
      <c r="B188" s="253"/>
      <c r="C188" s="10" t="s">
        <v>42</v>
      </c>
      <c r="D188" s="3">
        <v>230000</v>
      </c>
      <c r="E188" s="3">
        <v>230000</v>
      </c>
      <c r="F188" s="3"/>
      <c r="G188" s="3"/>
      <c r="H188" s="3"/>
      <c r="I188" s="3"/>
      <c r="J188" s="3">
        <f t="shared" si="58"/>
        <v>230000</v>
      </c>
      <c r="K188" s="112">
        <v>38298</v>
      </c>
      <c r="L188" s="3">
        <f t="shared" si="59"/>
        <v>191702</v>
      </c>
    </row>
    <row r="189" spans="1:12" x14ac:dyDescent="0.25">
      <c r="A189" s="258"/>
      <c r="B189" s="253"/>
      <c r="C189" s="10" t="s">
        <v>43</v>
      </c>
      <c r="D189" s="3">
        <v>230000</v>
      </c>
      <c r="E189" s="3">
        <v>230000</v>
      </c>
      <c r="F189" s="3"/>
      <c r="G189" s="3"/>
      <c r="H189" s="3"/>
      <c r="I189" s="3"/>
      <c r="J189" s="3">
        <f t="shared" si="58"/>
        <v>230000</v>
      </c>
      <c r="K189" s="112">
        <v>0</v>
      </c>
      <c r="L189" s="3">
        <f t="shared" si="59"/>
        <v>230000</v>
      </c>
    </row>
    <row r="190" spans="1:12" x14ac:dyDescent="0.25">
      <c r="A190" s="258"/>
      <c r="B190" s="253"/>
      <c r="C190" s="10" t="s">
        <v>44</v>
      </c>
      <c r="D190" s="3">
        <v>5677830</v>
      </c>
      <c r="E190" s="3">
        <v>3445547</v>
      </c>
      <c r="F190" s="3"/>
      <c r="G190" s="3"/>
      <c r="H190" s="3"/>
      <c r="I190" s="3"/>
      <c r="J190" s="3">
        <f t="shared" si="58"/>
        <v>3445547</v>
      </c>
      <c r="K190" s="112">
        <v>1480399</v>
      </c>
      <c r="L190" s="3">
        <f t="shared" si="59"/>
        <v>1965148</v>
      </c>
    </row>
    <row r="191" spans="1:12" x14ac:dyDescent="0.25">
      <c r="A191" s="258"/>
      <c r="B191" s="253"/>
      <c r="C191" s="10" t="s">
        <v>45</v>
      </c>
      <c r="D191" s="3">
        <v>229990</v>
      </c>
      <c r="E191" s="3">
        <v>229990</v>
      </c>
      <c r="F191" s="3"/>
      <c r="G191" s="3"/>
      <c r="H191" s="3"/>
      <c r="I191" s="3"/>
      <c r="J191" s="3">
        <f t="shared" si="58"/>
        <v>229990</v>
      </c>
      <c r="K191" s="112">
        <v>0</v>
      </c>
      <c r="L191" s="3">
        <f t="shared" si="59"/>
        <v>229990</v>
      </c>
    </row>
    <row r="192" spans="1:12" x14ac:dyDescent="0.25">
      <c r="A192" s="258"/>
      <c r="B192" s="253"/>
      <c r="C192" s="6" t="s">
        <v>49</v>
      </c>
      <c r="D192" s="7">
        <f>SUM(D184:D191)</f>
        <v>46650091</v>
      </c>
      <c r="E192" s="7">
        <v>25650091</v>
      </c>
      <c r="F192" s="7">
        <f t="shared" ref="F192:L192" si="62">SUM(F184:F191)</f>
        <v>0</v>
      </c>
      <c r="G192" s="7">
        <f t="shared" si="62"/>
        <v>0</v>
      </c>
      <c r="H192" s="7">
        <f t="shared" si="62"/>
        <v>0</v>
      </c>
      <c r="I192" s="7">
        <f t="shared" si="62"/>
        <v>0</v>
      </c>
      <c r="J192" s="7">
        <f t="shared" si="62"/>
        <v>31875541</v>
      </c>
      <c r="K192" s="114">
        <f t="shared" si="62"/>
        <v>7001666</v>
      </c>
      <c r="L192" s="7">
        <f t="shared" si="62"/>
        <v>24873875</v>
      </c>
    </row>
    <row r="193" spans="1:12" x14ac:dyDescent="0.25">
      <c r="A193" s="258"/>
      <c r="B193" s="253"/>
      <c r="C193" s="10" t="s">
        <v>56</v>
      </c>
      <c r="D193" s="3">
        <v>0</v>
      </c>
      <c r="E193" s="3">
        <v>0</v>
      </c>
      <c r="F193" s="3"/>
      <c r="G193" s="3"/>
      <c r="H193" s="3"/>
      <c r="I193" s="3"/>
      <c r="J193" s="3">
        <f t="shared" ref="J193:J195" si="63">E193+F193+G193+H193+I193</f>
        <v>0</v>
      </c>
      <c r="K193" s="112">
        <v>0</v>
      </c>
      <c r="L193" s="3">
        <f t="shared" ref="L193:L195" si="64">J193-K193</f>
        <v>0</v>
      </c>
    </row>
    <row r="194" spans="1:12" x14ac:dyDescent="0.25">
      <c r="A194" s="258"/>
      <c r="B194" s="253"/>
      <c r="C194" s="10" t="s">
        <v>50</v>
      </c>
      <c r="D194" s="3">
        <v>3740</v>
      </c>
      <c r="E194" s="3">
        <v>3740</v>
      </c>
      <c r="F194" s="3"/>
      <c r="G194" s="3"/>
      <c r="H194" s="3"/>
      <c r="I194" s="3"/>
      <c r="J194" s="3">
        <f t="shared" si="63"/>
        <v>3740</v>
      </c>
      <c r="K194" s="112">
        <v>0</v>
      </c>
      <c r="L194" s="3">
        <f t="shared" si="64"/>
        <v>3740</v>
      </c>
    </row>
    <row r="195" spans="1:12" x14ac:dyDescent="0.25">
      <c r="A195" s="258"/>
      <c r="B195" s="253"/>
      <c r="C195" s="10" t="s">
        <v>51</v>
      </c>
      <c r="D195" s="3">
        <v>1010</v>
      </c>
      <c r="E195" s="3">
        <v>1010</v>
      </c>
      <c r="F195" s="3"/>
      <c r="G195" s="3"/>
      <c r="H195" s="3"/>
      <c r="I195" s="3"/>
      <c r="J195" s="3">
        <f t="shared" si="63"/>
        <v>1010</v>
      </c>
      <c r="K195" s="112">
        <v>0</v>
      </c>
      <c r="L195" s="3">
        <f t="shared" si="64"/>
        <v>1010</v>
      </c>
    </row>
    <row r="196" spans="1:12" x14ac:dyDescent="0.25">
      <c r="A196" s="258"/>
      <c r="B196" s="253"/>
      <c r="C196" s="6" t="s">
        <v>52</v>
      </c>
      <c r="D196" s="7">
        <f>SUM(D193:D195)</f>
        <v>4750</v>
      </c>
      <c r="E196" s="7">
        <v>4750</v>
      </c>
      <c r="F196" s="7">
        <f t="shared" ref="F196:L196" si="65">SUM(F193:F195)</f>
        <v>0</v>
      </c>
      <c r="G196" s="7">
        <f t="shared" si="65"/>
        <v>0</v>
      </c>
      <c r="H196" s="7">
        <f t="shared" si="65"/>
        <v>0</v>
      </c>
      <c r="I196" s="7">
        <f t="shared" si="65"/>
        <v>0</v>
      </c>
      <c r="J196" s="7">
        <f t="shared" si="65"/>
        <v>4750</v>
      </c>
      <c r="K196" s="114">
        <f t="shared" si="65"/>
        <v>0</v>
      </c>
      <c r="L196" s="7">
        <f t="shared" si="65"/>
        <v>4750</v>
      </c>
    </row>
    <row r="197" spans="1:12" x14ac:dyDescent="0.25">
      <c r="A197" s="258"/>
      <c r="B197" s="254"/>
      <c r="C197" s="10" t="s">
        <v>57</v>
      </c>
      <c r="D197" s="3">
        <v>0</v>
      </c>
      <c r="E197" s="3">
        <v>10500000</v>
      </c>
      <c r="F197" s="3"/>
      <c r="G197" s="3"/>
      <c r="H197" s="3"/>
      <c r="I197" s="3"/>
      <c r="J197" s="3">
        <f t="shared" ref="J197" si="66">E197+F197+G197+H197+I197</f>
        <v>10500000</v>
      </c>
      <c r="K197" s="112">
        <v>10500000</v>
      </c>
      <c r="L197" s="3">
        <f t="shared" ref="L197" si="67">J197-K197</f>
        <v>0</v>
      </c>
    </row>
    <row r="198" spans="1:12" x14ac:dyDescent="0.25">
      <c r="A198" s="353" t="s">
        <v>81</v>
      </c>
      <c r="B198" s="354"/>
      <c r="C198" s="355"/>
      <c r="D198" s="126">
        <f>SUM(D182+D183+D192+D196+D197)</f>
        <v>60094558</v>
      </c>
      <c r="E198" s="126">
        <v>60094558</v>
      </c>
      <c r="F198" s="126">
        <f t="shared" ref="F198:L198" si="68">SUM(F182+F183+F192+F196+F197)</f>
        <v>0</v>
      </c>
      <c r="G198" s="126">
        <f t="shared" si="68"/>
        <v>0</v>
      </c>
      <c r="H198" s="126">
        <f t="shared" si="68"/>
        <v>0</v>
      </c>
      <c r="I198" s="126">
        <f t="shared" si="68"/>
        <v>0</v>
      </c>
      <c r="J198" s="126">
        <f t="shared" si="68"/>
        <v>60094558</v>
      </c>
      <c r="K198" s="128">
        <f t="shared" si="68"/>
        <v>30034947</v>
      </c>
      <c r="L198" s="126">
        <f t="shared" si="68"/>
        <v>30059611</v>
      </c>
    </row>
    <row r="199" spans="1:12" x14ac:dyDescent="0.25">
      <c r="A199" s="256" t="s">
        <v>85</v>
      </c>
      <c r="B199" s="252" t="s">
        <v>46</v>
      </c>
      <c r="C199" s="12" t="s">
        <v>24</v>
      </c>
      <c r="D199" s="3">
        <v>9880165</v>
      </c>
      <c r="E199" s="3">
        <v>9662762</v>
      </c>
      <c r="F199" s="3"/>
      <c r="G199" s="3"/>
      <c r="H199" s="3"/>
      <c r="I199" s="3"/>
      <c r="J199" s="20">
        <f t="shared" ref="J199:J204" si="69">E199+F199+G199+H199+I199</f>
        <v>9662762</v>
      </c>
      <c r="K199" s="112">
        <v>5940880</v>
      </c>
      <c r="L199" s="3">
        <f t="shared" ref="L199:L204" si="70">J199-K199</f>
        <v>3721882</v>
      </c>
    </row>
    <row r="200" spans="1:12" x14ac:dyDescent="0.25">
      <c r="A200" s="256"/>
      <c r="B200" s="253"/>
      <c r="C200" s="12" t="s">
        <v>25</v>
      </c>
      <c r="D200" s="3">
        <v>400000</v>
      </c>
      <c r="E200" s="3">
        <v>400000</v>
      </c>
      <c r="F200" s="3"/>
      <c r="G200" s="3"/>
      <c r="H200" s="3"/>
      <c r="I200" s="3"/>
      <c r="J200" s="20">
        <f t="shared" si="69"/>
        <v>400000</v>
      </c>
      <c r="K200" s="112">
        <v>200000</v>
      </c>
      <c r="L200" s="3">
        <f t="shared" si="70"/>
        <v>200000</v>
      </c>
    </row>
    <row r="201" spans="1:12" x14ac:dyDescent="0.25">
      <c r="A201" s="256"/>
      <c r="B201" s="253"/>
      <c r="C201" s="12" t="s">
        <v>26</v>
      </c>
      <c r="D201" s="3">
        <v>20000</v>
      </c>
      <c r="E201" s="3">
        <v>20000</v>
      </c>
      <c r="F201" s="3"/>
      <c r="G201" s="3"/>
      <c r="H201" s="3"/>
      <c r="I201" s="3"/>
      <c r="J201" s="20">
        <f t="shared" si="69"/>
        <v>20000</v>
      </c>
      <c r="K201" s="112">
        <v>0</v>
      </c>
      <c r="L201" s="3">
        <f t="shared" si="70"/>
        <v>20000</v>
      </c>
    </row>
    <row r="202" spans="1:12" x14ac:dyDescent="0.25">
      <c r="A202" s="256"/>
      <c r="B202" s="253"/>
      <c r="C202" s="2" t="s">
        <v>27</v>
      </c>
      <c r="D202" s="3">
        <v>75000</v>
      </c>
      <c r="E202" s="3">
        <v>86016</v>
      </c>
      <c r="F202" s="3">
        <v>4896</v>
      </c>
      <c r="G202" s="3"/>
      <c r="H202" s="3"/>
      <c r="I202" s="3"/>
      <c r="J202" s="20">
        <f t="shared" si="69"/>
        <v>90912</v>
      </c>
      <c r="K202" s="112">
        <v>15912</v>
      </c>
      <c r="L202" s="3">
        <f t="shared" si="70"/>
        <v>75000</v>
      </c>
    </row>
    <row r="203" spans="1:12" x14ac:dyDescent="0.25">
      <c r="A203" s="256"/>
      <c r="B203" s="253"/>
      <c r="C203" s="2" t="s">
        <v>28</v>
      </c>
      <c r="D203" s="3">
        <v>48000</v>
      </c>
      <c r="E203" s="3">
        <v>48000</v>
      </c>
      <c r="F203" s="3"/>
      <c r="G203" s="3"/>
      <c r="H203" s="3"/>
      <c r="I203" s="3"/>
      <c r="J203" s="20">
        <f t="shared" si="69"/>
        <v>48000</v>
      </c>
      <c r="K203" s="112">
        <v>24000</v>
      </c>
      <c r="L203" s="3">
        <f t="shared" si="70"/>
        <v>24000</v>
      </c>
    </row>
    <row r="204" spans="1:12" x14ac:dyDescent="0.25">
      <c r="A204" s="256"/>
      <c r="B204" s="253"/>
      <c r="C204" s="2" t="s">
        <v>29</v>
      </c>
      <c r="D204" s="3">
        <v>264000</v>
      </c>
      <c r="E204" s="3">
        <v>539706</v>
      </c>
      <c r="F204" s="3">
        <v>30420</v>
      </c>
      <c r="G204" s="3"/>
      <c r="H204" s="3"/>
      <c r="I204" s="3"/>
      <c r="J204" s="20">
        <f t="shared" si="69"/>
        <v>570126</v>
      </c>
      <c r="K204" s="112">
        <v>435486</v>
      </c>
      <c r="L204" s="3">
        <f t="shared" si="70"/>
        <v>134640</v>
      </c>
    </row>
    <row r="205" spans="1:12" x14ac:dyDescent="0.25">
      <c r="A205" s="256"/>
      <c r="B205" s="253"/>
      <c r="C205" s="26" t="s">
        <v>53</v>
      </c>
      <c r="D205" s="7">
        <f>SUM(D199:D204)</f>
        <v>10687165</v>
      </c>
      <c r="E205" s="7">
        <v>10692367</v>
      </c>
      <c r="F205" s="7">
        <f t="shared" ref="F205:L205" si="71">SUM(F199:F204)</f>
        <v>35316</v>
      </c>
      <c r="G205" s="7">
        <f t="shared" si="71"/>
        <v>0</v>
      </c>
      <c r="H205" s="7">
        <f t="shared" si="71"/>
        <v>0</v>
      </c>
      <c r="I205" s="7">
        <f t="shared" si="71"/>
        <v>0</v>
      </c>
      <c r="J205" s="7">
        <f t="shared" si="71"/>
        <v>10791800</v>
      </c>
      <c r="K205" s="114">
        <f t="shared" si="71"/>
        <v>6616278</v>
      </c>
      <c r="L205" s="7">
        <f t="shared" si="71"/>
        <v>4175522</v>
      </c>
    </row>
    <row r="206" spans="1:12" x14ac:dyDescent="0.25">
      <c r="A206" s="256"/>
      <c r="B206" s="253"/>
      <c r="C206" s="90" t="s">
        <v>31</v>
      </c>
      <c r="D206" s="91">
        <v>2120857</v>
      </c>
      <c r="E206" s="91">
        <v>2120857</v>
      </c>
      <c r="F206" s="92"/>
      <c r="G206" s="92"/>
      <c r="H206" s="92"/>
      <c r="I206" s="92"/>
      <c r="J206" s="88">
        <f t="shared" ref="J206:J213" si="72">E206+F206+G206+H206+I206</f>
        <v>2120857</v>
      </c>
      <c r="K206" s="115">
        <v>1317847</v>
      </c>
      <c r="L206" s="89">
        <f t="shared" ref="L206:L213" si="73">J206-K206</f>
        <v>803010</v>
      </c>
    </row>
    <row r="207" spans="1:12" x14ac:dyDescent="0.25">
      <c r="A207" s="256"/>
      <c r="B207" s="253"/>
      <c r="C207" s="103" t="s">
        <v>33</v>
      </c>
      <c r="D207" s="104">
        <v>0</v>
      </c>
      <c r="E207" s="104">
        <v>186928</v>
      </c>
      <c r="F207" s="104"/>
      <c r="G207" s="104"/>
      <c r="H207" s="104"/>
      <c r="I207" s="104"/>
      <c r="J207" s="20">
        <f t="shared" si="72"/>
        <v>186928</v>
      </c>
      <c r="K207" s="118">
        <v>30769</v>
      </c>
      <c r="L207" s="3">
        <f t="shared" si="73"/>
        <v>156159</v>
      </c>
    </row>
    <row r="208" spans="1:12" x14ac:dyDescent="0.25">
      <c r="A208" s="256"/>
      <c r="B208" s="253"/>
      <c r="C208" s="46" t="s">
        <v>35</v>
      </c>
      <c r="D208" s="47">
        <v>0</v>
      </c>
      <c r="E208" s="47">
        <v>172800</v>
      </c>
      <c r="F208" s="47"/>
      <c r="G208" s="47"/>
      <c r="H208" s="47"/>
      <c r="I208" s="47"/>
      <c r="J208" s="20">
        <f t="shared" si="72"/>
        <v>172800</v>
      </c>
      <c r="K208" s="118">
        <v>29571</v>
      </c>
      <c r="L208" s="3">
        <f t="shared" si="73"/>
        <v>143229</v>
      </c>
    </row>
    <row r="209" spans="1:12" x14ac:dyDescent="0.25">
      <c r="A209" s="256"/>
      <c r="B209" s="253"/>
      <c r="C209" s="102" t="s">
        <v>38</v>
      </c>
      <c r="D209" s="47">
        <v>0</v>
      </c>
      <c r="E209" s="47">
        <v>3500</v>
      </c>
      <c r="F209" s="47"/>
      <c r="G209" s="47"/>
      <c r="H209" s="47"/>
      <c r="I209" s="47"/>
      <c r="J209" s="20">
        <f t="shared" si="72"/>
        <v>3500</v>
      </c>
      <c r="K209" s="118">
        <v>3500</v>
      </c>
      <c r="L209" s="3">
        <f t="shared" si="73"/>
        <v>0</v>
      </c>
    </row>
    <row r="210" spans="1:12" x14ac:dyDescent="0.25">
      <c r="A210" s="256"/>
      <c r="B210" s="253"/>
      <c r="C210" s="135" t="s">
        <v>41</v>
      </c>
      <c r="D210" s="47">
        <v>0</v>
      </c>
      <c r="E210" s="47">
        <v>1685</v>
      </c>
      <c r="F210" s="47"/>
      <c r="G210" s="47"/>
      <c r="H210" s="47"/>
      <c r="I210" s="47"/>
      <c r="J210" s="20">
        <f t="shared" si="72"/>
        <v>1685</v>
      </c>
      <c r="K210" s="118">
        <v>1685</v>
      </c>
      <c r="L210" s="3">
        <f t="shared" si="73"/>
        <v>0</v>
      </c>
    </row>
    <row r="211" spans="1:12" x14ac:dyDescent="0.25">
      <c r="A211" s="256"/>
      <c r="B211" s="253"/>
      <c r="C211" s="46" t="s">
        <v>42</v>
      </c>
      <c r="D211" s="47">
        <v>0</v>
      </c>
      <c r="E211" s="47">
        <v>77280</v>
      </c>
      <c r="F211" s="47">
        <v>1630</v>
      </c>
      <c r="G211" s="47"/>
      <c r="H211" s="47"/>
      <c r="I211" s="47"/>
      <c r="J211" s="20">
        <f t="shared" si="72"/>
        <v>78910</v>
      </c>
      <c r="K211" s="118">
        <v>78910</v>
      </c>
      <c r="L211" s="3">
        <f t="shared" si="73"/>
        <v>0</v>
      </c>
    </row>
    <row r="212" spans="1:12" x14ac:dyDescent="0.25">
      <c r="A212" s="256"/>
      <c r="B212" s="253"/>
      <c r="C212" s="46" t="s">
        <v>44</v>
      </c>
      <c r="D212" s="47">
        <v>0</v>
      </c>
      <c r="E212" s="47">
        <v>111556</v>
      </c>
      <c r="F212" s="47"/>
      <c r="G212" s="47"/>
      <c r="H212" s="47"/>
      <c r="I212" s="47"/>
      <c r="J212" s="20">
        <f t="shared" si="72"/>
        <v>111556</v>
      </c>
      <c r="K212" s="118">
        <v>37025</v>
      </c>
      <c r="L212" s="3">
        <f t="shared" si="73"/>
        <v>74531</v>
      </c>
    </row>
    <row r="213" spans="1:12" x14ac:dyDescent="0.25">
      <c r="A213" s="256"/>
      <c r="B213" s="253"/>
      <c r="C213" s="46" t="s">
        <v>45</v>
      </c>
      <c r="D213" s="47">
        <v>0</v>
      </c>
      <c r="E213" s="47">
        <v>303254</v>
      </c>
      <c r="F213" s="47"/>
      <c r="G213" s="47"/>
      <c r="H213" s="47"/>
      <c r="I213" s="47"/>
      <c r="J213" s="20">
        <f t="shared" si="72"/>
        <v>303254</v>
      </c>
      <c r="K213" s="118">
        <v>210879</v>
      </c>
      <c r="L213" s="60">
        <f t="shared" si="73"/>
        <v>92375</v>
      </c>
    </row>
    <row r="214" spans="1:12" x14ac:dyDescent="0.25">
      <c r="A214" s="257"/>
      <c r="B214" s="254"/>
      <c r="C214" s="49" t="s">
        <v>49</v>
      </c>
      <c r="D214" s="50">
        <f>SUM(D207:D213)</f>
        <v>0</v>
      </c>
      <c r="E214" s="50">
        <v>825208</v>
      </c>
      <c r="F214" s="50">
        <f t="shared" ref="F214:L214" si="74">SUM(F207:F213)</f>
        <v>1630</v>
      </c>
      <c r="G214" s="50">
        <f t="shared" si="74"/>
        <v>0</v>
      </c>
      <c r="H214" s="50">
        <f t="shared" si="74"/>
        <v>0</v>
      </c>
      <c r="I214" s="50">
        <f t="shared" si="74"/>
        <v>0</v>
      </c>
      <c r="J214" s="50">
        <f t="shared" si="74"/>
        <v>858633</v>
      </c>
      <c r="K214" s="119">
        <f>SUM(K207:K213)</f>
        <v>392339</v>
      </c>
      <c r="L214" s="50">
        <f t="shared" si="74"/>
        <v>466294</v>
      </c>
    </row>
    <row r="215" spans="1:12" x14ac:dyDescent="0.25">
      <c r="A215" s="258" t="s">
        <v>68</v>
      </c>
      <c r="B215" s="267" t="s">
        <v>46</v>
      </c>
      <c r="C215" s="16" t="s">
        <v>24</v>
      </c>
      <c r="D215" s="17">
        <v>2501556</v>
      </c>
      <c r="E215" s="17">
        <v>2501556</v>
      </c>
      <c r="F215" s="17"/>
      <c r="G215" s="17"/>
      <c r="H215" s="17"/>
      <c r="I215" s="17"/>
      <c r="J215" s="20">
        <f>E215+F215+G215+H215+I215</f>
        <v>2501556</v>
      </c>
      <c r="K215" s="112">
        <v>1671783</v>
      </c>
      <c r="L215" s="3">
        <f t="shared" ref="L215:L216" si="75">J215-K215</f>
        <v>829773</v>
      </c>
    </row>
    <row r="216" spans="1:12" x14ac:dyDescent="0.25">
      <c r="A216" s="255"/>
      <c r="B216" s="261"/>
      <c r="C216" s="18" t="s">
        <v>31</v>
      </c>
      <c r="D216" s="19">
        <v>466569</v>
      </c>
      <c r="E216" s="19">
        <v>466569</v>
      </c>
      <c r="F216" s="19"/>
      <c r="G216" s="19"/>
      <c r="H216" s="19"/>
      <c r="I216" s="19"/>
      <c r="J216" s="20">
        <f t="shared" ref="J216" si="76">E216+F216+G216+H216+I216</f>
        <v>466569</v>
      </c>
      <c r="K216" s="112">
        <v>321651</v>
      </c>
      <c r="L216" s="3">
        <f t="shared" si="75"/>
        <v>144918</v>
      </c>
    </row>
    <row r="217" spans="1:12" x14ac:dyDescent="0.25">
      <c r="A217" s="353" t="s">
        <v>82</v>
      </c>
      <c r="B217" s="354"/>
      <c r="C217" s="355"/>
      <c r="D217" s="129">
        <f>SUM(D205+D206+D215+D216+D214)</f>
        <v>15776147</v>
      </c>
      <c r="E217" s="129">
        <v>16606557</v>
      </c>
      <c r="F217" s="129">
        <f t="shared" ref="F217:I217" si="77">SUM(F205+F206+F215+F216+F214)</f>
        <v>36946</v>
      </c>
      <c r="G217" s="129">
        <f t="shared" si="77"/>
        <v>0</v>
      </c>
      <c r="H217" s="129">
        <f t="shared" si="77"/>
        <v>0</v>
      </c>
      <c r="I217" s="129">
        <f t="shared" si="77"/>
        <v>0</v>
      </c>
      <c r="J217" s="129">
        <f>SUM(J205+J206+J215+J216+J214)</f>
        <v>16739415</v>
      </c>
      <c r="K217" s="130">
        <f>SUM(K205+K206+K215+K216+K214)</f>
        <v>10319898</v>
      </c>
      <c r="L217" s="131">
        <f>SUM(L205+L206+L215+L216+L214)</f>
        <v>6419517</v>
      </c>
    </row>
    <row r="218" spans="1:12" ht="30.75" customHeight="1" x14ac:dyDescent="0.25">
      <c r="A218" s="357" t="s">
        <v>74</v>
      </c>
      <c r="B218" s="358"/>
      <c r="C218" s="359"/>
      <c r="D218" s="132">
        <f t="shared" ref="D218:K218" si="78">SUM(D88+D113+D135+D156+D179+D198+D217)</f>
        <v>230443641</v>
      </c>
      <c r="E218" s="132">
        <f t="shared" si="78"/>
        <v>230521849</v>
      </c>
      <c r="F218" s="132">
        <f t="shared" si="78"/>
        <v>0</v>
      </c>
      <c r="G218" s="132">
        <f t="shared" si="78"/>
        <v>0</v>
      </c>
      <c r="H218" s="132">
        <f t="shared" si="78"/>
        <v>0</v>
      </c>
      <c r="I218" s="132">
        <f t="shared" si="78"/>
        <v>0</v>
      </c>
      <c r="J218" s="132">
        <f t="shared" si="78"/>
        <v>230521849</v>
      </c>
      <c r="K218" s="133">
        <f t="shared" si="78"/>
        <v>129753488</v>
      </c>
      <c r="L218" s="132">
        <f>SUM(L88+L113+L135+L156+L179+L198+L217)</f>
        <v>100768361</v>
      </c>
    </row>
    <row r="219" spans="1:12" x14ac:dyDescent="0.25">
      <c r="B219" s="5"/>
      <c r="E219" s="4"/>
      <c r="F219" s="4"/>
      <c r="G219" s="4"/>
      <c r="H219" s="4"/>
      <c r="I219" s="4"/>
      <c r="J219" s="4"/>
      <c r="K219" s="111"/>
    </row>
    <row r="220" spans="1:12" x14ac:dyDescent="0.25">
      <c r="B220" s="5"/>
      <c r="E220" s="4"/>
      <c r="F220" s="4"/>
      <c r="G220" s="4"/>
      <c r="H220" s="4"/>
      <c r="I220" s="4"/>
      <c r="J220" s="4"/>
      <c r="K220" s="111"/>
    </row>
    <row r="221" spans="1:12" x14ac:dyDescent="0.25">
      <c r="B221" s="5"/>
      <c r="E221" s="4"/>
      <c r="F221" s="4"/>
      <c r="G221" s="4"/>
      <c r="H221" s="4"/>
      <c r="I221" s="4"/>
      <c r="J221" s="4"/>
      <c r="K221" s="111"/>
    </row>
    <row r="222" spans="1:12" x14ac:dyDescent="0.25">
      <c r="B222" s="5"/>
      <c r="E222" s="4"/>
      <c r="F222" s="4"/>
      <c r="G222" s="4"/>
      <c r="H222" s="4"/>
      <c r="I222" s="4"/>
      <c r="J222" s="4"/>
      <c r="K222" s="111"/>
    </row>
    <row r="223" spans="1:12" x14ac:dyDescent="0.25">
      <c r="B223" s="5"/>
      <c r="E223" s="4"/>
      <c r="F223" s="4"/>
      <c r="G223" s="4"/>
      <c r="H223" s="4"/>
      <c r="I223" s="4"/>
      <c r="J223" s="4"/>
      <c r="K223" s="111"/>
    </row>
    <row r="224" spans="1:12" ht="15.75" thickBot="1" x14ac:dyDescent="0.3">
      <c r="B224" s="5"/>
      <c r="E224" s="4"/>
      <c r="F224" s="4"/>
      <c r="G224" s="134">
        <v>43708</v>
      </c>
      <c r="H224" s="4"/>
      <c r="I224" s="4"/>
      <c r="J224" s="4"/>
      <c r="K224" s="111"/>
    </row>
    <row r="225" spans="1:11" ht="15.75" thickTop="1" x14ac:dyDescent="0.25">
      <c r="A225" s="250" t="s">
        <v>83</v>
      </c>
      <c r="B225" s="250"/>
      <c r="C225" s="250"/>
      <c r="D225" s="250"/>
      <c r="E225" s="250"/>
      <c r="F225" s="250"/>
      <c r="G225" s="250"/>
      <c r="H225" s="250"/>
      <c r="I225" s="250"/>
      <c r="J225" s="250"/>
      <c r="K225" s="250"/>
    </row>
    <row r="226" spans="1:11" s="79" customFormat="1" ht="33.75" customHeight="1" x14ac:dyDescent="0.25">
      <c r="A226" s="298" t="s">
        <v>0</v>
      </c>
      <c r="B226" s="299"/>
      <c r="C226" s="75" t="s">
        <v>3</v>
      </c>
      <c r="D226" s="75" t="s">
        <v>4</v>
      </c>
      <c r="E226" s="77" t="s">
        <v>111</v>
      </c>
      <c r="F226" s="76" t="s">
        <v>70</v>
      </c>
      <c r="G226" s="109" t="s">
        <v>71</v>
      </c>
      <c r="H226" s="110" t="s">
        <v>71</v>
      </c>
      <c r="I226" s="77" t="s">
        <v>71</v>
      </c>
      <c r="J226" s="77" t="s">
        <v>115</v>
      </c>
      <c r="K226" s="78" t="s">
        <v>118</v>
      </c>
    </row>
    <row r="227" spans="1:11" x14ac:dyDescent="0.25">
      <c r="A227" s="300"/>
      <c r="B227" s="301"/>
      <c r="C227" s="33" t="s">
        <v>16</v>
      </c>
      <c r="D227" s="61">
        <f t="shared" ref="D227:K228" si="79">D5+D14+D16+D18+D20+D22</f>
        <v>117230959</v>
      </c>
      <c r="E227" s="61">
        <f t="shared" si="79"/>
        <v>117297167</v>
      </c>
      <c r="F227" s="61">
        <f t="shared" si="79"/>
        <v>0</v>
      </c>
      <c r="G227" s="61">
        <f t="shared" si="79"/>
        <v>0</v>
      </c>
      <c r="H227" s="61">
        <f t="shared" si="79"/>
        <v>0</v>
      </c>
      <c r="I227" s="61">
        <f t="shared" si="79"/>
        <v>0</v>
      </c>
      <c r="J227" s="61">
        <f t="shared" si="79"/>
        <v>117297167</v>
      </c>
      <c r="K227" s="61">
        <f t="shared" si="79"/>
        <v>56755805</v>
      </c>
    </row>
    <row r="228" spans="1:11" x14ac:dyDescent="0.25">
      <c r="A228" s="300"/>
      <c r="B228" s="301"/>
      <c r="C228" s="33" t="s">
        <v>17</v>
      </c>
      <c r="D228" s="61">
        <f t="shared" si="79"/>
        <v>16012810</v>
      </c>
      <c r="E228" s="61">
        <f t="shared" si="79"/>
        <v>16012810</v>
      </c>
      <c r="F228" s="61">
        <f t="shared" si="79"/>
        <v>0</v>
      </c>
      <c r="G228" s="61">
        <f t="shared" si="79"/>
        <v>0</v>
      </c>
      <c r="H228" s="61">
        <f t="shared" si="79"/>
        <v>0</v>
      </c>
      <c r="I228" s="61">
        <f t="shared" si="79"/>
        <v>0</v>
      </c>
      <c r="J228" s="61">
        <f t="shared" si="79"/>
        <v>16012810</v>
      </c>
      <c r="K228" s="61">
        <f t="shared" si="79"/>
        <v>16012810</v>
      </c>
    </row>
    <row r="229" spans="1:11" x14ac:dyDescent="0.25">
      <c r="A229" s="300"/>
      <c r="B229" s="301"/>
      <c r="C229" s="33" t="s">
        <v>18</v>
      </c>
      <c r="D229" s="61">
        <f t="shared" ref="D229:K231" si="80">D7</f>
        <v>96985672</v>
      </c>
      <c r="E229" s="61">
        <f t="shared" si="80"/>
        <v>96985672</v>
      </c>
      <c r="F229" s="61">
        <f t="shared" si="80"/>
        <v>0</v>
      </c>
      <c r="G229" s="61">
        <f t="shared" si="80"/>
        <v>0</v>
      </c>
      <c r="H229" s="61">
        <f t="shared" si="80"/>
        <v>0</v>
      </c>
      <c r="I229" s="61">
        <f t="shared" si="80"/>
        <v>0</v>
      </c>
      <c r="J229" s="61">
        <f t="shared" si="80"/>
        <v>96985672</v>
      </c>
      <c r="K229" s="61">
        <f t="shared" si="80"/>
        <v>61177949</v>
      </c>
    </row>
    <row r="230" spans="1:11" x14ac:dyDescent="0.25">
      <c r="A230" s="300"/>
      <c r="B230" s="301"/>
      <c r="C230" s="35" t="s">
        <v>22</v>
      </c>
      <c r="D230" s="61">
        <f t="shared" si="80"/>
        <v>200000</v>
      </c>
      <c r="E230" s="61">
        <f t="shared" si="80"/>
        <v>200000</v>
      </c>
      <c r="F230" s="61">
        <f t="shared" si="80"/>
        <v>0</v>
      </c>
      <c r="G230" s="61">
        <f t="shared" si="80"/>
        <v>0</v>
      </c>
      <c r="H230" s="61">
        <f t="shared" si="80"/>
        <v>0</v>
      </c>
      <c r="I230" s="61">
        <f t="shared" si="80"/>
        <v>0</v>
      </c>
      <c r="J230" s="61">
        <f t="shared" si="80"/>
        <v>200000</v>
      </c>
      <c r="K230" s="61">
        <f t="shared" si="80"/>
        <v>0</v>
      </c>
    </row>
    <row r="231" spans="1:11" x14ac:dyDescent="0.25">
      <c r="A231" s="300"/>
      <c r="B231" s="301"/>
      <c r="C231" s="35" t="s">
        <v>19</v>
      </c>
      <c r="D231" s="61">
        <f t="shared" si="80"/>
        <v>13200</v>
      </c>
      <c r="E231" s="61">
        <f t="shared" si="80"/>
        <v>16540</v>
      </c>
      <c r="F231" s="61">
        <f t="shared" si="80"/>
        <v>5386</v>
      </c>
      <c r="G231" s="61">
        <f t="shared" si="80"/>
        <v>0</v>
      </c>
      <c r="H231" s="61">
        <f t="shared" si="80"/>
        <v>0</v>
      </c>
      <c r="I231" s="61">
        <f t="shared" si="80"/>
        <v>0</v>
      </c>
      <c r="J231" s="61">
        <f t="shared" si="80"/>
        <v>21926</v>
      </c>
      <c r="K231" s="61">
        <f t="shared" si="80"/>
        <v>21926</v>
      </c>
    </row>
    <row r="232" spans="1:11" x14ac:dyDescent="0.25">
      <c r="A232" s="300"/>
      <c r="B232" s="301"/>
      <c r="C232" s="35" t="s">
        <v>84</v>
      </c>
      <c r="D232" s="61">
        <f>D13+D11</f>
        <v>0</v>
      </c>
      <c r="E232" s="61">
        <f>E13+E11</f>
        <v>9239</v>
      </c>
      <c r="F232" s="61">
        <f t="shared" ref="F232:K232" si="81">F13+F11</f>
        <v>-5290</v>
      </c>
      <c r="G232" s="61">
        <f t="shared" si="81"/>
        <v>0</v>
      </c>
      <c r="H232" s="61">
        <f t="shared" si="81"/>
        <v>0</v>
      </c>
      <c r="I232" s="61">
        <f t="shared" si="81"/>
        <v>0</v>
      </c>
      <c r="J232" s="61">
        <f>J13+J11</f>
        <v>3949</v>
      </c>
      <c r="K232" s="61">
        <f t="shared" si="81"/>
        <v>3835</v>
      </c>
    </row>
    <row r="233" spans="1:11" x14ac:dyDescent="0.25">
      <c r="A233" s="300"/>
      <c r="B233" s="301"/>
      <c r="C233" s="33" t="s">
        <v>20</v>
      </c>
      <c r="D233" s="61">
        <f>D10+D12</f>
        <v>1000</v>
      </c>
      <c r="E233" s="61">
        <f>E10+E12</f>
        <v>421</v>
      </c>
      <c r="F233" s="61">
        <f t="shared" ref="F233:K233" si="82">F10+F12</f>
        <v>-96</v>
      </c>
      <c r="G233" s="61">
        <f t="shared" si="82"/>
        <v>0</v>
      </c>
      <c r="H233" s="61">
        <f t="shared" si="82"/>
        <v>0</v>
      </c>
      <c r="I233" s="61">
        <f t="shared" si="82"/>
        <v>0</v>
      </c>
      <c r="J233" s="61">
        <f t="shared" si="82"/>
        <v>325</v>
      </c>
      <c r="K233" s="61">
        <f t="shared" si="82"/>
        <v>304</v>
      </c>
    </row>
    <row r="234" spans="1:11" x14ac:dyDescent="0.25">
      <c r="A234" s="300"/>
      <c r="B234" s="301"/>
      <c r="C234" s="65" t="s">
        <v>86</v>
      </c>
      <c r="D234" s="66">
        <f>D13+D12+D11+D10+D9</f>
        <v>14200</v>
      </c>
      <c r="E234" s="66">
        <f>E13+E12+E11+E10+E9</f>
        <v>26200</v>
      </c>
      <c r="F234" s="66">
        <f t="shared" ref="F234:K234" si="83">F13+F12+F11+F10+F9</f>
        <v>0</v>
      </c>
      <c r="G234" s="66">
        <f t="shared" si="83"/>
        <v>0</v>
      </c>
      <c r="H234" s="66">
        <f t="shared" si="83"/>
        <v>0</v>
      </c>
      <c r="I234" s="66">
        <f t="shared" si="83"/>
        <v>0</v>
      </c>
      <c r="J234" s="66">
        <f t="shared" si="83"/>
        <v>26200</v>
      </c>
      <c r="K234" s="66">
        <f t="shared" si="83"/>
        <v>26065</v>
      </c>
    </row>
    <row r="235" spans="1:11" x14ac:dyDescent="0.25">
      <c r="A235" s="300"/>
      <c r="B235" s="301"/>
      <c r="C235" s="65" t="s">
        <v>87</v>
      </c>
      <c r="D235" s="66">
        <f>D23+D21+D19+D17+D15+D7+D6</f>
        <v>112998482</v>
      </c>
      <c r="E235" s="66">
        <f>E23+E21+E19+E17+E15+E7+E6</f>
        <v>112998482</v>
      </c>
      <c r="F235" s="66">
        <f t="shared" ref="F235:K235" si="84">F23+F21+F19+F17+F15+F7+F6</f>
        <v>0</v>
      </c>
      <c r="G235" s="66">
        <f t="shared" si="84"/>
        <v>0</v>
      </c>
      <c r="H235" s="66">
        <f t="shared" si="84"/>
        <v>0</v>
      </c>
      <c r="I235" s="66">
        <f t="shared" si="84"/>
        <v>0</v>
      </c>
      <c r="J235" s="66">
        <f t="shared" si="84"/>
        <v>112998482</v>
      </c>
      <c r="K235" s="66">
        <f t="shared" si="84"/>
        <v>77190759</v>
      </c>
    </row>
    <row r="236" spans="1:11" x14ac:dyDescent="0.25">
      <c r="A236" s="300"/>
      <c r="B236" s="301"/>
      <c r="C236" s="65" t="s">
        <v>94</v>
      </c>
      <c r="D236" s="66">
        <f>D24</f>
        <v>230443641</v>
      </c>
      <c r="E236" s="66">
        <f>E24</f>
        <v>230521849</v>
      </c>
      <c r="F236" s="66">
        <f t="shared" ref="F236:K236" si="85">F24</f>
        <v>0</v>
      </c>
      <c r="G236" s="66">
        <f t="shared" si="85"/>
        <v>0</v>
      </c>
      <c r="H236" s="66">
        <f t="shared" si="85"/>
        <v>0</v>
      </c>
      <c r="I236" s="66">
        <f t="shared" si="85"/>
        <v>0</v>
      </c>
      <c r="J236" s="66">
        <f t="shared" si="85"/>
        <v>230521849</v>
      </c>
      <c r="K236" s="66">
        <f t="shared" si="85"/>
        <v>133972629</v>
      </c>
    </row>
    <row r="237" spans="1:11" x14ac:dyDescent="0.25">
      <c r="A237" s="300"/>
      <c r="B237" s="301"/>
      <c r="C237" s="33" t="s">
        <v>24</v>
      </c>
      <c r="D237" s="34">
        <f>D89+D111+D114+D133+D136+D154+D157+D177+D199+D215+D180+D86+D84+D52+D25</f>
        <v>128356144</v>
      </c>
      <c r="E237" s="34">
        <f>E89+E111+E114+E133+E136+E154+E157+E177+E199+E215+E180+E86+E84+E52+E25</f>
        <v>127662960</v>
      </c>
      <c r="F237" s="34">
        <f>F89+F111+F114+F133+F136+F154+F157+F177+F199+F215+F180+F86+F84+F52+F25</f>
        <v>-30420</v>
      </c>
      <c r="G237" s="34">
        <f t="shared" ref="G237:I237" si="86">G89+G111+G114+G133+G136+G154+G157+G177+G199+G215+G180+G86+G84+G52+G25</f>
        <v>0</v>
      </c>
      <c r="H237" s="34">
        <f t="shared" si="86"/>
        <v>0</v>
      </c>
      <c r="I237" s="34">
        <f t="shared" si="86"/>
        <v>0</v>
      </c>
      <c r="J237" s="61">
        <f>J215+J199+J180+J177+J157+J154+J136+J133+J114+J111+J89+J86+J84+J52+J25</f>
        <v>127632540</v>
      </c>
      <c r="K237" s="61">
        <f>K215+K199+K180+K177+K157+K154+K136+K133+K114+K111+K89+K86+K84+K52+K25</f>
        <v>80007549</v>
      </c>
    </row>
    <row r="238" spans="1:11" x14ac:dyDescent="0.25">
      <c r="A238" s="300"/>
      <c r="B238" s="301"/>
      <c r="C238" s="33" t="s">
        <v>47</v>
      </c>
      <c r="D238" s="34">
        <f t="shared" ref="D238:K239" si="87">D53</f>
        <v>2040480</v>
      </c>
      <c r="E238" s="34">
        <f t="shared" si="87"/>
        <v>2040480</v>
      </c>
      <c r="F238" s="34">
        <f t="shared" si="87"/>
        <v>0</v>
      </c>
      <c r="G238" s="34">
        <f t="shared" si="87"/>
        <v>0</v>
      </c>
      <c r="H238" s="34">
        <f t="shared" si="87"/>
        <v>0</v>
      </c>
      <c r="I238" s="34">
        <f t="shared" si="87"/>
        <v>0</v>
      </c>
      <c r="J238" s="34">
        <f t="shared" si="87"/>
        <v>2040480</v>
      </c>
      <c r="K238" s="41">
        <f t="shared" si="87"/>
        <v>1270865</v>
      </c>
    </row>
    <row r="239" spans="1:11" x14ac:dyDescent="0.25">
      <c r="A239" s="300"/>
      <c r="B239" s="301"/>
      <c r="C239" s="33" t="s">
        <v>48</v>
      </c>
      <c r="D239" s="34">
        <f t="shared" si="87"/>
        <v>0</v>
      </c>
      <c r="E239" s="34">
        <f t="shared" si="87"/>
        <v>0</v>
      </c>
      <c r="F239" s="34">
        <f t="shared" si="87"/>
        <v>0</v>
      </c>
      <c r="G239" s="34">
        <f t="shared" si="87"/>
        <v>0</v>
      </c>
      <c r="H239" s="34">
        <f t="shared" si="87"/>
        <v>0</v>
      </c>
      <c r="I239" s="34">
        <f t="shared" si="87"/>
        <v>0</v>
      </c>
      <c r="J239" s="34">
        <f t="shared" si="87"/>
        <v>0</v>
      </c>
      <c r="K239" s="34">
        <f t="shared" si="87"/>
        <v>0</v>
      </c>
    </row>
    <row r="240" spans="1:11" x14ac:dyDescent="0.25">
      <c r="A240" s="300"/>
      <c r="B240" s="301"/>
      <c r="C240" s="35" t="s">
        <v>25</v>
      </c>
      <c r="D240" s="34">
        <f t="shared" ref="D240:K241" si="88">D200+D158+D137+D115+D90+D55+D26</f>
        <v>3992000</v>
      </c>
      <c r="E240" s="34">
        <f t="shared" si="88"/>
        <v>3992000</v>
      </c>
      <c r="F240" s="34">
        <f t="shared" si="88"/>
        <v>0</v>
      </c>
      <c r="G240" s="34">
        <f t="shared" si="88"/>
        <v>0</v>
      </c>
      <c r="H240" s="34">
        <f t="shared" si="88"/>
        <v>0</v>
      </c>
      <c r="I240" s="34">
        <f t="shared" si="88"/>
        <v>0</v>
      </c>
      <c r="J240" s="34">
        <f t="shared" si="88"/>
        <v>3992000</v>
      </c>
      <c r="K240" s="34">
        <f t="shared" si="88"/>
        <v>1887500</v>
      </c>
    </row>
    <row r="241" spans="1:12" x14ac:dyDescent="0.25">
      <c r="A241" s="300"/>
      <c r="B241" s="301"/>
      <c r="C241" s="35" t="s">
        <v>26</v>
      </c>
      <c r="D241" s="34">
        <f t="shared" si="88"/>
        <v>200000</v>
      </c>
      <c r="E241" s="34">
        <f t="shared" si="88"/>
        <v>200000</v>
      </c>
      <c r="F241" s="34">
        <f t="shared" si="88"/>
        <v>0</v>
      </c>
      <c r="G241" s="34">
        <f t="shared" si="88"/>
        <v>0</v>
      </c>
      <c r="H241" s="34">
        <f t="shared" si="88"/>
        <v>0</v>
      </c>
      <c r="I241" s="34">
        <f t="shared" si="88"/>
        <v>0</v>
      </c>
      <c r="J241" s="34">
        <f t="shared" si="88"/>
        <v>200000</v>
      </c>
      <c r="K241" s="34">
        <f t="shared" si="88"/>
        <v>0</v>
      </c>
    </row>
    <row r="242" spans="1:12" x14ac:dyDescent="0.25">
      <c r="A242" s="300"/>
      <c r="B242" s="301"/>
      <c r="C242" s="33" t="s">
        <v>27</v>
      </c>
      <c r="D242" s="34">
        <f>D202+D139+D92+D57+D28</f>
        <v>1661400</v>
      </c>
      <c r="E242" s="34">
        <f>E202+E139+E92+E57+E28</f>
        <v>1661400</v>
      </c>
      <c r="F242" s="34">
        <f t="shared" ref="F242:J242" si="89">F202+F139+F92+F57+F28</f>
        <v>0</v>
      </c>
      <c r="G242" s="34">
        <f t="shared" si="89"/>
        <v>0</v>
      </c>
      <c r="H242" s="34">
        <f t="shared" si="89"/>
        <v>0</v>
      </c>
      <c r="I242" s="34">
        <f t="shared" si="89"/>
        <v>0</v>
      </c>
      <c r="J242" s="34">
        <f t="shared" si="89"/>
        <v>1661400</v>
      </c>
      <c r="K242" s="34">
        <f>K202+K139+K92+K57+K28</f>
        <v>794388</v>
      </c>
    </row>
    <row r="243" spans="1:12" x14ac:dyDescent="0.25">
      <c r="A243" s="300"/>
      <c r="B243" s="301"/>
      <c r="C243" s="35" t="s">
        <v>28</v>
      </c>
      <c r="D243" s="34">
        <f>D203+D160+D140+D117+D58+D29+D93</f>
        <v>481000</v>
      </c>
      <c r="E243" s="34">
        <f>E203+E160+E140+E117+E58+E29+E93</f>
        <v>481000</v>
      </c>
      <c r="F243" s="34">
        <f t="shared" ref="F243:J243" si="90">F203+F160+F140+F117+F58+F29+F93</f>
        <v>0</v>
      </c>
      <c r="G243" s="34">
        <f t="shared" si="90"/>
        <v>0</v>
      </c>
      <c r="H243" s="34">
        <f t="shared" si="90"/>
        <v>0</v>
      </c>
      <c r="I243" s="34">
        <f t="shared" si="90"/>
        <v>0</v>
      </c>
      <c r="J243" s="34">
        <f t="shared" si="90"/>
        <v>481000</v>
      </c>
      <c r="K243" s="34">
        <f>K203+K160+K140+K117+K58+K29+K93</f>
        <v>222000</v>
      </c>
    </row>
    <row r="244" spans="1:12" x14ac:dyDescent="0.25">
      <c r="A244" s="300"/>
      <c r="B244" s="301"/>
      <c r="C244" s="33" t="s">
        <v>29</v>
      </c>
      <c r="D244" s="34">
        <f>D204+D175+D161+D141+D118+D109+D94+D82+D80+D59+D30+D131</f>
        <v>3451400</v>
      </c>
      <c r="E244" s="34">
        <f>E204+E175+E161+E141+E118+E109+E94+E82+E80+E59+E30+E131</f>
        <v>4199988</v>
      </c>
      <c r="F244" s="34">
        <f>F204+F175+F161+F141+F118+F109+F94+F82+F80+F59+F30+F131</f>
        <v>30420</v>
      </c>
      <c r="G244" s="34">
        <f t="shared" ref="G244:J244" si="91">G204+G175+G161+G141+G118+G109+G94+G82+G80+G59+G30+G131</f>
        <v>0</v>
      </c>
      <c r="H244" s="34">
        <f t="shared" si="91"/>
        <v>0</v>
      </c>
      <c r="I244" s="34">
        <f t="shared" si="91"/>
        <v>0</v>
      </c>
      <c r="J244" s="34">
        <f t="shared" si="91"/>
        <v>4230408</v>
      </c>
      <c r="K244" s="34">
        <f>K204+K175+K161+K141+K118+K109+K94+K82+K80+K59+K30+K131</f>
        <v>2106658</v>
      </c>
    </row>
    <row r="245" spans="1:12" x14ac:dyDescent="0.25">
      <c r="A245" s="300"/>
      <c r="B245" s="301"/>
      <c r="C245" s="35" t="s">
        <v>30</v>
      </c>
      <c r="D245" s="34">
        <f>D162+D142+D119+D60+D31+D181</f>
        <v>200000</v>
      </c>
      <c r="E245" s="34">
        <f t="shared" ref="E245:K245" si="92">E162+E142+E119+E60+E31+E181</f>
        <v>200000</v>
      </c>
      <c r="F245" s="34">
        <f t="shared" si="92"/>
        <v>0</v>
      </c>
      <c r="G245" s="34">
        <f t="shared" si="92"/>
        <v>0</v>
      </c>
      <c r="H245" s="34">
        <f t="shared" si="92"/>
        <v>0</v>
      </c>
      <c r="I245" s="34">
        <f t="shared" si="92"/>
        <v>0</v>
      </c>
      <c r="J245" s="34">
        <f t="shared" si="92"/>
        <v>200000</v>
      </c>
      <c r="K245" s="34">
        <f t="shared" si="92"/>
        <v>27804</v>
      </c>
    </row>
    <row r="246" spans="1:12" x14ac:dyDescent="0.25">
      <c r="A246" s="300"/>
      <c r="B246" s="301"/>
      <c r="C246" s="65" t="s">
        <v>53</v>
      </c>
      <c r="D246" s="66">
        <f>D205+D182+D163+D143+D215+D177+D154+D133+D131+D175+D120+D111+D109+D96+D86+D84+D82+D80+D61+D32</f>
        <v>140382424</v>
      </c>
      <c r="E246" s="66">
        <f t="shared" ref="E246:J246" si="93">E205+E182+E163+E143+E215+E177+E154+E133+E131+E175+E120+E111+E109+E96+E86+E84+E82+E80+E61+E32</f>
        <v>140437828</v>
      </c>
      <c r="F246" s="66">
        <f t="shared" si="93"/>
        <v>0</v>
      </c>
      <c r="G246" s="66">
        <f t="shared" si="93"/>
        <v>0</v>
      </c>
      <c r="H246" s="66">
        <f t="shared" si="93"/>
        <v>0</v>
      </c>
      <c r="I246" s="66">
        <f t="shared" si="93"/>
        <v>0</v>
      </c>
      <c r="J246" s="66">
        <f t="shared" si="93"/>
        <v>140437828</v>
      </c>
      <c r="K246" s="66">
        <f t="shared" ref="K246" si="94">K205+K182+K163+K143+K215+K177+K154+K133+K131+K175+K120+K111+K109+K96+K86+K84+K82+K80+K61+K32</f>
        <v>86316764</v>
      </c>
    </row>
    <row r="247" spans="1:12" x14ac:dyDescent="0.25">
      <c r="A247" s="300"/>
      <c r="B247" s="301"/>
      <c r="C247" s="67" t="s">
        <v>31</v>
      </c>
      <c r="D247" s="66">
        <f>D206+D183+D178+D176+D216+D164+D155+D144+D134+D132+D121+D112+D110+D97+D87+D85+D83+D81+D62+D33</f>
        <v>27536677</v>
      </c>
      <c r="E247" s="66">
        <f>E206+E183+E178+E176+E216+E164+E155+E144+E134+E132+E121+E112+E110+E97+E87+E85+E83+E81+E62+E33</f>
        <v>31822031</v>
      </c>
      <c r="F247" s="66">
        <f t="shared" ref="F247:K247" si="95">F206+F183+F178+F176+F216+F164+F155+F144+F134+F132+F121+F112+F110+F97+F87+F85+F83+F81+F62+F33</f>
        <v>0</v>
      </c>
      <c r="G247" s="66">
        <f t="shared" si="95"/>
        <v>0</v>
      </c>
      <c r="H247" s="66">
        <f t="shared" si="95"/>
        <v>0</v>
      </c>
      <c r="I247" s="66">
        <f t="shared" si="95"/>
        <v>0</v>
      </c>
      <c r="J247" s="66">
        <f t="shared" si="95"/>
        <v>31822031</v>
      </c>
      <c r="K247" s="66">
        <f t="shared" si="95"/>
        <v>20272575</v>
      </c>
    </row>
    <row r="248" spans="1:12" x14ac:dyDescent="0.25">
      <c r="A248" s="300"/>
      <c r="B248" s="301"/>
      <c r="C248" s="33" t="s">
        <v>32</v>
      </c>
      <c r="D248" s="34">
        <f>D165+D145+D122+D98+D63+D34</f>
        <v>540000</v>
      </c>
      <c r="E248" s="34">
        <f>E165+E145+E122+E98+E63+E34</f>
        <v>540000</v>
      </c>
      <c r="F248" s="34">
        <f t="shared" ref="F248:K248" si="96">F165+F145+F122+F98+F63+F34</f>
        <v>0</v>
      </c>
      <c r="G248" s="34">
        <f t="shared" si="96"/>
        <v>0</v>
      </c>
      <c r="H248" s="34">
        <f t="shared" si="96"/>
        <v>0</v>
      </c>
      <c r="I248" s="34">
        <f t="shared" si="96"/>
        <v>0</v>
      </c>
      <c r="J248" s="34">
        <f t="shared" si="96"/>
        <v>540000</v>
      </c>
      <c r="K248" s="34">
        <f t="shared" si="96"/>
        <v>49638</v>
      </c>
    </row>
    <row r="249" spans="1:12" x14ac:dyDescent="0.25">
      <c r="A249" s="300"/>
      <c r="B249" s="301"/>
      <c r="C249" s="35" t="s">
        <v>33</v>
      </c>
      <c r="D249" s="34">
        <f>D184+D166+D146+D123+D99+D64+D35+D207</f>
        <v>1700000</v>
      </c>
      <c r="E249" s="34">
        <f t="shared" ref="E249:K249" si="97">E184+E166+E146+E123+E99+E64+E35+E207</f>
        <v>2029887</v>
      </c>
      <c r="F249" s="34">
        <f t="shared" si="97"/>
        <v>-20000</v>
      </c>
      <c r="G249" s="34">
        <f t="shared" si="97"/>
        <v>0</v>
      </c>
      <c r="H249" s="34">
        <f t="shared" si="97"/>
        <v>0</v>
      </c>
      <c r="I249" s="34">
        <f t="shared" si="97"/>
        <v>0</v>
      </c>
      <c r="J249" s="34">
        <f t="shared" si="97"/>
        <v>2009887</v>
      </c>
      <c r="K249" s="34">
        <f t="shared" si="97"/>
        <v>307080</v>
      </c>
    </row>
    <row r="250" spans="1:12" x14ac:dyDescent="0.25">
      <c r="A250" s="300"/>
      <c r="B250" s="301"/>
      <c r="C250" s="33" t="s">
        <v>34</v>
      </c>
      <c r="D250" s="34">
        <f>D167+D147+D124+D100+D65+D36</f>
        <v>1036000</v>
      </c>
      <c r="E250" s="34">
        <f>E167+E147+E124+E100+E65+E36</f>
        <v>988000</v>
      </c>
      <c r="F250" s="34">
        <f t="shared" ref="F250:K250" si="98">F167+F147+F124+F100+F65+F36</f>
        <v>0</v>
      </c>
      <c r="G250" s="34">
        <f t="shared" si="98"/>
        <v>0</v>
      </c>
      <c r="H250" s="34">
        <f t="shared" si="98"/>
        <v>0</v>
      </c>
      <c r="I250" s="34">
        <f t="shared" si="98"/>
        <v>0</v>
      </c>
      <c r="J250" s="34">
        <f t="shared" si="98"/>
        <v>988000</v>
      </c>
      <c r="K250" s="34">
        <f t="shared" si="98"/>
        <v>153976</v>
      </c>
    </row>
    <row r="251" spans="1:12" x14ac:dyDescent="0.25">
      <c r="A251" s="300"/>
      <c r="B251" s="301"/>
      <c r="C251" s="33" t="s">
        <v>35</v>
      </c>
      <c r="D251" s="34">
        <f>D208+D168+D101+D66+D37</f>
        <v>610000</v>
      </c>
      <c r="E251" s="34">
        <f>E208+E168+E101+E66+E37</f>
        <v>617000</v>
      </c>
      <c r="F251" s="34">
        <f t="shared" ref="F251:K251" si="99">F208+F168+F101+F66+F37</f>
        <v>0</v>
      </c>
      <c r="G251" s="34">
        <f t="shared" si="99"/>
        <v>0</v>
      </c>
      <c r="H251" s="34">
        <f t="shared" si="99"/>
        <v>0</v>
      </c>
      <c r="I251" s="34">
        <f t="shared" si="99"/>
        <v>0</v>
      </c>
      <c r="J251" s="34">
        <f t="shared" si="99"/>
        <v>617000</v>
      </c>
      <c r="K251" s="34">
        <f t="shared" si="99"/>
        <v>151402</v>
      </c>
    </row>
    <row r="252" spans="1:12" x14ac:dyDescent="0.25">
      <c r="A252" s="300"/>
      <c r="B252" s="301"/>
      <c r="C252" s="33" t="s">
        <v>36</v>
      </c>
      <c r="D252" s="34">
        <f>D102+D67+D38</f>
        <v>1739080</v>
      </c>
      <c r="E252" s="34">
        <f>E102+E67+E38</f>
        <v>1739080</v>
      </c>
      <c r="F252" s="34">
        <f t="shared" ref="F252:K252" si="100">F102+F67+F38</f>
        <v>-900</v>
      </c>
      <c r="G252" s="34">
        <f t="shared" si="100"/>
        <v>0</v>
      </c>
      <c r="H252" s="34">
        <f t="shared" si="100"/>
        <v>0</v>
      </c>
      <c r="I252" s="34">
        <f t="shared" si="100"/>
        <v>0</v>
      </c>
      <c r="J252" s="34">
        <f t="shared" si="100"/>
        <v>1738180</v>
      </c>
      <c r="K252" s="34">
        <f t="shared" si="100"/>
        <v>1151271</v>
      </c>
    </row>
    <row r="253" spans="1:12" x14ac:dyDescent="0.25">
      <c r="A253" s="300"/>
      <c r="B253" s="301"/>
      <c r="C253" s="73" t="s">
        <v>37</v>
      </c>
      <c r="D253" s="61">
        <f>D185+D68+D39</f>
        <v>356000</v>
      </c>
      <c r="E253" s="61">
        <f>E185+E68+E39</f>
        <v>356000</v>
      </c>
      <c r="F253" s="61">
        <f t="shared" ref="F253:J253" si="101">F185+F68+F39</f>
        <v>0</v>
      </c>
      <c r="G253" s="61">
        <f t="shared" si="101"/>
        <v>0</v>
      </c>
      <c r="H253" s="61">
        <f t="shared" si="101"/>
        <v>0</v>
      </c>
      <c r="I253" s="61">
        <f t="shared" si="101"/>
        <v>0</v>
      </c>
      <c r="J253" s="61">
        <f t="shared" si="101"/>
        <v>356000</v>
      </c>
      <c r="K253" s="61">
        <f>K185+K68+K39</f>
        <v>0</v>
      </c>
      <c r="L253" s="74"/>
    </row>
    <row r="254" spans="1:12" x14ac:dyDescent="0.25">
      <c r="A254" s="300"/>
      <c r="B254" s="301"/>
      <c r="C254" s="33" t="s">
        <v>38</v>
      </c>
      <c r="D254" s="34">
        <f>D169+D148+D125+D103+D69+D40+D209</f>
        <v>1394000</v>
      </c>
      <c r="E254" s="34">
        <f>E169+E148+E125+E103+E69+E40+E209</f>
        <v>1394000</v>
      </c>
      <c r="F254" s="34">
        <f t="shared" ref="F254:K254" si="102">F169+F148+F125+F103+F69+F40+F209</f>
        <v>-14820</v>
      </c>
      <c r="G254" s="34">
        <f t="shared" si="102"/>
        <v>0</v>
      </c>
      <c r="H254" s="34">
        <f t="shared" si="102"/>
        <v>0</v>
      </c>
      <c r="I254" s="34">
        <f t="shared" si="102"/>
        <v>0</v>
      </c>
      <c r="J254" s="61">
        <f t="shared" si="102"/>
        <v>1379180</v>
      </c>
      <c r="K254" s="34">
        <f t="shared" si="102"/>
        <v>374868</v>
      </c>
    </row>
    <row r="255" spans="1:12" x14ac:dyDescent="0.25">
      <c r="A255" s="300"/>
      <c r="B255" s="301"/>
      <c r="C255" s="33" t="s">
        <v>39</v>
      </c>
      <c r="D255" s="34">
        <f>D41</f>
        <v>13200</v>
      </c>
      <c r="E255" s="34">
        <f>E41</f>
        <v>16540</v>
      </c>
      <c r="F255" s="34">
        <f t="shared" ref="F255:K255" si="103">F41</f>
        <v>5386</v>
      </c>
      <c r="G255" s="34">
        <f t="shared" si="103"/>
        <v>0</v>
      </c>
      <c r="H255" s="34">
        <f t="shared" si="103"/>
        <v>0</v>
      </c>
      <c r="I255" s="34">
        <f t="shared" si="103"/>
        <v>0</v>
      </c>
      <c r="J255" s="61">
        <f t="shared" si="103"/>
        <v>21926</v>
      </c>
      <c r="K255" s="34">
        <f t="shared" si="103"/>
        <v>21926</v>
      </c>
    </row>
    <row r="256" spans="1:12" x14ac:dyDescent="0.25">
      <c r="A256" s="300"/>
      <c r="B256" s="301"/>
      <c r="C256" s="36" t="s">
        <v>40</v>
      </c>
      <c r="D256" s="34">
        <f t="shared" ref="D256:K256" si="104">D186+D170+D149+D126+D104+D70+D42</f>
        <v>16415104</v>
      </c>
      <c r="E256" s="34">
        <f t="shared" si="104"/>
        <v>16415104</v>
      </c>
      <c r="F256" s="34">
        <f t="shared" si="104"/>
        <v>13600</v>
      </c>
      <c r="G256" s="34">
        <f t="shared" si="104"/>
        <v>0</v>
      </c>
      <c r="H256" s="34">
        <f t="shared" si="104"/>
        <v>0</v>
      </c>
      <c r="I256" s="34">
        <f t="shared" si="104"/>
        <v>0</v>
      </c>
      <c r="J256" s="61">
        <f t="shared" si="104"/>
        <v>16428704</v>
      </c>
      <c r="K256" s="34">
        <f t="shared" si="104"/>
        <v>561844</v>
      </c>
    </row>
    <row r="257" spans="1:11" x14ac:dyDescent="0.25">
      <c r="A257" s="300"/>
      <c r="B257" s="301"/>
      <c r="C257" s="33" t="s">
        <v>41</v>
      </c>
      <c r="D257" s="34">
        <f>D187+D171+D150+D127+D105+D71+D43+D210</f>
        <v>26876743</v>
      </c>
      <c r="E257" s="34">
        <f t="shared" ref="E257:K257" si="105">E187+E171+E150+E127+E105+E71+E43+E210</f>
        <v>14273085</v>
      </c>
      <c r="F257" s="34">
        <f t="shared" si="105"/>
        <v>16734</v>
      </c>
      <c r="G257" s="34">
        <f t="shared" si="105"/>
        <v>0</v>
      </c>
      <c r="H257" s="34">
        <f t="shared" si="105"/>
        <v>0</v>
      </c>
      <c r="I257" s="34">
        <f t="shared" si="105"/>
        <v>0</v>
      </c>
      <c r="J257" s="61">
        <f>J187+J171+J150+J127+J105+J71+J43+J210</f>
        <v>14289819</v>
      </c>
      <c r="K257" s="34">
        <f t="shared" si="105"/>
        <v>6590265</v>
      </c>
    </row>
    <row r="258" spans="1:11" x14ac:dyDescent="0.25">
      <c r="A258" s="300"/>
      <c r="B258" s="301"/>
      <c r="C258" s="35" t="s">
        <v>42</v>
      </c>
      <c r="D258" s="34">
        <f>D211+D188+D172+D151+D128+D106+D72+D44</f>
        <v>2852000</v>
      </c>
      <c r="E258" s="34">
        <f>E211+E188+E172+E151+E128+E106+E72+E44</f>
        <v>2839440</v>
      </c>
      <c r="F258" s="34">
        <f t="shared" ref="F258:K258" si="106">F211+F188+F172+F151+F128+F106+F72+F44</f>
        <v>0</v>
      </c>
      <c r="G258" s="34">
        <f t="shared" si="106"/>
        <v>0</v>
      </c>
      <c r="H258" s="34">
        <f t="shared" si="106"/>
        <v>0</v>
      </c>
      <c r="I258" s="34">
        <f t="shared" si="106"/>
        <v>0</v>
      </c>
      <c r="J258" s="34">
        <f t="shared" si="106"/>
        <v>2839440</v>
      </c>
      <c r="K258" s="34">
        <f t="shared" si="106"/>
        <v>1092548</v>
      </c>
    </row>
    <row r="259" spans="1:11" x14ac:dyDescent="0.25">
      <c r="A259" s="300"/>
      <c r="B259" s="301"/>
      <c r="C259" s="35" t="s">
        <v>43</v>
      </c>
      <c r="D259" s="34">
        <f>D45+D73+D189</f>
        <v>290000</v>
      </c>
      <c r="E259" s="34">
        <f>E45+E73+E189</f>
        <v>290000</v>
      </c>
      <c r="F259" s="34">
        <f t="shared" ref="F259:K259" si="107">F45+F73+F189</f>
        <v>0</v>
      </c>
      <c r="G259" s="34">
        <f t="shared" si="107"/>
        <v>0</v>
      </c>
      <c r="H259" s="34">
        <f t="shared" si="107"/>
        <v>0</v>
      </c>
      <c r="I259" s="34">
        <f t="shared" si="107"/>
        <v>0</v>
      </c>
      <c r="J259" s="34">
        <f t="shared" si="107"/>
        <v>290000</v>
      </c>
      <c r="K259" s="34">
        <f t="shared" si="107"/>
        <v>0</v>
      </c>
    </row>
    <row r="260" spans="1:11" x14ac:dyDescent="0.25">
      <c r="A260" s="300"/>
      <c r="B260" s="301"/>
      <c r="C260" s="33" t="s">
        <v>44</v>
      </c>
      <c r="D260" s="34">
        <f>D212+D190+D173+D152+D129+D107+D74+D46</f>
        <v>7754652</v>
      </c>
      <c r="E260" s="34">
        <f>E212+E190+E173+E152+E129+E107+E74+E46</f>
        <v>5316093</v>
      </c>
      <c r="F260" s="34">
        <f t="shared" ref="F260:K260" si="108">F212+F190+F173+F152+F129+F107+F74+F46</f>
        <v>0</v>
      </c>
      <c r="G260" s="34">
        <f t="shared" si="108"/>
        <v>0</v>
      </c>
      <c r="H260" s="34">
        <f t="shared" si="108"/>
        <v>0</v>
      </c>
      <c r="I260" s="34">
        <f t="shared" si="108"/>
        <v>0</v>
      </c>
      <c r="J260" s="34">
        <f t="shared" si="108"/>
        <v>5316093</v>
      </c>
      <c r="K260" s="34">
        <f t="shared" si="108"/>
        <v>1950219</v>
      </c>
    </row>
    <row r="261" spans="1:11" x14ac:dyDescent="0.25">
      <c r="A261" s="300"/>
      <c r="B261" s="301"/>
      <c r="C261" s="37" t="s">
        <v>45</v>
      </c>
      <c r="D261" s="34">
        <f>D213+D191+D75+D47</f>
        <v>743011</v>
      </c>
      <c r="E261" s="34">
        <f>E213+E191+E75+E47</f>
        <v>743011</v>
      </c>
      <c r="F261" s="34">
        <f t="shared" ref="F261:K261" si="109">F213+F191+F75+F47</f>
        <v>0</v>
      </c>
      <c r="G261" s="34">
        <f t="shared" si="109"/>
        <v>0</v>
      </c>
      <c r="H261" s="34">
        <f t="shared" si="109"/>
        <v>0</v>
      </c>
      <c r="I261" s="34">
        <f t="shared" si="109"/>
        <v>0</v>
      </c>
      <c r="J261" s="34">
        <f t="shared" si="109"/>
        <v>743011</v>
      </c>
      <c r="K261" s="34">
        <f t="shared" si="109"/>
        <v>259112</v>
      </c>
    </row>
    <row r="262" spans="1:11" x14ac:dyDescent="0.25">
      <c r="A262" s="300"/>
      <c r="B262" s="301"/>
      <c r="C262" s="65" t="s">
        <v>49</v>
      </c>
      <c r="D262" s="66">
        <f>D214+D192+D174+D153+D130+D108+D76+D48</f>
        <v>62319790</v>
      </c>
      <c r="E262" s="66">
        <f>E214+E192+E174+E153+E130+E108+E76+E48</f>
        <v>41331790</v>
      </c>
      <c r="F262" s="66">
        <f t="shared" ref="F262:K262" si="110">F214+F192+F174+F153+F130+F108+F76+F48</f>
        <v>0</v>
      </c>
      <c r="G262" s="66">
        <f t="shared" si="110"/>
        <v>0</v>
      </c>
      <c r="H262" s="66">
        <f t="shared" si="110"/>
        <v>0</v>
      </c>
      <c r="I262" s="66">
        <f t="shared" si="110"/>
        <v>0</v>
      </c>
      <c r="J262" s="66">
        <f t="shared" si="110"/>
        <v>47557240</v>
      </c>
      <c r="K262" s="66">
        <f t="shared" si="110"/>
        <v>12664149</v>
      </c>
    </row>
    <row r="263" spans="1:11" x14ac:dyDescent="0.25">
      <c r="A263" s="300"/>
      <c r="B263" s="301"/>
      <c r="C263" s="65" t="s">
        <v>100</v>
      </c>
      <c r="D263" s="66">
        <f>D197</f>
        <v>0</v>
      </c>
      <c r="E263" s="66">
        <f t="shared" ref="E263:K263" si="111">E197</f>
        <v>10500000</v>
      </c>
      <c r="F263" s="66">
        <f t="shared" si="111"/>
        <v>0</v>
      </c>
      <c r="G263" s="66">
        <f t="shared" si="111"/>
        <v>0</v>
      </c>
      <c r="H263" s="66">
        <f t="shared" si="111"/>
        <v>0</v>
      </c>
      <c r="I263" s="66">
        <f t="shared" si="111"/>
        <v>0</v>
      </c>
      <c r="J263" s="66">
        <f t="shared" si="111"/>
        <v>10500000</v>
      </c>
      <c r="K263" s="66">
        <f t="shared" si="111"/>
        <v>10500000</v>
      </c>
    </row>
    <row r="264" spans="1:11" x14ac:dyDescent="0.25">
      <c r="A264" s="300"/>
      <c r="B264" s="301"/>
      <c r="C264" s="38" t="s">
        <v>50</v>
      </c>
      <c r="D264" s="34">
        <f t="shared" ref="D264:K266" si="112">D194+D77+D49</f>
        <v>161220</v>
      </c>
      <c r="E264" s="34">
        <f t="shared" si="112"/>
        <v>161220</v>
      </c>
      <c r="F264" s="34">
        <f t="shared" si="112"/>
        <v>0</v>
      </c>
      <c r="G264" s="34">
        <f t="shared" si="112"/>
        <v>0</v>
      </c>
      <c r="H264" s="34">
        <f t="shared" si="112"/>
        <v>0</v>
      </c>
      <c r="I264" s="34">
        <f t="shared" si="112"/>
        <v>0</v>
      </c>
      <c r="J264" s="34">
        <f t="shared" si="112"/>
        <v>161220</v>
      </c>
      <c r="K264" s="34">
        <f t="shared" si="112"/>
        <v>0</v>
      </c>
    </row>
    <row r="265" spans="1:11" x14ac:dyDescent="0.25">
      <c r="A265" s="300"/>
      <c r="B265" s="301"/>
      <c r="C265" s="37" t="s">
        <v>51</v>
      </c>
      <c r="D265" s="34">
        <f t="shared" si="112"/>
        <v>43530</v>
      </c>
      <c r="E265" s="34">
        <f t="shared" si="112"/>
        <v>43530</v>
      </c>
      <c r="F265" s="34">
        <f t="shared" si="112"/>
        <v>0</v>
      </c>
      <c r="G265" s="34">
        <f t="shared" si="112"/>
        <v>0</v>
      </c>
      <c r="H265" s="34">
        <f t="shared" si="112"/>
        <v>0</v>
      </c>
      <c r="I265" s="34">
        <f t="shared" si="112"/>
        <v>0</v>
      </c>
      <c r="J265" s="34">
        <f t="shared" si="112"/>
        <v>43530</v>
      </c>
      <c r="K265" s="34">
        <f t="shared" si="112"/>
        <v>0</v>
      </c>
    </row>
    <row r="266" spans="1:11" x14ac:dyDescent="0.25">
      <c r="A266" s="300"/>
      <c r="B266" s="301"/>
      <c r="C266" s="65" t="s">
        <v>52</v>
      </c>
      <c r="D266" s="68">
        <f t="shared" si="112"/>
        <v>204750</v>
      </c>
      <c r="E266" s="68">
        <f t="shared" si="112"/>
        <v>204750</v>
      </c>
      <c r="F266" s="68">
        <f t="shared" si="112"/>
        <v>0</v>
      </c>
      <c r="G266" s="68">
        <f t="shared" si="112"/>
        <v>0</v>
      </c>
      <c r="H266" s="68">
        <f t="shared" si="112"/>
        <v>0</v>
      </c>
      <c r="I266" s="68">
        <f t="shared" si="112"/>
        <v>0</v>
      </c>
      <c r="J266" s="68">
        <f t="shared" si="112"/>
        <v>204750</v>
      </c>
      <c r="K266" s="66">
        <f t="shared" si="112"/>
        <v>0</v>
      </c>
    </row>
    <row r="267" spans="1:11" x14ac:dyDescent="0.25">
      <c r="A267" s="302"/>
      <c r="B267" s="303"/>
      <c r="C267" s="69" t="s">
        <v>88</v>
      </c>
      <c r="D267" s="70">
        <f>D218</f>
        <v>230443641</v>
      </c>
      <c r="E267" s="70">
        <f>E218</f>
        <v>230521849</v>
      </c>
      <c r="F267" s="70">
        <f t="shared" ref="F267:K267" si="113">F218</f>
        <v>0</v>
      </c>
      <c r="G267" s="70">
        <f t="shared" si="113"/>
        <v>0</v>
      </c>
      <c r="H267" s="70">
        <f t="shared" si="113"/>
        <v>0</v>
      </c>
      <c r="I267" s="70">
        <f t="shared" si="113"/>
        <v>0</v>
      </c>
      <c r="J267" s="70">
        <f t="shared" si="113"/>
        <v>230521849</v>
      </c>
      <c r="K267" s="70">
        <f t="shared" si="113"/>
        <v>129753488</v>
      </c>
    </row>
    <row r="268" spans="1:11" x14ac:dyDescent="0.25">
      <c r="B268" s="5"/>
      <c r="E268" s="4"/>
      <c r="F268" s="4"/>
      <c r="G268" s="4"/>
      <c r="H268" s="4"/>
      <c r="I268" s="4"/>
      <c r="J268" s="4"/>
      <c r="K268" s="111"/>
    </row>
    <row r="269" spans="1:11" x14ac:dyDescent="0.25">
      <c r="B269" s="5"/>
      <c r="E269" s="4"/>
      <c r="F269" s="4"/>
      <c r="G269" s="4"/>
      <c r="H269" s="4"/>
      <c r="I269" s="4"/>
      <c r="J269" s="4"/>
      <c r="K269" s="111"/>
    </row>
  </sheetData>
  <autoFilter ref="A4:L4" xr:uid="{00000000-0009-0000-0000-000006000000}"/>
  <mergeCells count="74">
    <mergeCell ref="A1:L1"/>
    <mergeCell ref="A3:A4"/>
    <mergeCell ref="B3:B4"/>
    <mergeCell ref="C3:C4"/>
    <mergeCell ref="D3:D4"/>
    <mergeCell ref="E3:E4"/>
    <mergeCell ref="F3:I3"/>
    <mergeCell ref="J3:J4"/>
    <mergeCell ref="K3:K4"/>
    <mergeCell ref="L3:L4"/>
    <mergeCell ref="A5:A13"/>
    <mergeCell ref="B5:B7"/>
    <mergeCell ref="B8:B11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C24"/>
    <mergeCell ref="A25:A79"/>
    <mergeCell ref="B25:B51"/>
    <mergeCell ref="B52:B79"/>
    <mergeCell ref="A80:A81"/>
    <mergeCell ref="B80:B81"/>
    <mergeCell ref="A82:A83"/>
    <mergeCell ref="B82:B83"/>
    <mergeCell ref="A84:A85"/>
    <mergeCell ref="B84:B85"/>
    <mergeCell ref="A131:A132"/>
    <mergeCell ref="B131:B132"/>
    <mergeCell ref="A86:A87"/>
    <mergeCell ref="B86:B87"/>
    <mergeCell ref="A88:C88"/>
    <mergeCell ref="A89:A108"/>
    <mergeCell ref="B89:B108"/>
    <mergeCell ref="A109:A110"/>
    <mergeCell ref="B109:B110"/>
    <mergeCell ref="A111:A112"/>
    <mergeCell ref="B111:B112"/>
    <mergeCell ref="A113:C113"/>
    <mergeCell ref="A114:A130"/>
    <mergeCell ref="B114:B130"/>
    <mergeCell ref="A177:A178"/>
    <mergeCell ref="B177:B178"/>
    <mergeCell ref="A133:A134"/>
    <mergeCell ref="B133:B134"/>
    <mergeCell ref="A135:C135"/>
    <mergeCell ref="A136:A153"/>
    <mergeCell ref="B136:B153"/>
    <mergeCell ref="A154:A155"/>
    <mergeCell ref="B154:B155"/>
    <mergeCell ref="A156:C156"/>
    <mergeCell ref="A157:A174"/>
    <mergeCell ref="B157:B174"/>
    <mergeCell ref="A175:A176"/>
    <mergeCell ref="B175:B176"/>
    <mergeCell ref="A226:B267"/>
    <mergeCell ref="A179:C179"/>
    <mergeCell ref="A180:A197"/>
    <mergeCell ref="B180:B197"/>
    <mergeCell ref="A198:C198"/>
    <mergeCell ref="A199:A214"/>
    <mergeCell ref="B199:B214"/>
    <mergeCell ref="A215:A216"/>
    <mergeCell ref="B215:B216"/>
    <mergeCell ref="A217:C217"/>
    <mergeCell ref="A218:C218"/>
    <mergeCell ref="A225:K225"/>
  </mergeCells>
  <pageMargins left="0.7" right="0.7" top="0.75" bottom="0.75" header="0.3" footer="0.3"/>
  <pageSetup paperSize="9" scale="50" orientation="portrait" r:id="rId1"/>
  <rowBreaks count="2" manualBreakCount="2">
    <brk id="88" max="16383" man="1"/>
    <brk id="17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350"/>
  <sheetViews>
    <sheetView workbookViewId="0">
      <pane xSplit="2" ySplit="4" topLeftCell="C337" activePane="bottomRight" state="frozen"/>
      <selection activeCell="D8" sqref="D8"/>
      <selection pane="topRight" activeCell="D8" sqref="D8"/>
      <selection pane="bottomLeft" activeCell="D8" sqref="D8"/>
      <selection pane="bottomRight" activeCell="D8" sqref="D8"/>
    </sheetView>
  </sheetViews>
  <sheetFormatPr defaultRowHeight="15" x14ac:dyDescent="0.25"/>
  <cols>
    <col min="1" max="1" width="42.7109375" customWidth="1"/>
    <col min="3" max="3" width="7.7109375" customWidth="1"/>
    <col min="4" max="5" width="13.7109375" customWidth="1"/>
    <col min="6" max="6" width="13.28515625" customWidth="1"/>
    <col min="7" max="7" width="11.7109375" customWidth="1"/>
    <col min="8" max="9" width="10.28515625" bestFit="1" customWidth="1"/>
    <col min="10" max="10" width="13.85546875" bestFit="1" customWidth="1"/>
    <col min="11" max="11" width="13.85546875" style="122" customWidth="1"/>
    <col min="12" max="12" width="13.85546875" customWidth="1"/>
  </cols>
  <sheetData>
    <row r="1" spans="1:12" ht="21" x14ac:dyDescent="0.25">
      <c r="A1" s="360" t="s">
        <v>0</v>
      </c>
      <c r="B1" s="360"/>
      <c r="C1" s="360"/>
      <c r="D1" s="360"/>
      <c r="E1" s="360"/>
      <c r="F1" s="360"/>
      <c r="G1" s="360"/>
      <c r="H1" s="360"/>
      <c r="I1" s="360"/>
      <c r="J1" s="360"/>
      <c r="K1" s="360"/>
      <c r="L1" s="360"/>
    </row>
    <row r="2" spans="1:12" x14ac:dyDescent="0.25">
      <c r="B2" s="5"/>
      <c r="E2" s="4"/>
      <c r="F2" s="4"/>
      <c r="G2" s="4"/>
      <c r="H2" s="4"/>
      <c r="I2" s="4"/>
      <c r="J2" s="4"/>
      <c r="K2" s="111"/>
    </row>
    <row r="3" spans="1:12" ht="15" customHeight="1" x14ac:dyDescent="0.25">
      <c r="A3" s="342" t="s">
        <v>104</v>
      </c>
      <c r="B3" s="344" t="s">
        <v>105</v>
      </c>
      <c r="C3" s="342" t="s">
        <v>3</v>
      </c>
      <c r="D3" s="342" t="s">
        <v>4</v>
      </c>
      <c r="E3" s="346" t="s">
        <v>96</v>
      </c>
      <c r="F3" s="348" t="s">
        <v>69</v>
      </c>
      <c r="G3" s="349"/>
      <c r="H3" s="349"/>
      <c r="I3" s="350"/>
      <c r="J3" s="346" t="s">
        <v>119</v>
      </c>
      <c r="K3" s="351" t="s">
        <v>116</v>
      </c>
      <c r="L3" s="352" t="s">
        <v>120</v>
      </c>
    </row>
    <row r="4" spans="1:12" ht="42.6" customHeight="1" x14ac:dyDescent="0.25">
      <c r="A4" s="343"/>
      <c r="B4" s="345"/>
      <c r="C4" s="343"/>
      <c r="D4" s="343"/>
      <c r="E4" s="347"/>
      <c r="F4" s="138" t="s">
        <v>70</v>
      </c>
      <c r="G4" s="125" t="s">
        <v>123</v>
      </c>
      <c r="H4" s="125" t="s">
        <v>124</v>
      </c>
      <c r="I4" s="125" t="s">
        <v>122</v>
      </c>
      <c r="J4" s="347"/>
      <c r="K4" s="351"/>
      <c r="L4" s="352"/>
    </row>
    <row r="5" spans="1:12" x14ac:dyDescent="0.25">
      <c r="A5" s="255" t="s">
        <v>6</v>
      </c>
      <c r="B5" s="268" t="s">
        <v>21</v>
      </c>
      <c r="C5" s="2" t="s">
        <v>16</v>
      </c>
      <c r="D5" s="3">
        <v>54810810</v>
      </c>
      <c r="E5" s="3">
        <v>54848819</v>
      </c>
      <c r="F5" s="3"/>
      <c r="G5" s="3">
        <v>-2110933</v>
      </c>
      <c r="H5" s="3"/>
      <c r="I5" s="3"/>
      <c r="J5" s="20">
        <f>E5+F5+G5+H5+I5</f>
        <v>52737886</v>
      </c>
      <c r="K5" s="112">
        <v>32060981</v>
      </c>
      <c r="L5" s="3">
        <f>J5-K5</f>
        <v>20676905</v>
      </c>
    </row>
    <row r="6" spans="1:12" x14ac:dyDescent="0.25">
      <c r="A6" s="256"/>
      <c r="B6" s="268"/>
      <c r="C6" s="2" t="s">
        <v>17</v>
      </c>
      <c r="D6" s="3">
        <v>7273070</v>
      </c>
      <c r="E6" s="3">
        <v>7273070</v>
      </c>
      <c r="F6" s="3"/>
      <c r="G6" s="3"/>
      <c r="H6" s="3"/>
      <c r="I6" s="3"/>
      <c r="J6" s="20">
        <f t="shared" ref="J6:J23" si="0">E6+F6+G6+H6+I6</f>
        <v>7273070</v>
      </c>
      <c r="K6" s="112">
        <v>7273070</v>
      </c>
      <c r="L6" s="3">
        <f t="shared" ref="L6:L23" si="1">J6-K6</f>
        <v>0</v>
      </c>
    </row>
    <row r="7" spans="1:12" x14ac:dyDescent="0.25">
      <c r="A7" s="256"/>
      <c r="B7" s="268"/>
      <c r="C7" s="2" t="s">
        <v>18</v>
      </c>
      <c r="D7" s="3">
        <v>96985672</v>
      </c>
      <c r="E7" s="3">
        <v>96985672</v>
      </c>
      <c r="F7" s="3"/>
      <c r="G7" s="3">
        <v>3344000</v>
      </c>
      <c r="H7" s="3"/>
      <c r="I7" s="3"/>
      <c r="J7" s="20">
        <f t="shared" si="0"/>
        <v>100329672</v>
      </c>
      <c r="K7" s="112">
        <v>61177949</v>
      </c>
      <c r="L7" s="3">
        <f t="shared" si="1"/>
        <v>39151723</v>
      </c>
    </row>
    <row r="8" spans="1:12" x14ac:dyDescent="0.25">
      <c r="A8" s="256"/>
      <c r="B8" s="252">
        <v>104042</v>
      </c>
      <c r="C8" s="2" t="s">
        <v>22</v>
      </c>
      <c r="D8" s="3">
        <v>200000</v>
      </c>
      <c r="E8" s="3">
        <v>200000</v>
      </c>
      <c r="F8" s="3"/>
      <c r="G8" s="3"/>
      <c r="H8" s="3"/>
      <c r="I8" s="3"/>
      <c r="J8" s="20">
        <f t="shared" si="0"/>
        <v>200000</v>
      </c>
      <c r="K8" s="112">
        <v>0</v>
      </c>
      <c r="L8" s="3">
        <f t="shared" si="1"/>
        <v>200000</v>
      </c>
    </row>
    <row r="9" spans="1:12" x14ac:dyDescent="0.25">
      <c r="A9" s="256"/>
      <c r="B9" s="253"/>
      <c r="C9" s="2" t="s">
        <v>19</v>
      </c>
      <c r="D9" s="3">
        <v>13200</v>
      </c>
      <c r="E9" s="3">
        <v>16540</v>
      </c>
      <c r="F9" s="3">
        <f>5386</f>
        <v>5386</v>
      </c>
      <c r="G9" s="3"/>
      <c r="H9" s="3"/>
      <c r="I9" s="3">
        <v>10000</v>
      </c>
      <c r="J9" s="20">
        <f t="shared" si="0"/>
        <v>31926</v>
      </c>
      <c r="K9" s="112">
        <v>21926</v>
      </c>
      <c r="L9" s="60">
        <f t="shared" si="1"/>
        <v>10000</v>
      </c>
    </row>
    <row r="10" spans="1:12" x14ac:dyDescent="0.25">
      <c r="A10" s="256"/>
      <c r="B10" s="253"/>
      <c r="C10" s="2" t="s">
        <v>20</v>
      </c>
      <c r="D10" s="3">
        <v>500</v>
      </c>
      <c r="E10" s="3">
        <v>211</v>
      </c>
      <c r="F10" s="3">
        <f>-59+500</f>
        <v>441</v>
      </c>
      <c r="G10" s="3"/>
      <c r="H10" s="3"/>
      <c r="I10" s="3"/>
      <c r="J10" s="20">
        <f t="shared" si="0"/>
        <v>652</v>
      </c>
      <c r="K10" s="112">
        <v>152</v>
      </c>
      <c r="L10" s="3">
        <f t="shared" si="1"/>
        <v>500</v>
      </c>
    </row>
    <row r="11" spans="1:12" x14ac:dyDescent="0.25">
      <c r="A11" s="256"/>
      <c r="B11" s="254"/>
      <c r="C11" s="2" t="s">
        <v>84</v>
      </c>
      <c r="D11" s="3">
        <v>0</v>
      </c>
      <c r="E11" s="3">
        <v>9238</v>
      </c>
      <c r="F11" s="3">
        <f>96-5386-1000</f>
        <v>-6290</v>
      </c>
      <c r="G11" s="3"/>
      <c r="H11" s="3"/>
      <c r="I11" s="3">
        <v>9950</v>
      </c>
      <c r="J11" s="20">
        <f t="shared" si="0"/>
        <v>12898</v>
      </c>
      <c r="K11" s="112">
        <v>3834</v>
      </c>
      <c r="L11" s="3">
        <f t="shared" si="1"/>
        <v>9064</v>
      </c>
    </row>
    <row r="12" spans="1:12" x14ac:dyDescent="0.25">
      <c r="A12" s="256"/>
      <c r="B12" s="252">
        <v>104043</v>
      </c>
      <c r="C12" s="2" t="s">
        <v>20</v>
      </c>
      <c r="D12" s="3">
        <v>500</v>
      </c>
      <c r="E12" s="3">
        <v>210</v>
      </c>
      <c r="F12" s="3">
        <f>-37+500</f>
        <v>463</v>
      </c>
      <c r="G12" s="3"/>
      <c r="H12" s="3"/>
      <c r="I12" s="3"/>
      <c r="J12" s="20">
        <f t="shared" si="0"/>
        <v>673</v>
      </c>
      <c r="K12" s="112">
        <v>152</v>
      </c>
      <c r="L12" s="3">
        <f t="shared" si="1"/>
        <v>521</v>
      </c>
    </row>
    <row r="13" spans="1:12" x14ac:dyDescent="0.25">
      <c r="A13" s="257"/>
      <c r="B13" s="254"/>
      <c r="C13" s="2" t="s">
        <v>84</v>
      </c>
      <c r="D13" s="3">
        <v>0</v>
      </c>
      <c r="E13" s="3">
        <v>1</v>
      </c>
      <c r="F13" s="3"/>
      <c r="G13" s="3"/>
      <c r="H13" s="3"/>
      <c r="I13" s="3">
        <v>50</v>
      </c>
      <c r="J13" s="20">
        <f t="shared" si="0"/>
        <v>51</v>
      </c>
      <c r="K13" s="112">
        <v>1</v>
      </c>
      <c r="L13" s="3">
        <f t="shared" si="1"/>
        <v>50</v>
      </c>
    </row>
    <row r="14" spans="1:12" x14ac:dyDescent="0.25">
      <c r="A14" s="258" t="s">
        <v>7</v>
      </c>
      <c r="B14" s="268" t="s">
        <v>21</v>
      </c>
      <c r="C14" s="2" t="s">
        <v>16</v>
      </c>
      <c r="D14" s="3">
        <v>245982</v>
      </c>
      <c r="E14" s="3">
        <v>245982</v>
      </c>
      <c r="F14" s="3"/>
      <c r="G14" s="3"/>
      <c r="H14" s="3"/>
      <c r="I14" s="3"/>
      <c r="J14" s="20">
        <f t="shared" si="0"/>
        <v>245982</v>
      </c>
      <c r="K14" s="112">
        <v>122992</v>
      </c>
      <c r="L14" s="3">
        <f t="shared" si="1"/>
        <v>122990</v>
      </c>
    </row>
    <row r="15" spans="1:12" x14ac:dyDescent="0.25">
      <c r="A15" s="258"/>
      <c r="B15" s="268"/>
      <c r="C15" s="2" t="s">
        <v>17</v>
      </c>
      <c r="D15" s="3">
        <v>1005557</v>
      </c>
      <c r="E15" s="3">
        <v>1005557</v>
      </c>
      <c r="F15" s="3"/>
      <c r="G15" s="3"/>
      <c r="H15" s="3"/>
      <c r="I15" s="3"/>
      <c r="J15" s="20">
        <f t="shared" si="0"/>
        <v>1005557</v>
      </c>
      <c r="K15" s="112">
        <v>1005557</v>
      </c>
      <c r="L15" s="3">
        <f t="shared" si="1"/>
        <v>0</v>
      </c>
    </row>
    <row r="16" spans="1:12" x14ac:dyDescent="0.25">
      <c r="A16" s="258" t="s">
        <v>8</v>
      </c>
      <c r="B16" s="268" t="s">
        <v>21</v>
      </c>
      <c r="C16" s="2" t="s">
        <v>16</v>
      </c>
      <c r="D16" s="3">
        <v>3086953</v>
      </c>
      <c r="E16" s="3">
        <v>3103704</v>
      </c>
      <c r="F16" s="3"/>
      <c r="G16" s="3"/>
      <c r="H16" s="3"/>
      <c r="I16" s="3"/>
      <c r="J16" s="20">
        <f t="shared" si="0"/>
        <v>3103704</v>
      </c>
      <c r="K16" s="112">
        <v>1560228</v>
      </c>
      <c r="L16" s="3">
        <f t="shared" si="1"/>
        <v>1543476</v>
      </c>
    </row>
    <row r="17" spans="1:12" x14ac:dyDescent="0.25">
      <c r="A17" s="258"/>
      <c r="B17" s="268"/>
      <c r="C17" s="2" t="s">
        <v>17</v>
      </c>
      <c r="D17" s="3">
        <v>440959</v>
      </c>
      <c r="E17" s="3">
        <v>440959</v>
      </c>
      <c r="F17" s="3"/>
      <c r="G17" s="3"/>
      <c r="H17" s="3"/>
      <c r="I17" s="3"/>
      <c r="J17" s="20">
        <f t="shared" si="0"/>
        <v>440959</v>
      </c>
      <c r="K17" s="112">
        <v>440959</v>
      </c>
      <c r="L17" s="3">
        <f t="shared" si="1"/>
        <v>0</v>
      </c>
    </row>
    <row r="18" spans="1:12" x14ac:dyDescent="0.25">
      <c r="A18" s="258" t="s">
        <v>9</v>
      </c>
      <c r="B18" s="268" t="s">
        <v>21</v>
      </c>
      <c r="C18" s="2" t="s">
        <v>16</v>
      </c>
      <c r="D18" s="3">
        <v>1403439</v>
      </c>
      <c r="E18" s="3">
        <v>1414887</v>
      </c>
      <c r="F18" s="3"/>
      <c r="G18" s="3"/>
      <c r="H18" s="3"/>
      <c r="I18" s="3"/>
      <c r="J18" s="20">
        <f t="shared" si="0"/>
        <v>1414887</v>
      </c>
      <c r="K18" s="112">
        <v>780469</v>
      </c>
      <c r="L18" s="3">
        <f t="shared" si="1"/>
        <v>634418</v>
      </c>
    </row>
    <row r="19" spans="1:12" x14ac:dyDescent="0.25">
      <c r="A19" s="258"/>
      <c r="B19" s="268"/>
      <c r="C19" s="2" t="s">
        <v>17</v>
      </c>
      <c r="D19" s="3">
        <v>599759</v>
      </c>
      <c r="E19" s="3">
        <v>599759</v>
      </c>
      <c r="F19" s="3"/>
      <c r="G19" s="3"/>
      <c r="H19" s="3"/>
      <c r="I19" s="3"/>
      <c r="J19" s="20">
        <f t="shared" si="0"/>
        <v>599759</v>
      </c>
      <c r="K19" s="112">
        <v>599759</v>
      </c>
      <c r="L19" s="3">
        <f t="shared" si="1"/>
        <v>0</v>
      </c>
    </row>
    <row r="20" spans="1:12" x14ac:dyDescent="0.25">
      <c r="A20" s="255" t="s">
        <v>54</v>
      </c>
      <c r="B20" s="252" t="s">
        <v>21</v>
      </c>
      <c r="C20" s="2" t="s">
        <v>16</v>
      </c>
      <c r="D20" s="3">
        <v>4056383</v>
      </c>
      <c r="E20" s="3">
        <v>4056383</v>
      </c>
      <c r="F20" s="3"/>
      <c r="G20" s="3"/>
      <c r="H20" s="3"/>
      <c r="I20" s="3"/>
      <c r="J20" s="20">
        <f t="shared" si="0"/>
        <v>4056383</v>
      </c>
      <c r="K20" s="112">
        <v>2028192</v>
      </c>
      <c r="L20" s="3">
        <f t="shared" si="1"/>
        <v>2028191</v>
      </c>
    </row>
    <row r="21" spans="1:12" x14ac:dyDescent="0.25">
      <c r="A21" s="257"/>
      <c r="B21" s="254"/>
      <c r="C21" s="2" t="s">
        <v>17</v>
      </c>
      <c r="D21" s="3">
        <v>226299</v>
      </c>
      <c r="E21" s="3">
        <v>226299</v>
      </c>
      <c r="F21" s="3"/>
      <c r="G21" s="3"/>
      <c r="H21" s="3"/>
      <c r="I21" s="3"/>
      <c r="J21" s="20">
        <f t="shared" si="0"/>
        <v>226299</v>
      </c>
      <c r="K21" s="112">
        <v>226299</v>
      </c>
      <c r="L21" s="3">
        <f t="shared" si="1"/>
        <v>0</v>
      </c>
    </row>
    <row r="22" spans="1:12" x14ac:dyDescent="0.25">
      <c r="A22" s="258" t="s">
        <v>10</v>
      </c>
      <c r="B22" s="268" t="s">
        <v>21</v>
      </c>
      <c r="C22" s="2" t="s">
        <v>16</v>
      </c>
      <c r="D22" s="3">
        <v>53627392</v>
      </c>
      <c r="E22" s="3">
        <v>53627392</v>
      </c>
      <c r="F22" s="3"/>
      <c r="G22" s="3"/>
      <c r="H22" s="3"/>
      <c r="I22" s="3"/>
      <c r="J22" s="20">
        <f t="shared" si="0"/>
        <v>53627392</v>
      </c>
      <c r="K22" s="112">
        <v>20202943</v>
      </c>
      <c r="L22" s="3">
        <f t="shared" si="1"/>
        <v>33424449</v>
      </c>
    </row>
    <row r="23" spans="1:12" x14ac:dyDescent="0.25">
      <c r="A23" s="258"/>
      <c r="B23" s="268"/>
      <c r="C23" s="2" t="s">
        <v>17</v>
      </c>
      <c r="D23" s="3">
        <v>6467166</v>
      </c>
      <c r="E23" s="3">
        <v>6467166</v>
      </c>
      <c r="F23" s="3"/>
      <c r="G23" s="3"/>
      <c r="H23" s="3"/>
      <c r="I23" s="3"/>
      <c r="J23" s="20">
        <f t="shared" si="0"/>
        <v>6467166</v>
      </c>
      <c r="K23" s="112">
        <v>6467166</v>
      </c>
      <c r="L23" s="3">
        <f t="shared" si="1"/>
        <v>0</v>
      </c>
    </row>
    <row r="24" spans="1:12" ht="30" customHeight="1" x14ac:dyDescent="0.25">
      <c r="A24" s="353" t="s">
        <v>73</v>
      </c>
      <c r="B24" s="354"/>
      <c r="C24" s="355"/>
      <c r="D24" s="126">
        <f t="shared" ref="D24:L24" si="2">SUM(D5:D23)</f>
        <v>230443641</v>
      </c>
      <c r="E24" s="126">
        <f t="shared" si="2"/>
        <v>230521849</v>
      </c>
      <c r="F24" s="126">
        <f t="shared" si="2"/>
        <v>0</v>
      </c>
      <c r="G24" s="126">
        <f t="shared" si="2"/>
        <v>1233067</v>
      </c>
      <c r="H24" s="126">
        <f t="shared" si="2"/>
        <v>0</v>
      </c>
      <c r="I24" s="126">
        <f t="shared" si="2"/>
        <v>20000</v>
      </c>
      <c r="J24" s="126">
        <f t="shared" si="2"/>
        <v>231774916</v>
      </c>
      <c r="K24" s="127">
        <f t="shared" si="2"/>
        <v>133972629</v>
      </c>
      <c r="L24" s="126">
        <f t="shared" si="2"/>
        <v>97802287</v>
      </c>
    </row>
    <row r="25" spans="1:12" x14ac:dyDescent="0.25">
      <c r="A25" s="258" t="s">
        <v>11</v>
      </c>
      <c r="B25" s="252" t="s">
        <v>23</v>
      </c>
      <c r="C25" s="2" t="s">
        <v>24</v>
      </c>
      <c r="D25" s="3">
        <v>35883092</v>
      </c>
      <c r="E25" s="3">
        <v>35716284</v>
      </c>
      <c r="F25" s="3">
        <f>(SUM('2019.06.30.'!F25,'2019.07.31.'!F25,'2019.08.31.'!F25))-100000</f>
        <v>-277304</v>
      </c>
      <c r="G25" s="3"/>
      <c r="H25" s="3"/>
      <c r="I25" s="3"/>
      <c r="J25" s="20">
        <f t="shared" ref="J25:J31" si="3">E25+F25+G25+H25+I25</f>
        <v>35438980</v>
      </c>
      <c r="K25" s="112">
        <v>21352561</v>
      </c>
      <c r="L25" s="3">
        <f t="shared" ref="L25:L31" si="4">J25-K25</f>
        <v>14086419</v>
      </c>
    </row>
    <row r="26" spans="1:12" x14ac:dyDescent="0.25">
      <c r="A26" s="258"/>
      <c r="B26" s="253"/>
      <c r="C26" s="2" t="s">
        <v>25</v>
      </c>
      <c r="D26" s="3">
        <v>1542000</v>
      </c>
      <c r="E26" s="3">
        <v>1542000</v>
      </c>
      <c r="F26" s="3"/>
      <c r="G26" s="3"/>
      <c r="H26" s="3"/>
      <c r="I26" s="3"/>
      <c r="J26" s="20">
        <f t="shared" si="3"/>
        <v>1542000</v>
      </c>
      <c r="K26" s="112">
        <v>725000</v>
      </c>
      <c r="L26" s="3">
        <f t="shared" si="4"/>
        <v>817000</v>
      </c>
    </row>
    <row r="27" spans="1:12" x14ac:dyDescent="0.25">
      <c r="A27" s="258"/>
      <c r="B27" s="253"/>
      <c r="C27" s="2" t="s">
        <v>26</v>
      </c>
      <c r="D27" s="3">
        <v>80000</v>
      </c>
      <c r="E27" s="3">
        <v>80000</v>
      </c>
      <c r="F27" s="3"/>
      <c r="G27" s="3"/>
      <c r="H27" s="3"/>
      <c r="I27" s="3"/>
      <c r="J27" s="20">
        <f t="shared" si="3"/>
        <v>80000</v>
      </c>
      <c r="K27" s="112">
        <v>0</v>
      </c>
      <c r="L27" s="3">
        <f t="shared" si="4"/>
        <v>80000</v>
      </c>
    </row>
    <row r="28" spans="1:12" x14ac:dyDescent="0.25">
      <c r="A28" s="258"/>
      <c r="B28" s="253"/>
      <c r="C28" s="2" t="s">
        <v>27</v>
      </c>
      <c r="D28" s="3">
        <v>893400</v>
      </c>
      <c r="E28" s="3">
        <v>893400</v>
      </c>
      <c r="F28" s="3">
        <f>SUM('2019.07.31.'!F28)</f>
        <v>-5814</v>
      </c>
      <c r="G28" s="3"/>
      <c r="H28" s="3"/>
      <c r="I28" s="3"/>
      <c r="J28" s="20">
        <f t="shared" si="3"/>
        <v>887586</v>
      </c>
      <c r="K28" s="112">
        <v>457178</v>
      </c>
      <c r="L28" s="3">
        <f t="shared" si="4"/>
        <v>430408</v>
      </c>
    </row>
    <row r="29" spans="1:12" x14ac:dyDescent="0.25">
      <c r="A29" s="258"/>
      <c r="B29" s="253"/>
      <c r="C29" s="2" t="s">
        <v>28</v>
      </c>
      <c r="D29" s="3">
        <v>190000</v>
      </c>
      <c r="E29" s="3">
        <v>190000</v>
      </c>
      <c r="F29" s="3"/>
      <c r="G29" s="3"/>
      <c r="H29" s="3"/>
      <c r="I29" s="3"/>
      <c r="J29" s="20">
        <f t="shared" si="3"/>
        <v>190000</v>
      </c>
      <c r="K29" s="112">
        <v>93000</v>
      </c>
      <c r="L29" s="3">
        <f t="shared" si="4"/>
        <v>97000</v>
      </c>
    </row>
    <row r="30" spans="1:12" x14ac:dyDescent="0.25">
      <c r="A30" s="258"/>
      <c r="B30" s="253"/>
      <c r="C30" s="2" t="s">
        <v>29</v>
      </c>
      <c r="D30" s="3">
        <v>1086500</v>
      </c>
      <c r="E30" s="3">
        <v>1265178</v>
      </c>
      <c r="F30" s="3">
        <f>(SUM('2019.06.30.'!F30,'2019.07.31.'!F30,'2019.08.31.'!F30))+100000</f>
        <v>219001</v>
      </c>
      <c r="G30" s="3"/>
      <c r="H30" s="3"/>
      <c r="I30" s="3"/>
      <c r="J30" s="20">
        <f t="shared" si="3"/>
        <v>1484179</v>
      </c>
      <c r="K30" s="112">
        <v>434161</v>
      </c>
      <c r="L30" s="3">
        <f t="shared" si="4"/>
        <v>1050018</v>
      </c>
    </row>
    <row r="31" spans="1:12" x14ac:dyDescent="0.25">
      <c r="A31" s="258"/>
      <c r="B31" s="253"/>
      <c r="C31" s="2" t="s">
        <v>30</v>
      </c>
      <c r="D31" s="3">
        <v>100000</v>
      </c>
      <c r="E31" s="3">
        <v>100000</v>
      </c>
      <c r="F31" s="3"/>
      <c r="G31" s="3"/>
      <c r="H31" s="3"/>
      <c r="I31" s="3"/>
      <c r="J31" s="20">
        <f t="shared" si="3"/>
        <v>100000</v>
      </c>
      <c r="K31" s="112">
        <v>13902</v>
      </c>
      <c r="L31" s="3">
        <f t="shared" si="4"/>
        <v>86098</v>
      </c>
    </row>
    <row r="32" spans="1:12" x14ac:dyDescent="0.25">
      <c r="A32" s="258"/>
      <c r="B32" s="253"/>
      <c r="C32" s="6" t="s">
        <v>53</v>
      </c>
      <c r="D32" s="7">
        <f>SUM(D25:D31)</f>
        <v>39774992</v>
      </c>
      <c r="E32" s="7">
        <f>SUM(E25:E31)</f>
        <v>39786862</v>
      </c>
      <c r="F32" s="7">
        <f t="shared" ref="F32:L32" si="5">SUM(F25:F31)</f>
        <v>-64117</v>
      </c>
      <c r="G32" s="7">
        <f t="shared" si="5"/>
        <v>0</v>
      </c>
      <c r="H32" s="7">
        <f t="shared" si="5"/>
        <v>0</v>
      </c>
      <c r="I32" s="7">
        <f t="shared" si="5"/>
        <v>0</v>
      </c>
      <c r="J32" s="7">
        <f t="shared" si="5"/>
        <v>39722745</v>
      </c>
      <c r="K32" s="114">
        <f t="shared" si="5"/>
        <v>23075802</v>
      </c>
      <c r="L32" s="7">
        <f t="shared" si="5"/>
        <v>16646943</v>
      </c>
    </row>
    <row r="33" spans="1:12" x14ac:dyDescent="0.25">
      <c r="A33" s="258"/>
      <c r="B33" s="253"/>
      <c r="C33" s="86" t="s">
        <v>31</v>
      </c>
      <c r="D33" s="87">
        <v>7793417</v>
      </c>
      <c r="E33" s="87">
        <v>7795732</v>
      </c>
      <c r="F33" s="87"/>
      <c r="G33" s="87"/>
      <c r="H33" s="87"/>
      <c r="I33" s="87"/>
      <c r="J33" s="88">
        <f t="shared" ref="J33:J47" si="6">E33+F33+G33+H33+I33</f>
        <v>7795732</v>
      </c>
      <c r="K33" s="115">
        <v>4764032</v>
      </c>
      <c r="L33" s="89">
        <f t="shared" ref="L33:L47" si="7">J33-K33</f>
        <v>3031700</v>
      </c>
    </row>
    <row r="34" spans="1:12" x14ac:dyDescent="0.25">
      <c r="A34" s="258"/>
      <c r="B34" s="253"/>
      <c r="C34" s="2" t="s">
        <v>32</v>
      </c>
      <c r="D34" s="3">
        <v>105000</v>
      </c>
      <c r="E34" s="3">
        <v>105000</v>
      </c>
      <c r="F34" s="3"/>
      <c r="G34" s="3"/>
      <c r="H34" s="3"/>
      <c r="I34" s="3">
        <v>5000</v>
      </c>
      <c r="J34" s="20">
        <f t="shared" si="6"/>
        <v>110000</v>
      </c>
      <c r="K34" s="112">
        <v>24818</v>
      </c>
      <c r="L34" s="3">
        <f t="shared" si="7"/>
        <v>85182</v>
      </c>
    </row>
    <row r="35" spans="1:12" x14ac:dyDescent="0.25">
      <c r="A35" s="258"/>
      <c r="B35" s="253"/>
      <c r="C35" s="2" t="s">
        <v>33</v>
      </c>
      <c r="D35" s="3">
        <v>500000</v>
      </c>
      <c r="E35" s="3">
        <v>500000</v>
      </c>
      <c r="F35" s="3"/>
      <c r="G35" s="3"/>
      <c r="H35" s="3"/>
      <c r="I35" s="3"/>
      <c r="J35" s="20">
        <f t="shared" si="6"/>
        <v>500000</v>
      </c>
      <c r="K35" s="112">
        <v>1922</v>
      </c>
      <c r="L35" s="3">
        <f t="shared" si="7"/>
        <v>498078</v>
      </c>
    </row>
    <row r="36" spans="1:12" x14ac:dyDescent="0.25">
      <c r="A36" s="258"/>
      <c r="B36" s="253"/>
      <c r="C36" s="2" t="s">
        <v>34</v>
      </c>
      <c r="D36" s="3">
        <v>213000</v>
      </c>
      <c r="E36" s="3">
        <v>213000</v>
      </c>
      <c r="F36" s="3"/>
      <c r="G36" s="3"/>
      <c r="H36" s="3"/>
      <c r="I36" s="3"/>
      <c r="J36" s="20">
        <f t="shared" si="6"/>
        <v>213000</v>
      </c>
      <c r="K36" s="112">
        <v>80797</v>
      </c>
      <c r="L36" s="3">
        <f t="shared" si="7"/>
        <v>132203</v>
      </c>
    </row>
    <row r="37" spans="1:12" x14ac:dyDescent="0.25">
      <c r="A37" s="258"/>
      <c r="B37" s="253"/>
      <c r="C37" s="2" t="s">
        <v>35</v>
      </c>
      <c r="D37" s="3">
        <v>162000</v>
      </c>
      <c r="E37" s="3">
        <v>162000</v>
      </c>
      <c r="F37" s="3"/>
      <c r="G37" s="3"/>
      <c r="H37" s="3"/>
      <c r="I37" s="3"/>
      <c r="J37" s="20">
        <f t="shared" si="6"/>
        <v>162000</v>
      </c>
      <c r="K37" s="112">
        <v>45024</v>
      </c>
      <c r="L37" s="3">
        <f t="shared" si="7"/>
        <v>116976</v>
      </c>
    </row>
    <row r="38" spans="1:12" x14ac:dyDescent="0.25">
      <c r="A38" s="258"/>
      <c r="B38" s="253"/>
      <c r="C38" s="2" t="s">
        <v>36</v>
      </c>
      <c r="D38" s="3">
        <v>569540</v>
      </c>
      <c r="E38" s="3">
        <v>569540</v>
      </c>
      <c r="F38" s="3"/>
      <c r="G38" s="3"/>
      <c r="H38" s="3"/>
      <c r="I38" s="3"/>
      <c r="J38" s="20">
        <f t="shared" si="6"/>
        <v>569540</v>
      </c>
      <c r="K38" s="112">
        <v>367907</v>
      </c>
      <c r="L38" s="3">
        <f t="shared" si="7"/>
        <v>201633</v>
      </c>
    </row>
    <row r="39" spans="1:12" x14ac:dyDescent="0.25">
      <c r="A39" s="258"/>
      <c r="B39" s="253"/>
      <c r="C39" s="2" t="s">
        <v>37</v>
      </c>
      <c r="D39" s="3">
        <v>3000</v>
      </c>
      <c r="E39" s="3">
        <v>3000</v>
      </c>
      <c r="F39" s="3"/>
      <c r="G39" s="3"/>
      <c r="H39" s="3"/>
      <c r="I39" s="3"/>
      <c r="J39" s="20">
        <f t="shared" si="6"/>
        <v>3000</v>
      </c>
      <c r="K39" s="112">
        <v>0</v>
      </c>
      <c r="L39" s="3">
        <f t="shared" si="7"/>
        <v>3000</v>
      </c>
    </row>
    <row r="40" spans="1:12" x14ac:dyDescent="0.25">
      <c r="A40" s="258"/>
      <c r="B40" s="253"/>
      <c r="C40" s="2" t="s">
        <v>38</v>
      </c>
      <c r="D40" s="3">
        <v>460000</v>
      </c>
      <c r="E40" s="3">
        <v>456500</v>
      </c>
      <c r="F40" s="3"/>
      <c r="G40" s="3"/>
      <c r="H40" s="3"/>
      <c r="I40" s="3"/>
      <c r="J40" s="20">
        <f t="shared" si="6"/>
        <v>456500</v>
      </c>
      <c r="K40" s="112">
        <v>168339</v>
      </c>
      <c r="L40" s="3">
        <f t="shared" si="7"/>
        <v>288161</v>
      </c>
    </row>
    <row r="41" spans="1:12" x14ac:dyDescent="0.25">
      <c r="A41" s="258"/>
      <c r="B41" s="253"/>
      <c r="C41" s="2" t="s">
        <v>39</v>
      </c>
      <c r="D41" s="3">
        <v>13200</v>
      </c>
      <c r="E41" s="3">
        <v>16540</v>
      </c>
      <c r="F41" s="3">
        <f>SUM('2019.08.31.'!F41)</f>
        <v>5386</v>
      </c>
      <c r="G41" s="3"/>
      <c r="H41" s="3"/>
      <c r="I41" s="3">
        <v>10000</v>
      </c>
      <c r="J41" s="20">
        <f t="shared" si="6"/>
        <v>31926</v>
      </c>
      <c r="K41" s="112">
        <v>21926</v>
      </c>
      <c r="L41" s="60">
        <f t="shared" si="7"/>
        <v>10000</v>
      </c>
    </row>
    <row r="42" spans="1:12" x14ac:dyDescent="0.25">
      <c r="A42" s="258"/>
      <c r="B42" s="253"/>
      <c r="C42" s="2" t="s">
        <v>40</v>
      </c>
      <c r="D42" s="3">
        <v>137800</v>
      </c>
      <c r="E42" s="3">
        <v>137800</v>
      </c>
      <c r="F42" s="3"/>
      <c r="G42" s="3"/>
      <c r="H42" s="3"/>
      <c r="I42" s="3"/>
      <c r="J42" s="20">
        <f t="shared" si="6"/>
        <v>137800</v>
      </c>
      <c r="K42" s="112">
        <v>53500</v>
      </c>
      <c r="L42" s="3">
        <f t="shared" si="7"/>
        <v>84300</v>
      </c>
    </row>
    <row r="43" spans="1:12" x14ac:dyDescent="0.25">
      <c r="A43" s="258"/>
      <c r="B43" s="253"/>
      <c r="C43" s="2" t="s">
        <v>41</v>
      </c>
      <c r="D43" s="3">
        <v>582236</v>
      </c>
      <c r="E43" s="3">
        <v>583896</v>
      </c>
      <c r="F43" s="3">
        <f>SUM('2019.08.31.'!F43)</f>
        <v>-5386</v>
      </c>
      <c r="G43" s="3"/>
      <c r="H43" s="3"/>
      <c r="I43" s="3"/>
      <c r="J43" s="20">
        <f t="shared" si="6"/>
        <v>578510</v>
      </c>
      <c r="K43" s="112">
        <v>448061</v>
      </c>
      <c r="L43" s="3">
        <f t="shared" si="7"/>
        <v>130449</v>
      </c>
    </row>
    <row r="44" spans="1:12" x14ac:dyDescent="0.25">
      <c r="A44" s="258"/>
      <c r="B44" s="253"/>
      <c r="C44" s="2" t="s">
        <v>42</v>
      </c>
      <c r="D44" s="3">
        <v>552000</v>
      </c>
      <c r="E44" s="3">
        <v>539440</v>
      </c>
      <c r="F44" s="3">
        <f>SUM('2019.07.31.'!F44)</f>
        <v>-5395</v>
      </c>
      <c r="G44" s="3"/>
      <c r="H44" s="3"/>
      <c r="I44" s="3"/>
      <c r="J44" s="20">
        <f t="shared" si="6"/>
        <v>534045</v>
      </c>
      <c r="K44" s="112">
        <v>258335</v>
      </c>
      <c r="L44" s="3">
        <f t="shared" si="7"/>
        <v>275710</v>
      </c>
    </row>
    <row r="45" spans="1:12" x14ac:dyDescent="0.25">
      <c r="A45" s="258"/>
      <c r="B45" s="253"/>
      <c r="C45" s="2" t="s">
        <v>43</v>
      </c>
      <c r="D45" s="3">
        <v>30000</v>
      </c>
      <c r="E45" s="3">
        <v>30000</v>
      </c>
      <c r="F45" s="3"/>
      <c r="G45" s="3"/>
      <c r="H45" s="3"/>
      <c r="I45" s="3"/>
      <c r="J45" s="20">
        <f t="shared" si="6"/>
        <v>30000</v>
      </c>
      <c r="K45" s="112">
        <v>0</v>
      </c>
      <c r="L45" s="3">
        <f t="shared" si="7"/>
        <v>30000</v>
      </c>
    </row>
    <row r="46" spans="1:12" x14ac:dyDescent="0.25">
      <c r="A46" s="258"/>
      <c r="B46" s="253"/>
      <c r="C46" s="2" t="s">
        <v>44</v>
      </c>
      <c r="D46" s="3">
        <v>455834</v>
      </c>
      <c r="E46" s="3">
        <v>218435</v>
      </c>
      <c r="F46" s="3"/>
      <c r="G46" s="3"/>
      <c r="H46" s="3"/>
      <c r="I46" s="3"/>
      <c r="J46" s="20">
        <f t="shared" si="6"/>
        <v>218435</v>
      </c>
      <c r="K46" s="112">
        <v>120393</v>
      </c>
      <c r="L46" s="3">
        <f t="shared" si="7"/>
        <v>98042</v>
      </c>
    </row>
    <row r="47" spans="1:12" x14ac:dyDescent="0.25">
      <c r="A47" s="258"/>
      <c r="B47" s="253"/>
      <c r="C47" s="2" t="s">
        <v>45</v>
      </c>
      <c r="D47" s="3">
        <v>80000</v>
      </c>
      <c r="E47" s="3">
        <v>75764</v>
      </c>
      <c r="F47" s="3"/>
      <c r="G47" s="3"/>
      <c r="H47" s="3"/>
      <c r="I47" s="3"/>
      <c r="J47" s="20">
        <f t="shared" si="6"/>
        <v>75764</v>
      </c>
      <c r="K47" s="112">
        <v>48233</v>
      </c>
      <c r="L47" s="3">
        <f t="shared" si="7"/>
        <v>27531</v>
      </c>
    </row>
    <row r="48" spans="1:12" x14ac:dyDescent="0.25">
      <c r="A48" s="258"/>
      <c r="B48" s="253"/>
      <c r="C48" s="6" t="s">
        <v>49</v>
      </c>
      <c r="D48" s="7">
        <f>SUM(D34:D47)</f>
        <v>3863610</v>
      </c>
      <c r="E48" s="7">
        <f>SUM(E34:E47)</f>
        <v>3610915</v>
      </c>
      <c r="F48" s="7">
        <f t="shared" ref="F48:L48" si="8">SUM(F34:F47)</f>
        <v>-5395</v>
      </c>
      <c r="G48" s="7">
        <f t="shared" si="8"/>
        <v>0</v>
      </c>
      <c r="H48" s="7">
        <f t="shared" si="8"/>
        <v>0</v>
      </c>
      <c r="I48" s="7">
        <f t="shared" si="8"/>
        <v>15000</v>
      </c>
      <c r="J48" s="7">
        <f t="shared" si="8"/>
        <v>3620520</v>
      </c>
      <c r="K48" s="114">
        <f t="shared" si="8"/>
        <v>1639255</v>
      </c>
      <c r="L48" s="7">
        <f t="shared" si="8"/>
        <v>1981265</v>
      </c>
    </row>
    <row r="49" spans="1:12" x14ac:dyDescent="0.25">
      <c r="A49" s="258"/>
      <c r="B49" s="253"/>
      <c r="C49" s="2" t="s">
        <v>50</v>
      </c>
      <c r="D49" s="3">
        <v>78740</v>
      </c>
      <c r="E49" s="3">
        <v>78740</v>
      </c>
      <c r="F49" s="3"/>
      <c r="G49" s="3"/>
      <c r="H49" s="3"/>
      <c r="I49" s="3"/>
      <c r="J49" s="20">
        <f t="shared" ref="J49:J50" si="9">E49+F49+G49+H49+I49</f>
        <v>78740</v>
      </c>
      <c r="K49" s="112">
        <v>0</v>
      </c>
      <c r="L49" s="3">
        <f t="shared" ref="L49:L50" si="10">J49-K49</f>
        <v>78740</v>
      </c>
    </row>
    <row r="50" spans="1:12" x14ac:dyDescent="0.25">
      <c r="A50" s="258"/>
      <c r="B50" s="253"/>
      <c r="C50" s="2" t="s">
        <v>51</v>
      </c>
      <c r="D50" s="3">
        <v>21260</v>
      </c>
      <c r="E50" s="3">
        <v>21260</v>
      </c>
      <c r="F50" s="3"/>
      <c r="G50" s="3"/>
      <c r="H50" s="3"/>
      <c r="I50" s="3"/>
      <c r="J50" s="20">
        <f t="shared" si="9"/>
        <v>21260</v>
      </c>
      <c r="K50" s="112">
        <v>0</v>
      </c>
      <c r="L50" s="3">
        <f t="shared" si="10"/>
        <v>21260</v>
      </c>
    </row>
    <row r="51" spans="1:12" x14ac:dyDescent="0.25">
      <c r="A51" s="258"/>
      <c r="B51" s="254"/>
      <c r="C51" s="6" t="s">
        <v>52</v>
      </c>
      <c r="D51" s="7">
        <f>SUM(D49:D50)</f>
        <v>100000</v>
      </c>
      <c r="E51" s="7">
        <v>100000</v>
      </c>
      <c r="F51" s="7">
        <f t="shared" ref="F51:L51" si="11">SUM(F49:F50)</f>
        <v>0</v>
      </c>
      <c r="G51" s="7">
        <f t="shared" si="11"/>
        <v>0</v>
      </c>
      <c r="H51" s="7">
        <f t="shared" si="11"/>
        <v>0</v>
      </c>
      <c r="I51" s="7">
        <f t="shared" si="11"/>
        <v>0</v>
      </c>
      <c r="J51" s="7">
        <f t="shared" si="11"/>
        <v>100000</v>
      </c>
      <c r="K51" s="114">
        <f t="shared" si="11"/>
        <v>0</v>
      </c>
      <c r="L51" s="7">
        <f t="shared" si="11"/>
        <v>100000</v>
      </c>
    </row>
    <row r="52" spans="1:12" x14ac:dyDescent="0.25">
      <c r="A52" s="258"/>
      <c r="B52" s="268" t="s">
        <v>46</v>
      </c>
      <c r="C52" s="2" t="s">
        <v>24</v>
      </c>
      <c r="D52" s="3">
        <v>25123345</v>
      </c>
      <c r="E52" s="3">
        <v>25143281</v>
      </c>
      <c r="F52" s="3"/>
      <c r="G52" s="3"/>
      <c r="H52" s="3"/>
      <c r="I52" s="3"/>
      <c r="J52" s="20">
        <f t="shared" ref="J52:J60" si="12">E52+F52+G52+H52+I52</f>
        <v>25143281</v>
      </c>
      <c r="K52" s="112">
        <v>15043672</v>
      </c>
      <c r="L52" s="3">
        <f t="shared" ref="L52:L60" si="13">J52-K52</f>
        <v>10099609</v>
      </c>
    </row>
    <row r="53" spans="1:12" x14ac:dyDescent="0.25">
      <c r="A53" s="258"/>
      <c r="B53" s="268"/>
      <c r="C53" s="2" t="s">
        <v>47</v>
      </c>
      <c r="D53" s="3">
        <v>2040480</v>
      </c>
      <c r="E53" s="3">
        <v>2040480</v>
      </c>
      <c r="F53" s="3"/>
      <c r="G53" s="3"/>
      <c r="H53" s="3"/>
      <c r="I53" s="3"/>
      <c r="J53" s="20">
        <f t="shared" si="12"/>
        <v>2040480</v>
      </c>
      <c r="K53" s="112">
        <v>1270865</v>
      </c>
      <c r="L53" s="3">
        <f t="shared" si="13"/>
        <v>769615</v>
      </c>
    </row>
    <row r="54" spans="1:12" x14ac:dyDescent="0.25">
      <c r="A54" s="258"/>
      <c r="B54" s="268"/>
      <c r="C54" s="2" t="s">
        <v>48</v>
      </c>
      <c r="D54" s="3">
        <v>0</v>
      </c>
      <c r="E54" s="3">
        <v>0</v>
      </c>
      <c r="F54" s="3"/>
      <c r="G54" s="3"/>
      <c r="H54" s="3"/>
      <c r="I54" s="3"/>
      <c r="J54" s="20">
        <f t="shared" si="12"/>
        <v>0</v>
      </c>
      <c r="K54" s="112">
        <v>0</v>
      </c>
      <c r="L54" s="3">
        <f t="shared" si="13"/>
        <v>0</v>
      </c>
    </row>
    <row r="55" spans="1:12" x14ac:dyDescent="0.25">
      <c r="A55" s="258"/>
      <c r="B55" s="268"/>
      <c r="C55" s="2" t="s">
        <v>25</v>
      </c>
      <c r="D55" s="3">
        <v>1025000</v>
      </c>
      <c r="E55" s="3">
        <v>1025000</v>
      </c>
      <c r="F55" s="3"/>
      <c r="G55" s="3"/>
      <c r="H55" s="3"/>
      <c r="I55" s="3"/>
      <c r="J55" s="20">
        <f t="shared" si="12"/>
        <v>1025000</v>
      </c>
      <c r="K55" s="112">
        <v>450000</v>
      </c>
      <c r="L55" s="3">
        <f t="shared" si="13"/>
        <v>575000</v>
      </c>
    </row>
    <row r="56" spans="1:12" x14ac:dyDescent="0.25">
      <c r="A56" s="258"/>
      <c r="B56" s="268"/>
      <c r="C56" s="2" t="s">
        <v>26</v>
      </c>
      <c r="D56" s="3">
        <v>60000</v>
      </c>
      <c r="E56" s="3">
        <v>60000</v>
      </c>
      <c r="F56" s="3"/>
      <c r="G56" s="3"/>
      <c r="H56" s="3"/>
      <c r="I56" s="3"/>
      <c r="J56" s="20">
        <f t="shared" si="12"/>
        <v>60000</v>
      </c>
      <c r="K56" s="112">
        <v>0</v>
      </c>
      <c r="L56" s="3">
        <f t="shared" si="13"/>
        <v>60000</v>
      </c>
    </row>
    <row r="57" spans="1:12" x14ac:dyDescent="0.25">
      <c r="A57" s="258"/>
      <c r="B57" s="268"/>
      <c r="C57" s="2" t="s">
        <v>27</v>
      </c>
      <c r="D57" s="3">
        <v>240000</v>
      </c>
      <c r="E57" s="3">
        <v>240000</v>
      </c>
      <c r="F57" s="3">
        <f>SUM('2019.06.30.'!F57,'2019.08.31.'!F57)</f>
        <v>-10098</v>
      </c>
      <c r="G57" s="3"/>
      <c r="H57" s="3"/>
      <c r="I57" s="3"/>
      <c r="J57" s="20">
        <f t="shared" si="12"/>
        <v>229902</v>
      </c>
      <c r="K57" s="112">
        <v>103320</v>
      </c>
      <c r="L57" s="3">
        <f t="shared" si="13"/>
        <v>126582</v>
      </c>
    </row>
    <row r="58" spans="1:12" x14ac:dyDescent="0.25">
      <c r="A58" s="258"/>
      <c r="B58" s="268"/>
      <c r="C58" s="2" t="s">
        <v>28</v>
      </c>
      <c r="D58" s="3">
        <v>147000</v>
      </c>
      <c r="E58" s="3">
        <v>147000</v>
      </c>
      <c r="F58" s="3"/>
      <c r="G58" s="3"/>
      <c r="H58" s="3"/>
      <c r="I58" s="3"/>
      <c r="J58" s="20">
        <f t="shared" si="12"/>
        <v>147000</v>
      </c>
      <c r="K58" s="112">
        <v>57000</v>
      </c>
      <c r="L58" s="3">
        <f t="shared" si="13"/>
        <v>90000</v>
      </c>
    </row>
    <row r="59" spans="1:12" x14ac:dyDescent="0.25">
      <c r="A59" s="258"/>
      <c r="B59" s="268"/>
      <c r="C59" s="2" t="s">
        <v>29</v>
      </c>
      <c r="D59" s="3">
        <v>553500</v>
      </c>
      <c r="E59" s="3">
        <v>553500</v>
      </c>
      <c r="F59" s="3">
        <f>SUM('2019.08.31.'!F59)</f>
        <v>-30420</v>
      </c>
      <c r="G59" s="3"/>
      <c r="H59" s="3"/>
      <c r="I59" s="3"/>
      <c r="J59" s="20">
        <f t="shared" si="12"/>
        <v>523080</v>
      </c>
      <c r="K59" s="112">
        <v>385988</v>
      </c>
      <c r="L59" s="3">
        <f t="shared" si="13"/>
        <v>137092</v>
      </c>
    </row>
    <row r="60" spans="1:12" x14ac:dyDescent="0.25">
      <c r="A60" s="258"/>
      <c r="B60" s="268"/>
      <c r="C60" s="2" t="s">
        <v>30</v>
      </c>
      <c r="D60" s="3">
        <v>100000</v>
      </c>
      <c r="E60" s="3">
        <v>100000</v>
      </c>
      <c r="F60" s="3"/>
      <c r="G60" s="3"/>
      <c r="H60" s="3"/>
      <c r="I60" s="3"/>
      <c r="J60" s="20">
        <f t="shared" si="12"/>
        <v>100000</v>
      </c>
      <c r="K60" s="112">
        <v>13902</v>
      </c>
      <c r="L60" s="3">
        <f t="shared" si="13"/>
        <v>86098</v>
      </c>
    </row>
    <row r="61" spans="1:12" x14ac:dyDescent="0.25">
      <c r="A61" s="258"/>
      <c r="B61" s="268"/>
      <c r="C61" s="6" t="s">
        <v>53</v>
      </c>
      <c r="D61" s="7">
        <f>SUM(D52:D60)</f>
        <v>29289325</v>
      </c>
      <c r="E61" s="7">
        <f>SUM(E52:E60)</f>
        <v>29309261</v>
      </c>
      <c r="F61" s="7">
        <f t="shared" ref="F61:L61" si="14">SUM(F52:F60)</f>
        <v>-40518</v>
      </c>
      <c r="G61" s="7">
        <f t="shared" si="14"/>
        <v>0</v>
      </c>
      <c r="H61" s="7">
        <f t="shared" si="14"/>
        <v>0</v>
      </c>
      <c r="I61" s="7">
        <f t="shared" si="14"/>
        <v>0</v>
      </c>
      <c r="J61" s="7">
        <f t="shared" si="14"/>
        <v>29268743</v>
      </c>
      <c r="K61" s="114">
        <f t="shared" si="14"/>
        <v>17324747</v>
      </c>
      <c r="L61" s="7">
        <f t="shared" si="14"/>
        <v>11943996</v>
      </c>
    </row>
    <row r="62" spans="1:12" x14ac:dyDescent="0.25">
      <c r="A62" s="258"/>
      <c r="B62" s="268"/>
      <c r="C62" s="86" t="s">
        <v>31</v>
      </c>
      <c r="D62" s="87">
        <v>5849797</v>
      </c>
      <c r="E62" s="87">
        <v>5853685</v>
      </c>
      <c r="F62" s="87"/>
      <c r="G62" s="87"/>
      <c r="H62" s="87"/>
      <c r="I62" s="87"/>
      <c r="J62" s="88">
        <f t="shared" ref="J62:J75" si="15">E62+F62+G62+H62+I62</f>
        <v>5853685</v>
      </c>
      <c r="K62" s="115">
        <v>3678022</v>
      </c>
      <c r="L62" s="89">
        <f t="shared" ref="L62:L75" si="16">J62-K62</f>
        <v>2175663</v>
      </c>
    </row>
    <row r="63" spans="1:12" x14ac:dyDescent="0.25">
      <c r="A63" s="258"/>
      <c r="B63" s="268"/>
      <c r="C63" s="2" t="s">
        <v>32</v>
      </c>
      <c r="D63" s="3">
        <v>105000</v>
      </c>
      <c r="E63" s="3">
        <v>105000</v>
      </c>
      <c r="F63" s="3"/>
      <c r="G63" s="3"/>
      <c r="H63" s="3"/>
      <c r="I63" s="3">
        <v>5000</v>
      </c>
      <c r="J63" s="20">
        <f t="shared" si="15"/>
        <v>110000</v>
      </c>
      <c r="K63" s="112">
        <v>24820</v>
      </c>
      <c r="L63" s="3">
        <f t="shared" si="16"/>
        <v>85180</v>
      </c>
    </row>
    <row r="64" spans="1:12" x14ac:dyDescent="0.25">
      <c r="A64" s="258"/>
      <c r="B64" s="268"/>
      <c r="C64" s="2" t="s">
        <v>33</v>
      </c>
      <c r="D64" s="3">
        <v>700000</v>
      </c>
      <c r="E64" s="3">
        <v>700000</v>
      </c>
      <c r="F64" s="3"/>
      <c r="G64" s="3"/>
      <c r="H64" s="3"/>
      <c r="I64" s="3"/>
      <c r="J64" s="20">
        <f t="shared" si="15"/>
        <v>700000</v>
      </c>
      <c r="K64" s="112">
        <v>36894</v>
      </c>
      <c r="L64" s="3">
        <f t="shared" si="16"/>
        <v>663106</v>
      </c>
    </row>
    <row r="65" spans="1:12" x14ac:dyDescent="0.25">
      <c r="A65" s="258"/>
      <c r="B65" s="268"/>
      <c r="C65" s="2" t="s">
        <v>34</v>
      </c>
      <c r="D65" s="3">
        <v>213000</v>
      </c>
      <c r="E65" s="3">
        <v>213000</v>
      </c>
      <c r="F65" s="3"/>
      <c r="G65" s="3"/>
      <c r="H65" s="3"/>
      <c r="I65" s="3"/>
      <c r="J65" s="20">
        <f t="shared" si="15"/>
        <v>213000</v>
      </c>
      <c r="K65" s="112">
        <v>73179</v>
      </c>
      <c r="L65" s="3">
        <f t="shared" si="16"/>
        <v>139821</v>
      </c>
    </row>
    <row r="66" spans="1:12" x14ac:dyDescent="0.25">
      <c r="A66" s="258"/>
      <c r="B66" s="268"/>
      <c r="C66" s="2" t="s">
        <v>35</v>
      </c>
      <c r="D66" s="3">
        <v>288000</v>
      </c>
      <c r="E66" s="3">
        <v>122200</v>
      </c>
      <c r="F66" s="3"/>
      <c r="G66" s="3"/>
      <c r="H66" s="3"/>
      <c r="I66" s="3"/>
      <c r="J66" s="20">
        <f t="shared" si="15"/>
        <v>122200</v>
      </c>
      <c r="K66" s="112">
        <v>76807</v>
      </c>
      <c r="L66" s="3">
        <f t="shared" si="16"/>
        <v>45393</v>
      </c>
    </row>
    <row r="67" spans="1:12" x14ac:dyDescent="0.25">
      <c r="A67" s="258"/>
      <c r="B67" s="268"/>
      <c r="C67" s="2" t="s">
        <v>36</v>
      </c>
      <c r="D67" s="3">
        <v>669540</v>
      </c>
      <c r="E67" s="3">
        <v>669540</v>
      </c>
      <c r="F67" s="3"/>
      <c r="G67" s="3"/>
      <c r="H67" s="3"/>
      <c r="I67" s="3"/>
      <c r="J67" s="20">
        <f t="shared" si="15"/>
        <v>669540</v>
      </c>
      <c r="K67" s="112">
        <v>444442</v>
      </c>
      <c r="L67" s="3">
        <f t="shared" si="16"/>
        <v>225098</v>
      </c>
    </row>
    <row r="68" spans="1:12" x14ac:dyDescent="0.25">
      <c r="A68" s="258"/>
      <c r="B68" s="268"/>
      <c r="C68" s="2" t="s">
        <v>37</v>
      </c>
      <c r="D68" s="3">
        <v>123000</v>
      </c>
      <c r="E68" s="3">
        <v>123000</v>
      </c>
      <c r="F68" s="3"/>
      <c r="G68" s="3"/>
      <c r="H68" s="3"/>
      <c r="I68" s="3"/>
      <c r="J68" s="20">
        <f t="shared" si="15"/>
        <v>123000</v>
      </c>
      <c r="K68" s="112">
        <v>0</v>
      </c>
      <c r="L68" s="3">
        <f t="shared" si="16"/>
        <v>123000</v>
      </c>
    </row>
    <row r="69" spans="1:12" x14ac:dyDescent="0.25">
      <c r="A69" s="258"/>
      <c r="B69" s="268"/>
      <c r="C69" s="2" t="s">
        <v>38</v>
      </c>
      <c r="D69" s="3">
        <v>460000</v>
      </c>
      <c r="E69" s="3">
        <v>460000</v>
      </c>
      <c r="F69" s="3"/>
      <c r="G69" s="3"/>
      <c r="H69" s="3"/>
      <c r="I69" s="3"/>
      <c r="J69" s="20">
        <f t="shared" si="15"/>
        <v>460000</v>
      </c>
      <c r="K69" s="112">
        <v>172839</v>
      </c>
      <c r="L69" s="3">
        <f t="shared" si="16"/>
        <v>287161</v>
      </c>
    </row>
    <row r="70" spans="1:12" x14ac:dyDescent="0.25">
      <c r="A70" s="258"/>
      <c r="B70" s="268"/>
      <c r="C70" s="2" t="s">
        <v>40</v>
      </c>
      <c r="D70" s="3">
        <v>1361904</v>
      </c>
      <c r="E70" s="3">
        <v>1361904</v>
      </c>
      <c r="F70" s="3">
        <v>-75000</v>
      </c>
      <c r="G70" s="3"/>
      <c r="H70" s="3"/>
      <c r="I70" s="3"/>
      <c r="J70" s="20">
        <f t="shared" si="15"/>
        <v>1286904</v>
      </c>
      <c r="K70" s="112">
        <v>481594</v>
      </c>
      <c r="L70" s="3">
        <f t="shared" si="16"/>
        <v>805310</v>
      </c>
    </row>
    <row r="71" spans="1:12" x14ac:dyDescent="0.25">
      <c r="A71" s="258"/>
      <c r="B71" s="268"/>
      <c r="C71" s="2" t="s">
        <v>41</v>
      </c>
      <c r="D71" s="3">
        <v>982236</v>
      </c>
      <c r="E71" s="3">
        <v>982236</v>
      </c>
      <c r="F71" s="3">
        <f>SUM('2019.06.30.'!F71)</f>
        <v>-1685</v>
      </c>
      <c r="G71" s="3"/>
      <c r="H71" s="3"/>
      <c r="I71" s="3"/>
      <c r="J71" s="20">
        <f t="shared" si="15"/>
        <v>980551</v>
      </c>
      <c r="K71" s="112">
        <v>593361</v>
      </c>
      <c r="L71" s="3">
        <f t="shared" si="16"/>
        <v>387190</v>
      </c>
    </row>
    <row r="72" spans="1:12" x14ac:dyDescent="0.25">
      <c r="A72" s="258"/>
      <c r="B72" s="268"/>
      <c r="C72" s="2" t="s">
        <v>42</v>
      </c>
      <c r="D72" s="3">
        <v>1200000</v>
      </c>
      <c r="E72" s="3">
        <v>1147960</v>
      </c>
      <c r="F72" s="3">
        <f>SUM('2019.06.30.'!F72,'2019.08.31.'!F72)</f>
        <v>-8915</v>
      </c>
      <c r="G72" s="3"/>
      <c r="H72" s="3"/>
      <c r="I72" s="3"/>
      <c r="J72" s="20">
        <f t="shared" si="15"/>
        <v>1139045</v>
      </c>
      <c r="K72" s="112">
        <v>244790</v>
      </c>
      <c r="L72" s="3">
        <f t="shared" si="16"/>
        <v>894255</v>
      </c>
    </row>
    <row r="73" spans="1:12" x14ac:dyDescent="0.25">
      <c r="A73" s="258"/>
      <c r="B73" s="268"/>
      <c r="C73" s="2" t="s">
        <v>43</v>
      </c>
      <c r="D73" s="3">
        <v>30000</v>
      </c>
      <c r="E73" s="3">
        <v>30000</v>
      </c>
      <c r="F73" s="3"/>
      <c r="G73" s="3"/>
      <c r="H73" s="3"/>
      <c r="I73" s="3"/>
      <c r="J73" s="20">
        <f t="shared" si="15"/>
        <v>30000</v>
      </c>
      <c r="K73" s="112">
        <v>0</v>
      </c>
      <c r="L73" s="3">
        <f t="shared" si="16"/>
        <v>30000</v>
      </c>
    </row>
    <row r="74" spans="1:12" x14ac:dyDescent="0.25">
      <c r="A74" s="258"/>
      <c r="B74" s="268"/>
      <c r="C74" s="2" t="s">
        <v>44</v>
      </c>
      <c r="D74" s="3">
        <v>1041508</v>
      </c>
      <c r="E74" s="3">
        <v>980423</v>
      </c>
      <c r="F74" s="3"/>
      <c r="G74" s="3"/>
      <c r="H74" s="3"/>
      <c r="I74" s="3"/>
      <c r="J74" s="20">
        <f t="shared" si="15"/>
        <v>980423</v>
      </c>
      <c r="K74" s="112">
        <v>242031</v>
      </c>
      <c r="L74" s="3">
        <f t="shared" si="16"/>
        <v>738392</v>
      </c>
    </row>
    <row r="75" spans="1:12" x14ac:dyDescent="0.25">
      <c r="A75" s="258"/>
      <c r="B75" s="268"/>
      <c r="C75" s="2" t="s">
        <v>45</v>
      </c>
      <c r="D75" s="3">
        <v>433021</v>
      </c>
      <c r="E75" s="3">
        <v>160403</v>
      </c>
      <c r="F75" s="3">
        <f>SUM('2019.07.31.'!F75)</f>
        <v>-26400</v>
      </c>
      <c r="G75" s="3"/>
      <c r="H75" s="3"/>
      <c r="I75" s="3"/>
      <c r="J75" s="20">
        <f t="shared" si="15"/>
        <v>134003</v>
      </c>
      <c r="K75" s="112">
        <v>0</v>
      </c>
      <c r="L75" s="3">
        <f t="shared" si="16"/>
        <v>134003</v>
      </c>
    </row>
    <row r="76" spans="1:12" x14ac:dyDescent="0.25">
      <c r="A76" s="258"/>
      <c r="B76" s="268"/>
      <c r="C76" s="6" t="s">
        <v>49</v>
      </c>
      <c r="D76" s="7">
        <f>SUM(D63:D75)</f>
        <v>7607209</v>
      </c>
      <c r="E76" s="7">
        <f>SUM(E63:E75)</f>
        <v>7055666</v>
      </c>
      <c r="F76" s="7">
        <f t="shared" ref="F76:L76" si="17">SUM(F63:F75)</f>
        <v>-112000</v>
      </c>
      <c r="G76" s="7">
        <f t="shared" si="17"/>
        <v>0</v>
      </c>
      <c r="H76" s="7">
        <f t="shared" si="17"/>
        <v>0</v>
      </c>
      <c r="I76" s="7">
        <f t="shared" si="17"/>
        <v>5000</v>
      </c>
      <c r="J76" s="7">
        <f t="shared" si="17"/>
        <v>6948666</v>
      </c>
      <c r="K76" s="114">
        <f t="shared" si="17"/>
        <v>2390757</v>
      </c>
      <c r="L76" s="7">
        <f t="shared" si="17"/>
        <v>4557909</v>
      </c>
    </row>
    <row r="77" spans="1:12" x14ac:dyDescent="0.25">
      <c r="A77" s="258"/>
      <c r="B77" s="268"/>
      <c r="C77" s="2" t="s">
        <v>50</v>
      </c>
      <c r="D77" s="3">
        <v>78740</v>
      </c>
      <c r="E77" s="3">
        <v>78740</v>
      </c>
      <c r="F77" s="3"/>
      <c r="G77" s="3"/>
      <c r="H77" s="3"/>
      <c r="I77" s="3"/>
      <c r="J77" s="20">
        <f t="shared" ref="J77:J78" si="18">E77+F77+G77+H77+I77</f>
        <v>78740</v>
      </c>
      <c r="K77" s="112">
        <v>0</v>
      </c>
      <c r="L77" s="3">
        <f t="shared" ref="L77:L78" si="19">J77-K77</f>
        <v>78740</v>
      </c>
    </row>
    <row r="78" spans="1:12" x14ac:dyDescent="0.25">
      <c r="A78" s="258"/>
      <c r="B78" s="268"/>
      <c r="C78" s="2" t="s">
        <v>51</v>
      </c>
      <c r="D78" s="3">
        <v>21260</v>
      </c>
      <c r="E78" s="3">
        <v>21260</v>
      </c>
      <c r="F78" s="3"/>
      <c r="G78" s="3"/>
      <c r="H78" s="3"/>
      <c r="I78" s="3"/>
      <c r="J78" s="20">
        <f t="shared" si="18"/>
        <v>21260</v>
      </c>
      <c r="K78" s="112">
        <v>0</v>
      </c>
      <c r="L78" s="3">
        <f t="shared" si="19"/>
        <v>21260</v>
      </c>
    </row>
    <row r="79" spans="1:12" x14ac:dyDescent="0.25">
      <c r="A79" s="258"/>
      <c r="B79" s="268"/>
      <c r="C79" s="6" t="s">
        <v>52</v>
      </c>
      <c r="D79" s="7">
        <f>SUM(D77:D78)</f>
        <v>100000</v>
      </c>
      <c r="E79" s="7">
        <v>100000</v>
      </c>
      <c r="F79" s="7">
        <f t="shared" ref="F79:L79" si="20">SUM(F77:F78)</f>
        <v>0</v>
      </c>
      <c r="G79" s="7">
        <f t="shared" si="20"/>
        <v>0</v>
      </c>
      <c r="H79" s="7">
        <f t="shared" si="20"/>
        <v>0</v>
      </c>
      <c r="I79" s="7">
        <f t="shared" si="20"/>
        <v>0</v>
      </c>
      <c r="J79" s="7">
        <f t="shared" si="20"/>
        <v>100000</v>
      </c>
      <c r="K79" s="114">
        <f t="shared" si="20"/>
        <v>0</v>
      </c>
      <c r="L79" s="7">
        <f t="shared" si="20"/>
        <v>100000</v>
      </c>
    </row>
    <row r="80" spans="1:12" x14ac:dyDescent="0.25">
      <c r="A80" s="259" t="s">
        <v>58</v>
      </c>
      <c r="B80" s="261" t="s">
        <v>46</v>
      </c>
      <c r="C80" s="15" t="s">
        <v>29</v>
      </c>
      <c r="D80" s="24">
        <v>410400</v>
      </c>
      <c r="E80" s="24">
        <v>410400</v>
      </c>
      <c r="F80" s="11"/>
      <c r="G80" s="11"/>
      <c r="H80" s="11"/>
      <c r="I80" s="11"/>
      <c r="J80" s="20">
        <f t="shared" ref="J80:J87" si="21">E80+F80+G80+H80+I80</f>
        <v>410400</v>
      </c>
      <c r="K80" s="112">
        <v>286600</v>
      </c>
      <c r="L80" s="3">
        <f t="shared" ref="L80:L87" si="22">J80-K80</f>
        <v>123800</v>
      </c>
    </row>
    <row r="81" spans="1:12" x14ac:dyDescent="0.25">
      <c r="A81" s="260"/>
      <c r="B81" s="262"/>
      <c r="C81" s="15" t="s">
        <v>31</v>
      </c>
      <c r="D81" s="24">
        <v>76266</v>
      </c>
      <c r="E81" s="24">
        <v>76266</v>
      </c>
      <c r="F81" s="11"/>
      <c r="G81" s="11"/>
      <c r="H81" s="11"/>
      <c r="I81" s="11"/>
      <c r="J81" s="20">
        <f t="shared" si="21"/>
        <v>76266</v>
      </c>
      <c r="K81" s="112">
        <v>55159</v>
      </c>
      <c r="L81" s="3">
        <f t="shared" si="22"/>
        <v>21107</v>
      </c>
    </row>
    <row r="82" spans="1:12" x14ac:dyDescent="0.25">
      <c r="A82" s="259" t="s">
        <v>59</v>
      </c>
      <c r="B82" s="261" t="s">
        <v>23</v>
      </c>
      <c r="C82" s="15" t="s">
        <v>29</v>
      </c>
      <c r="D82" s="24">
        <v>603600</v>
      </c>
      <c r="E82" s="24">
        <v>603600</v>
      </c>
      <c r="F82" s="11"/>
      <c r="G82" s="11"/>
      <c r="H82" s="11"/>
      <c r="I82" s="11"/>
      <c r="J82" s="20">
        <f t="shared" si="21"/>
        <v>603600</v>
      </c>
      <c r="K82" s="112">
        <v>235800</v>
      </c>
      <c r="L82" s="3">
        <f t="shared" si="22"/>
        <v>367800</v>
      </c>
    </row>
    <row r="83" spans="1:12" x14ac:dyDescent="0.25">
      <c r="A83" s="260"/>
      <c r="B83" s="262"/>
      <c r="C83" s="15" t="s">
        <v>31</v>
      </c>
      <c r="D83" s="24">
        <v>112169</v>
      </c>
      <c r="E83" s="24">
        <v>112169</v>
      </c>
      <c r="F83" s="11"/>
      <c r="G83" s="11"/>
      <c r="H83" s="11"/>
      <c r="I83" s="11"/>
      <c r="J83" s="20">
        <f t="shared" si="21"/>
        <v>112169</v>
      </c>
      <c r="K83" s="112">
        <v>45452</v>
      </c>
      <c r="L83" s="3">
        <f t="shared" si="22"/>
        <v>66717</v>
      </c>
    </row>
    <row r="84" spans="1:12" x14ac:dyDescent="0.25">
      <c r="A84" s="259" t="s">
        <v>60</v>
      </c>
      <c r="B84" s="261" t="s">
        <v>23</v>
      </c>
      <c r="C84" s="15" t="s">
        <v>24</v>
      </c>
      <c r="D84" s="24">
        <v>10676226</v>
      </c>
      <c r="E84" s="24">
        <v>10676226</v>
      </c>
      <c r="F84" s="11"/>
      <c r="G84" s="11"/>
      <c r="H84" s="11"/>
      <c r="I84" s="11"/>
      <c r="J84" s="20">
        <f t="shared" si="21"/>
        <v>10676226</v>
      </c>
      <c r="K84" s="112">
        <v>6886332</v>
      </c>
      <c r="L84" s="3">
        <f t="shared" si="22"/>
        <v>3789894</v>
      </c>
    </row>
    <row r="85" spans="1:12" x14ac:dyDescent="0.25">
      <c r="A85" s="260"/>
      <c r="B85" s="262"/>
      <c r="C85" s="15" t="s">
        <v>31</v>
      </c>
      <c r="D85" s="24">
        <v>1989265</v>
      </c>
      <c r="E85" s="24">
        <v>1989265</v>
      </c>
      <c r="F85" s="11"/>
      <c r="G85" s="11"/>
      <c r="H85" s="11"/>
      <c r="I85" s="11"/>
      <c r="J85" s="20">
        <f t="shared" si="21"/>
        <v>1989265</v>
      </c>
      <c r="K85" s="112">
        <v>1325339</v>
      </c>
      <c r="L85" s="3">
        <f t="shared" si="22"/>
        <v>663926</v>
      </c>
    </row>
    <row r="86" spans="1:12" x14ac:dyDescent="0.25">
      <c r="A86" s="259" t="s">
        <v>61</v>
      </c>
      <c r="B86" s="261" t="s">
        <v>46</v>
      </c>
      <c r="C86" s="15" t="s">
        <v>24</v>
      </c>
      <c r="D86" s="24">
        <v>8397674</v>
      </c>
      <c r="E86" s="24">
        <v>8397674</v>
      </c>
      <c r="F86" s="11"/>
      <c r="G86" s="11"/>
      <c r="H86" s="11"/>
      <c r="I86" s="11"/>
      <c r="J86" s="20">
        <f t="shared" si="21"/>
        <v>8397674</v>
      </c>
      <c r="K86" s="112">
        <v>5045597</v>
      </c>
      <c r="L86" s="3">
        <f t="shared" si="22"/>
        <v>3352077</v>
      </c>
    </row>
    <row r="87" spans="1:12" x14ac:dyDescent="0.25">
      <c r="A87" s="260"/>
      <c r="B87" s="262"/>
      <c r="C87" s="15" t="s">
        <v>31</v>
      </c>
      <c r="D87" s="24">
        <v>1563353</v>
      </c>
      <c r="E87" s="24">
        <v>1563353</v>
      </c>
      <c r="F87" s="11"/>
      <c r="G87" s="11"/>
      <c r="H87" s="11"/>
      <c r="I87" s="11"/>
      <c r="J87" s="20">
        <f t="shared" si="21"/>
        <v>1563353</v>
      </c>
      <c r="K87" s="112">
        <v>971239</v>
      </c>
      <c r="L87" s="3">
        <f t="shared" si="22"/>
        <v>592114</v>
      </c>
    </row>
    <row r="88" spans="1:12" x14ac:dyDescent="0.25">
      <c r="A88" s="353" t="s">
        <v>76</v>
      </c>
      <c r="B88" s="354"/>
      <c r="C88" s="355"/>
      <c r="D88" s="126">
        <f t="shared" ref="D88" si="23">SUM(D32+D33+D48+D51+D61+D62+D76+D79+D80+D81+D82+D83+D84+D85+D86+D87)</f>
        <v>118207303</v>
      </c>
      <c r="E88" s="126">
        <f>SUM(E32,E33,E48,E51,E61,E62,E76,E79,E80:E87)</f>
        <v>117441074</v>
      </c>
      <c r="F88" s="126">
        <f t="shared" ref="F88:L88" si="24">SUM(F32+F33+F48+F51+F61+F62+F76+F79+F80+F81+F82+F83+F84+F85+F86+F87)</f>
        <v>-222030</v>
      </c>
      <c r="G88" s="126">
        <f t="shared" si="24"/>
        <v>0</v>
      </c>
      <c r="H88" s="126">
        <f t="shared" si="24"/>
        <v>0</v>
      </c>
      <c r="I88" s="126">
        <f t="shared" si="24"/>
        <v>20000</v>
      </c>
      <c r="J88" s="126">
        <f t="shared" si="24"/>
        <v>117239044</v>
      </c>
      <c r="K88" s="128">
        <f t="shared" si="24"/>
        <v>67724133</v>
      </c>
      <c r="L88" s="126">
        <f t="shared" si="24"/>
        <v>49514911</v>
      </c>
    </row>
    <row r="89" spans="1:12" x14ac:dyDescent="0.25">
      <c r="A89" s="258" t="s">
        <v>12</v>
      </c>
      <c r="B89" s="268" t="s">
        <v>23</v>
      </c>
      <c r="C89" s="2" t="s">
        <v>24</v>
      </c>
      <c r="D89" s="3">
        <v>4811583</v>
      </c>
      <c r="E89" s="3">
        <v>4811583</v>
      </c>
      <c r="F89" s="3">
        <f>(SUM('2019.07.31.'!F89))-100000</f>
        <v>-178715</v>
      </c>
      <c r="G89" s="3">
        <v>269597</v>
      </c>
      <c r="H89" s="3"/>
      <c r="I89" s="3"/>
      <c r="J89" s="20">
        <f t="shared" ref="J89:J95" si="25">E89+F89+G89+H89+I89</f>
        <v>4902465</v>
      </c>
      <c r="K89" s="112">
        <v>2978552</v>
      </c>
      <c r="L89" s="3">
        <f t="shared" ref="L89:L95" si="26">J89-K89</f>
        <v>1923913</v>
      </c>
    </row>
    <row r="90" spans="1:12" x14ac:dyDescent="0.25">
      <c r="A90" s="258"/>
      <c r="B90" s="268"/>
      <c r="C90" s="2" t="s">
        <v>25</v>
      </c>
      <c r="D90" s="3">
        <v>200000</v>
      </c>
      <c r="E90" s="3">
        <v>200000</v>
      </c>
      <c r="F90" s="3"/>
      <c r="G90" s="3"/>
      <c r="H90" s="3"/>
      <c r="I90" s="3"/>
      <c r="J90" s="20">
        <f t="shared" si="25"/>
        <v>200000</v>
      </c>
      <c r="K90" s="112">
        <v>100000</v>
      </c>
      <c r="L90" s="3">
        <f t="shared" si="26"/>
        <v>100000</v>
      </c>
    </row>
    <row r="91" spans="1:12" x14ac:dyDescent="0.25">
      <c r="A91" s="258"/>
      <c r="B91" s="268"/>
      <c r="C91" s="2" t="s">
        <v>26</v>
      </c>
      <c r="D91" s="3">
        <v>10000</v>
      </c>
      <c r="E91" s="3">
        <v>10000</v>
      </c>
      <c r="F91" s="3"/>
      <c r="G91" s="3"/>
      <c r="H91" s="3"/>
      <c r="I91" s="3"/>
      <c r="J91" s="20">
        <f t="shared" si="25"/>
        <v>10000</v>
      </c>
      <c r="K91" s="112">
        <v>0</v>
      </c>
      <c r="L91" s="3">
        <f t="shared" si="26"/>
        <v>10000</v>
      </c>
    </row>
    <row r="92" spans="1:12" x14ac:dyDescent="0.25">
      <c r="A92" s="258"/>
      <c r="B92" s="268"/>
      <c r="C92" s="2" t="s">
        <v>27</v>
      </c>
      <c r="D92" s="3">
        <v>198000</v>
      </c>
      <c r="E92" s="3">
        <v>198000</v>
      </c>
      <c r="F92" s="3"/>
      <c r="G92" s="3"/>
      <c r="H92" s="3"/>
      <c r="I92" s="3"/>
      <c r="J92" s="20">
        <f t="shared" si="25"/>
        <v>198000</v>
      </c>
      <c r="K92" s="112">
        <v>89100</v>
      </c>
      <c r="L92" s="3">
        <f t="shared" si="26"/>
        <v>108900</v>
      </c>
    </row>
    <row r="93" spans="1:12" x14ac:dyDescent="0.25">
      <c r="A93" s="258"/>
      <c r="B93" s="268"/>
      <c r="C93" s="2" t="s">
        <v>28</v>
      </c>
      <c r="D93" s="3">
        <v>24000</v>
      </c>
      <c r="E93" s="3">
        <v>24000</v>
      </c>
      <c r="F93" s="3"/>
      <c r="G93" s="3"/>
      <c r="H93" s="3"/>
      <c r="I93" s="3"/>
      <c r="J93" s="20">
        <f t="shared" si="25"/>
        <v>24000</v>
      </c>
      <c r="K93" s="112">
        <v>12000</v>
      </c>
      <c r="L93" s="3">
        <f t="shared" si="26"/>
        <v>12000</v>
      </c>
    </row>
    <row r="94" spans="1:12" x14ac:dyDescent="0.25">
      <c r="A94" s="258"/>
      <c r="B94" s="268"/>
      <c r="C94" s="2" t="s">
        <v>29</v>
      </c>
      <c r="D94" s="3">
        <v>75000</v>
      </c>
      <c r="E94" s="3">
        <v>75000</v>
      </c>
      <c r="F94" s="3">
        <f>(SUM('2019.07.31.'!F94))+100000</f>
        <v>178715</v>
      </c>
      <c r="G94" s="3"/>
      <c r="H94" s="3"/>
      <c r="I94" s="3"/>
      <c r="J94" s="20">
        <f t="shared" si="25"/>
        <v>253715</v>
      </c>
      <c r="K94" s="112">
        <v>78715</v>
      </c>
      <c r="L94" s="3">
        <f t="shared" si="26"/>
        <v>175000</v>
      </c>
    </row>
    <row r="95" spans="1:12" x14ac:dyDescent="0.25">
      <c r="A95" s="258"/>
      <c r="B95" s="268"/>
      <c r="C95" s="2" t="s">
        <v>30</v>
      </c>
      <c r="D95" s="3">
        <v>0</v>
      </c>
      <c r="E95" s="3">
        <v>0</v>
      </c>
      <c r="F95" s="3"/>
      <c r="G95" s="3"/>
      <c r="H95" s="3"/>
      <c r="I95" s="3"/>
      <c r="J95" s="20">
        <f t="shared" si="25"/>
        <v>0</v>
      </c>
      <c r="K95" s="112">
        <v>0</v>
      </c>
      <c r="L95" s="3">
        <f t="shared" si="26"/>
        <v>0</v>
      </c>
    </row>
    <row r="96" spans="1:12" x14ac:dyDescent="0.25">
      <c r="A96" s="258"/>
      <c r="B96" s="268"/>
      <c r="C96" s="6" t="s">
        <v>53</v>
      </c>
      <c r="D96" s="7">
        <f>SUM(D89:D95)</f>
        <v>5318583</v>
      </c>
      <c r="E96" s="7">
        <f>SUM(E89:E95)</f>
        <v>5318583</v>
      </c>
      <c r="F96" s="7">
        <f t="shared" ref="F96:L96" si="27">SUM(F89:F95)</f>
        <v>0</v>
      </c>
      <c r="G96" s="7">
        <f t="shared" si="27"/>
        <v>269597</v>
      </c>
      <c r="H96" s="7">
        <f t="shared" si="27"/>
        <v>0</v>
      </c>
      <c r="I96" s="7">
        <f t="shared" si="27"/>
        <v>0</v>
      </c>
      <c r="J96" s="7">
        <f t="shared" si="27"/>
        <v>5588180</v>
      </c>
      <c r="K96" s="114">
        <f t="shared" si="27"/>
        <v>3258367</v>
      </c>
      <c r="L96" s="7">
        <f t="shared" si="27"/>
        <v>2329813</v>
      </c>
    </row>
    <row r="97" spans="1:12" x14ac:dyDescent="0.25">
      <c r="A97" s="258"/>
      <c r="B97" s="268"/>
      <c r="C97" s="86" t="s">
        <v>31</v>
      </c>
      <c r="D97" s="87">
        <v>1035556</v>
      </c>
      <c r="E97" s="87">
        <v>1035556</v>
      </c>
      <c r="F97" s="87"/>
      <c r="G97" s="87">
        <v>52571</v>
      </c>
      <c r="H97" s="87"/>
      <c r="I97" s="87"/>
      <c r="J97" s="88">
        <f t="shared" ref="J97:J107" si="28">E97+F97+G97+H97+I97</f>
        <v>1088127</v>
      </c>
      <c r="K97" s="115">
        <v>665076</v>
      </c>
      <c r="L97" s="89">
        <f t="shared" ref="L97:L107" si="29">J97-K97</f>
        <v>423051</v>
      </c>
    </row>
    <row r="98" spans="1:12" x14ac:dyDescent="0.25">
      <c r="A98" s="258"/>
      <c r="B98" s="268"/>
      <c r="C98" s="2" t="s">
        <v>32</v>
      </c>
      <c r="D98" s="3">
        <v>100000</v>
      </c>
      <c r="E98" s="3">
        <v>100000</v>
      </c>
      <c r="F98" s="3"/>
      <c r="G98" s="3"/>
      <c r="H98" s="3"/>
      <c r="I98" s="3"/>
      <c r="J98" s="20">
        <f t="shared" si="28"/>
        <v>100000</v>
      </c>
      <c r="K98" s="112">
        <v>0</v>
      </c>
      <c r="L98" s="3">
        <f t="shared" si="29"/>
        <v>100000</v>
      </c>
    </row>
    <row r="99" spans="1:12" x14ac:dyDescent="0.25">
      <c r="A99" s="258"/>
      <c r="B99" s="268"/>
      <c r="C99" s="2" t="s">
        <v>33</v>
      </c>
      <c r="D99" s="3">
        <v>100000</v>
      </c>
      <c r="E99" s="3">
        <v>100000</v>
      </c>
      <c r="F99" s="3">
        <v>-30000</v>
      </c>
      <c r="G99" s="3"/>
      <c r="H99" s="3"/>
      <c r="I99" s="3"/>
      <c r="J99" s="20">
        <f t="shared" si="28"/>
        <v>70000</v>
      </c>
      <c r="K99" s="112">
        <v>0</v>
      </c>
      <c r="L99" s="3">
        <f t="shared" si="29"/>
        <v>70000</v>
      </c>
    </row>
    <row r="100" spans="1:12" x14ac:dyDescent="0.25">
      <c r="A100" s="258"/>
      <c r="B100" s="268"/>
      <c r="C100" s="2" t="s">
        <v>34</v>
      </c>
      <c r="D100" s="3">
        <v>210000</v>
      </c>
      <c r="E100" s="3">
        <v>210000</v>
      </c>
      <c r="F100" s="3"/>
      <c r="G100" s="3"/>
      <c r="H100" s="3"/>
      <c r="I100" s="3"/>
      <c r="J100" s="20">
        <f t="shared" si="28"/>
        <v>210000</v>
      </c>
      <c r="K100" s="112">
        <v>0</v>
      </c>
      <c r="L100" s="3">
        <f t="shared" si="29"/>
        <v>210000</v>
      </c>
    </row>
    <row r="101" spans="1:12" x14ac:dyDescent="0.25">
      <c r="A101" s="258"/>
      <c r="B101" s="268"/>
      <c r="C101" s="2" t="s">
        <v>35</v>
      </c>
      <c r="D101" s="3">
        <v>110000</v>
      </c>
      <c r="E101" s="3">
        <v>110000</v>
      </c>
      <c r="F101" s="3"/>
      <c r="G101" s="3"/>
      <c r="H101" s="3"/>
      <c r="I101" s="3"/>
      <c r="J101" s="20">
        <f t="shared" si="28"/>
        <v>110000</v>
      </c>
      <c r="K101" s="112">
        <v>0</v>
      </c>
      <c r="L101" s="3">
        <f t="shared" si="29"/>
        <v>110000</v>
      </c>
    </row>
    <row r="102" spans="1:12" x14ac:dyDescent="0.25">
      <c r="A102" s="258"/>
      <c r="B102" s="268"/>
      <c r="C102" s="2" t="s">
        <v>36</v>
      </c>
      <c r="D102" s="3">
        <v>500000</v>
      </c>
      <c r="E102" s="3">
        <v>500000</v>
      </c>
      <c r="F102" s="3">
        <f>SUM('2019.08.31.'!F102)</f>
        <v>-900</v>
      </c>
      <c r="G102" s="3"/>
      <c r="H102" s="3"/>
      <c r="I102" s="3"/>
      <c r="J102" s="20">
        <f t="shared" si="28"/>
        <v>499100</v>
      </c>
      <c r="K102" s="112">
        <v>338922</v>
      </c>
      <c r="L102" s="3">
        <f t="shared" si="29"/>
        <v>160178</v>
      </c>
    </row>
    <row r="103" spans="1:12" x14ac:dyDescent="0.25">
      <c r="A103" s="258"/>
      <c r="B103" s="268"/>
      <c r="C103" s="2" t="s">
        <v>38</v>
      </c>
      <c r="D103" s="3">
        <v>140000</v>
      </c>
      <c r="E103" s="3">
        <v>140000</v>
      </c>
      <c r="F103" s="3">
        <f>SUM('2019.08.31.'!F103)</f>
        <v>-4620</v>
      </c>
      <c r="G103" s="3"/>
      <c r="H103" s="3"/>
      <c r="I103" s="3"/>
      <c r="J103" s="20">
        <f t="shared" si="28"/>
        <v>135380</v>
      </c>
      <c r="K103" s="112">
        <v>0</v>
      </c>
      <c r="L103" s="3">
        <f t="shared" si="29"/>
        <v>135380</v>
      </c>
    </row>
    <row r="104" spans="1:12" x14ac:dyDescent="0.25">
      <c r="A104" s="258"/>
      <c r="B104" s="268"/>
      <c r="C104" s="2" t="s">
        <v>40</v>
      </c>
      <c r="D104" s="3">
        <v>16800</v>
      </c>
      <c r="E104" s="3">
        <v>16800</v>
      </c>
      <c r="F104" s="3">
        <f>SUM('2019.08.31.'!F104)</f>
        <v>3400</v>
      </c>
      <c r="G104" s="3"/>
      <c r="H104" s="3"/>
      <c r="I104" s="3"/>
      <c r="J104" s="20">
        <f t="shared" si="28"/>
        <v>20200</v>
      </c>
      <c r="K104" s="112">
        <v>6800</v>
      </c>
      <c r="L104" s="3">
        <f t="shared" si="29"/>
        <v>13400</v>
      </c>
    </row>
    <row r="105" spans="1:12" x14ac:dyDescent="0.25">
      <c r="A105" s="258"/>
      <c r="B105" s="268"/>
      <c r="C105" s="2" t="s">
        <v>41</v>
      </c>
      <c r="D105" s="3">
        <v>80000</v>
      </c>
      <c r="E105" s="3">
        <v>80000</v>
      </c>
      <c r="F105" s="3">
        <f>(SUM('2019.07.31.'!F105,'2019.08.31.'!F105))+30000</f>
        <v>37280</v>
      </c>
      <c r="G105" s="3"/>
      <c r="H105" s="3"/>
      <c r="I105" s="3"/>
      <c r="J105" s="20">
        <f t="shared" si="28"/>
        <v>117280</v>
      </c>
      <c r="K105" s="112">
        <v>86060</v>
      </c>
      <c r="L105" s="60">
        <f t="shared" si="29"/>
        <v>31220</v>
      </c>
    </row>
    <row r="106" spans="1:12" x14ac:dyDescent="0.25">
      <c r="A106" s="258"/>
      <c r="B106" s="268"/>
      <c r="C106" s="2" t="s">
        <v>42</v>
      </c>
      <c r="D106" s="3">
        <v>240000</v>
      </c>
      <c r="E106" s="3">
        <v>240000</v>
      </c>
      <c r="F106" s="3"/>
      <c r="G106" s="3"/>
      <c r="H106" s="3"/>
      <c r="I106" s="3"/>
      <c r="J106" s="20">
        <f t="shared" si="28"/>
        <v>240000</v>
      </c>
      <c r="K106" s="112">
        <v>113680</v>
      </c>
      <c r="L106" s="3">
        <f t="shared" si="29"/>
        <v>126320</v>
      </c>
    </row>
    <row r="107" spans="1:12" x14ac:dyDescent="0.25">
      <c r="A107" s="258"/>
      <c r="B107" s="268"/>
      <c r="C107" s="2" t="s">
        <v>44</v>
      </c>
      <c r="D107" s="3">
        <v>200600</v>
      </c>
      <c r="E107" s="3">
        <v>200600</v>
      </c>
      <c r="F107" s="3">
        <f>SUM('2019.07.31.'!F107)</f>
        <v>-5160</v>
      </c>
      <c r="G107" s="3"/>
      <c r="H107" s="3"/>
      <c r="I107" s="3"/>
      <c r="J107" s="20">
        <f t="shared" si="28"/>
        <v>195440</v>
      </c>
      <c r="K107" s="112">
        <v>27491</v>
      </c>
      <c r="L107" s="3">
        <f t="shared" si="29"/>
        <v>167949</v>
      </c>
    </row>
    <row r="108" spans="1:12" x14ac:dyDescent="0.25">
      <c r="A108" s="258"/>
      <c r="B108" s="268"/>
      <c r="C108" s="6" t="s">
        <v>49</v>
      </c>
      <c r="D108" s="7">
        <f>SUM(D98:D107)</f>
        <v>1697400</v>
      </c>
      <c r="E108" s="7">
        <f>SUM(E98:E107)</f>
        <v>1697400</v>
      </c>
      <c r="F108" s="7">
        <f t="shared" ref="F108:L108" si="30">SUM(F98:F107)</f>
        <v>0</v>
      </c>
      <c r="G108" s="7">
        <f t="shared" si="30"/>
        <v>0</v>
      </c>
      <c r="H108" s="7">
        <f t="shared" si="30"/>
        <v>0</v>
      </c>
      <c r="I108" s="7">
        <f t="shared" si="30"/>
        <v>0</v>
      </c>
      <c r="J108" s="7">
        <f t="shared" si="30"/>
        <v>1697400</v>
      </c>
      <c r="K108" s="114">
        <f t="shared" si="30"/>
        <v>572953</v>
      </c>
      <c r="L108" s="7">
        <f t="shared" si="30"/>
        <v>1124447</v>
      </c>
    </row>
    <row r="109" spans="1:12" x14ac:dyDescent="0.25">
      <c r="A109" s="255" t="s">
        <v>62</v>
      </c>
      <c r="B109" s="252" t="s">
        <v>23</v>
      </c>
      <c r="C109" s="15" t="s">
        <v>29</v>
      </c>
      <c r="D109" s="24">
        <v>111600</v>
      </c>
      <c r="E109" s="24">
        <v>111600</v>
      </c>
      <c r="F109" s="11"/>
      <c r="G109" s="11"/>
      <c r="H109" s="11"/>
      <c r="I109" s="11"/>
      <c r="J109" s="20">
        <f t="shared" ref="J109:J112" si="31">E109+F109+G109+H109+I109</f>
        <v>111600</v>
      </c>
      <c r="K109" s="112">
        <v>46400</v>
      </c>
      <c r="L109" s="3">
        <f t="shared" ref="L109:L112" si="32">J109-K109</f>
        <v>65200</v>
      </c>
    </row>
    <row r="110" spans="1:12" x14ac:dyDescent="0.25">
      <c r="A110" s="257"/>
      <c r="B110" s="254"/>
      <c r="C110" s="15" t="s">
        <v>31</v>
      </c>
      <c r="D110" s="24">
        <v>20739</v>
      </c>
      <c r="E110" s="24">
        <v>20739</v>
      </c>
      <c r="F110" s="11"/>
      <c r="G110" s="11"/>
      <c r="H110" s="11"/>
      <c r="I110" s="11"/>
      <c r="J110" s="20">
        <f t="shared" si="31"/>
        <v>20739</v>
      </c>
      <c r="K110" s="112">
        <v>8939</v>
      </c>
      <c r="L110" s="3">
        <f t="shared" si="32"/>
        <v>11800</v>
      </c>
    </row>
    <row r="111" spans="1:12" x14ac:dyDescent="0.25">
      <c r="A111" s="255" t="s">
        <v>63</v>
      </c>
      <c r="B111" s="252" t="s">
        <v>23</v>
      </c>
      <c r="C111" s="15" t="s">
        <v>24</v>
      </c>
      <c r="D111" s="24">
        <v>1460272</v>
      </c>
      <c r="E111" s="24">
        <v>1460272</v>
      </c>
      <c r="F111" s="11"/>
      <c r="G111" s="11"/>
      <c r="H111" s="11"/>
      <c r="I111" s="11"/>
      <c r="J111" s="20">
        <f t="shared" si="31"/>
        <v>1460272</v>
      </c>
      <c r="K111" s="112">
        <v>1000842</v>
      </c>
      <c r="L111" s="3">
        <f t="shared" si="32"/>
        <v>459430</v>
      </c>
    </row>
    <row r="112" spans="1:12" x14ac:dyDescent="0.25">
      <c r="A112" s="257"/>
      <c r="B112" s="254"/>
      <c r="C112" s="15" t="s">
        <v>31</v>
      </c>
      <c r="D112" s="24">
        <v>272168</v>
      </c>
      <c r="E112" s="24">
        <v>272168</v>
      </c>
      <c r="F112" s="11"/>
      <c r="G112" s="11"/>
      <c r="H112" s="11"/>
      <c r="I112" s="11"/>
      <c r="J112" s="20">
        <f t="shared" si="31"/>
        <v>272168</v>
      </c>
      <c r="K112" s="112">
        <v>192647</v>
      </c>
      <c r="L112" s="3">
        <f t="shared" si="32"/>
        <v>79521</v>
      </c>
    </row>
    <row r="113" spans="1:12" x14ac:dyDescent="0.25">
      <c r="A113" s="353" t="s">
        <v>77</v>
      </c>
      <c r="B113" s="354"/>
      <c r="C113" s="355"/>
      <c r="D113" s="126">
        <f>SUM(D96+D97+D108+D109+D110+D111+D112)</f>
        <v>9916318</v>
      </c>
      <c r="E113" s="126">
        <f>SUM(E96,E97,E108,E109:E112)</f>
        <v>9916318</v>
      </c>
      <c r="F113" s="126">
        <f t="shared" ref="F113:L113" si="33">SUM(F96+F97+F108+F109+F110+F111+F112)</f>
        <v>0</v>
      </c>
      <c r="G113" s="126">
        <f t="shared" si="33"/>
        <v>322168</v>
      </c>
      <c r="H113" s="126">
        <f t="shared" si="33"/>
        <v>0</v>
      </c>
      <c r="I113" s="126">
        <f t="shared" si="33"/>
        <v>0</v>
      </c>
      <c r="J113" s="126">
        <f t="shared" si="33"/>
        <v>10238486</v>
      </c>
      <c r="K113" s="128">
        <f t="shared" si="33"/>
        <v>5745224</v>
      </c>
      <c r="L113" s="126">
        <f t="shared" si="33"/>
        <v>4493262</v>
      </c>
    </row>
    <row r="114" spans="1:12" x14ac:dyDescent="0.25">
      <c r="A114" s="258" t="s">
        <v>13</v>
      </c>
      <c r="B114" s="268" t="s">
        <v>23</v>
      </c>
      <c r="C114" s="2" t="s">
        <v>24</v>
      </c>
      <c r="D114" s="3">
        <v>4871210</v>
      </c>
      <c r="E114" s="3">
        <v>4885228</v>
      </c>
      <c r="F114" s="3">
        <f>(SUM('2019.06.30.'!F114))-30000</f>
        <v>-58601</v>
      </c>
      <c r="G114" s="3">
        <v>173653</v>
      </c>
      <c r="H114" s="3"/>
      <c r="I114" s="3"/>
      <c r="J114" s="20">
        <f t="shared" ref="J114:J119" si="34">E114+F114+G114+H114+I114</f>
        <v>5000280</v>
      </c>
      <c r="K114" s="112">
        <v>3132900</v>
      </c>
      <c r="L114" s="3">
        <f t="shared" ref="L114:L119" si="35">J114-K114</f>
        <v>1867380</v>
      </c>
    </row>
    <row r="115" spans="1:12" x14ac:dyDescent="0.25">
      <c r="A115" s="258"/>
      <c r="B115" s="268"/>
      <c r="C115" s="2" t="s">
        <v>25</v>
      </c>
      <c r="D115" s="3">
        <v>200000</v>
      </c>
      <c r="E115" s="3">
        <v>200000</v>
      </c>
      <c r="F115" s="3"/>
      <c r="G115" s="3"/>
      <c r="H115" s="3"/>
      <c r="I115" s="3"/>
      <c r="J115" s="20">
        <f t="shared" si="34"/>
        <v>200000</v>
      </c>
      <c r="K115" s="112">
        <v>100000</v>
      </c>
      <c r="L115" s="3">
        <f t="shared" si="35"/>
        <v>100000</v>
      </c>
    </row>
    <row r="116" spans="1:12" x14ac:dyDescent="0.25">
      <c r="A116" s="258"/>
      <c r="B116" s="268"/>
      <c r="C116" s="2" t="s">
        <v>26</v>
      </c>
      <c r="D116" s="3">
        <v>10000</v>
      </c>
      <c r="E116" s="3">
        <v>10000</v>
      </c>
      <c r="F116" s="3"/>
      <c r="G116" s="3"/>
      <c r="H116" s="3"/>
      <c r="I116" s="3"/>
      <c r="J116" s="20">
        <f t="shared" si="34"/>
        <v>10000</v>
      </c>
      <c r="K116" s="112">
        <v>0</v>
      </c>
      <c r="L116" s="3">
        <f t="shared" si="35"/>
        <v>10000</v>
      </c>
    </row>
    <row r="117" spans="1:12" x14ac:dyDescent="0.25">
      <c r="A117" s="258"/>
      <c r="B117" s="268"/>
      <c r="C117" s="2" t="s">
        <v>28</v>
      </c>
      <c r="D117" s="3">
        <v>24000</v>
      </c>
      <c r="E117" s="3">
        <v>24000</v>
      </c>
      <c r="F117" s="3"/>
      <c r="G117" s="3"/>
      <c r="H117" s="3"/>
      <c r="I117" s="3"/>
      <c r="J117" s="20">
        <f t="shared" si="34"/>
        <v>24000</v>
      </c>
      <c r="K117" s="112">
        <v>12000</v>
      </c>
      <c r="L117" s="3">
        <f t="shared" si="35"/>
        <v>12000</v>
      </c>
    </row>
    <row r="118" spans="1:12" x14ac:dyDescent="0.25">
      <c r="A118" s="258"/>
      <c r="B118" s="268"/>
      <c r="C118" s="2" t="s">
        <v>29</v>
      </c>
      <c r="D118" s="3">
        <v>75000</v>
      </c>
      <c r="E118" s="3">
        <v>75000</v>
      </c>
      <c r="F118" s="3">
        <f>(SUM('2019.06.30.'!F118))+30000</f>
        <v>58601</v>
      </c>
      <c r="G118" s="3"/>
      <c r="H118" s="3"/>
      <c r="I118" s="3"/>
      <c r="J118" s="20">
        <f t="shared" si="34"/>
        <v>133601</v>
      </c>
      <c r="K118" s="112">
        <v>28601</v>
      </c>
      <c r="L118" s="3">
        <f t="shared" si="35"/>
        <v>105000</v>
      </c>
    </row>
    <row r="119" spans="1:12" x14ac:dyDescent="0.25">
      <c r="A119" s="258"/>
      <c r="B119" s="268"/>
      <c r="C119" s="2" t="s">
        <v>30</v>
      </c>
      <c r="D119" s="3">
        <v>0</v>
      </c>
      <c r="E119" s="3">
        <v>0</v>
      </c>
      <c r="F119" s="3"/>
      <c r="G119" s="3"/>
      <c r="H119" s="3"/>
      <c r="I119" s="3"/>
      <c r="J119" s="20">
        <f t="shared" si="34"/>
        <v>0</v>
      </c>
      <c r="K119" s="112">
        <v>0</v>
      </c>
      <c r="L119" s="3">
        <f t="shared" si="35"/>
        <v>0</v>
      </c>
    </row>
    <row r="120" spans="1:12" x14ac:dyDescent="0.25">
      <c r="A120" s="258"/>
      <c r="B120" s="268"/>
      <c r="C120" s="6" t="s">
        <v>53</v>
      </c>
      <c r="D120" s="7">
        <f>SUM(D114:D119)</f>
        <v>5180210</v>
      </c>
      <c r="E120" s="7">
        <f>SUM(E114:E119)</f>
        <v>5194228</v>
      </c>
      <c r="F120" s="7">
        <f t="shared" ref="F120:L120" si="36">SUM(F114:F119)</f>
        <v>0</v>
      </c>
      <c r="G120" s="7">
        <f t="shared" si="36"/>
        <v>173653</v>
      </c>
      <c r="H120" s="7">
        <f t="shared" si="36"/>
        <v>0</v>
      </c>
      <c r="I120" s="7">
        <f t="shared" si="36"/>
        <v>0</v>
      </c>
      <c r="J120" s="7">
        <f t="shared" si="36"/>
        <v>5367881</v>
      </c>
      <c r="K120" s="114">
        <f t="shared" si="36"/>
        <v>3273501</v>
      </c>
      <c r="L120" s="7">
        <f t="shared" si="36"/>
        <v>2094380</v>
      </c>
    </row>
    <row r="121" spans="1:12" x14ac:dyDescent="0.25">
      <c r="A121" s="258"/>
      <c r="B121" s="268"/>
      <c r="C121" s="86" t="s">
        <v>31</v>
      </c>
      <c r="D121" s="87">
        <v>1046402</v>
      </c>
      <c r="E121" s="87">
        <v>1049135</v>
      </c>
      <c r="F121" s="87"/>
      <c r="G121" s="87">
        <v>33862</v>
      </c>
      <c r="H121" s="87"/>
      <c r="I121" s="87"/>
      <c r="J121" s="88">
        <f t="shared" ref="J121:J129" si="37">E121+F121+G121+H121+I121</f>
        <v>1082997</v>
      </c>
      <c r="K121" s="115">
        <v>685261</v>
      </c>
      <c r="L121" s="89">
        <f t="shared" ref="L121:L129" si="38">J121-K121</f>
        <v>397736</v>
      </c>
    </row>
    <row r="122" spans="1:12" x14ac:dyDescent="0.25">
      <c r="A122" s="258"/>
      <c r="B122" s="268"/>
      <c r="C122" s="2" t="s">
        <v>32</v>
      </c>
      <c r="D122" s="3">
        <v>50000</v>
      </c>
      <c r="E122" s="3">
        <v>50000</v>
      </c>
      <c r="F122" s="3"/>
      <c r="G122" s="3"/>
      <c r="H122" s="3"/>
      <c r="I122" s="3"/>
      <c r="J122" s="20">
        <f t="shared" si="37"/>
        <v>50000</v>
      </c>
      <c r="K122" s="112">
        <v>0</v>
      </c>
      <c r="L122" s="3">
        <f t="shared" si="38"/>
        <v>50000</v>
      </c>
    </row>
    <row r="123" spans="1:12" x14ac:dyDescent="0.25">
      <c r="A123" s="258"/>
      <c r="B123" s="268"/>
      <c r="C123" s="2" t="s">
        <v>33</v>
      </c>
      <c r="D123" s="3">
        <v>100000</v>
      </c>
      <c r="E123" s="3">
        <v>100000</v>
      </c>
      <c r="F123" s="3">
        <v>-30000</v>
      </c>
      <c r="G123" s="3"/>
      <c r="H123" s="3"/>
      <c r="I123" s="3"/>
      <c r="J123" s="20">
        <f t="shared" si="37"/>
        <v>70000</v>
      </c>
      <c r="K123" s="112">
        <v>0</v>
      </c>
      <c r="L123" s="3">
        <f t="shared" si="38"/>
        <v>70000</v>
      </c>
    </row>
    <row r="124" spans="1:12" x14ac:dyDescent="0.25">
      <c r="A124" s="258"/>
      <c r="B124" s="268"/>
      <c r="C124" s="2" t="s">
        <v>34</v>
      </c>
      <c r="D124" s="3">
        <v>150000</v>
      </c>
      <c r="E124" s="3">
        <v>116000</v>
      </c>
      <c r="F124" s="3"/>
      <c r="G124" s="3"/>
      <c r="H124" s="3"/>
      <c r="I124" s="3"/>
      <c r="J124" s="20">
        <f t="shared" si="37"/>
        <v>116000</v>
      </c>
      <c r="K124" s="112">
        <v>0</v>
      </c>
      <c r="L124" s="3">
        <f t="shared" si="38"/>
        <v>116000</v>
      </c>
    </row>
    <row r="125" spans="1:12" x14ac:dyDescent="0.25">
      <c r="A125" s="258"/>
      <c r="B125" s="268"/>
      <c r="C125" s="2" t="s">
        <v>38</v>
      </c>
      <c r="D125" s="3">
        <v>50000</v>
      </c>
      <c r="E125" s="3">
        <v>50000</v>
      </c>
      <c r="F125" s="3">
        <f>SUM('2019.08.31.'!F125)</f>
        <v>-3400</v>
      </c>
      <c r="G125" s="3"/>
      <c r="H125" s="3"/>
      <c r="I125" s="3"/>
      <c r="J125" s="20">
        <f t="shared" si="37"/>
        <v>46600</v>
      </c>
      <c r="K125" s="112">
        <v>0</v>
      </c>
      <c r="L125" s="3">
        <f t="shared" si="38"/>
        <v>46600</v>
      </c>
    </row>
    <row r="126" spans="1:12" x14ac:dyDescent="0.25">
      <c r="A126" s="258"/>
      <c r="B126" s="268"/>
      <c r="C126" s="2" t="s">
        <v>40</v>
      </c>
      <c r="D126" s="3">
        <v>16800</v>
      </c>
      <c r="E126" s="3">
        <v>16800</v>
      </c>
      <c r="F126" s="3">
        <f>SUM('2019.08.31.'!F126)</f>
        <v>3400</v>
      </c>
      <c r="G126" s="3"/>
      <c r="H126" s="3"/>
      <c r="I126" s="3"/>
      <c r="J126" s="20">
        <f t="shared" si="37"/>
        <v>20200</v>
      </c>
      <c r="K126" s="112">
        <v>6800</v>
      </c>
      <c r="L126" s="3">
        <f t="shared" si="38"/>
        <v>13400</v>
      </c>
    </row>
    <row r="127" spans="1:12" x14ac:dyDescent="0.25">
      <c r="A127" s="258"/>
      <c r="B127" s="268"/>
      <c r="C127" s="2" t="s">
        <v>41</v>
      </c>
      <c r="D127" s="3">
        <v>0</v>
      </c>
      <c r="E127" s="3">
        <v>34000</v>
      </c>
      <c r="F127" s="3">
        <f>(SUM('2019.06.30.'!F127))+30000</f>
        <v>36280</v>
      </c>
      <c r="G127" s="3"/>
      <c r="H127" s="3"/>
      <c r="I127" s="3"/>
      <c r="J127" s="20">
        <f t="shared" si="37"/>
        <v>70280</v>
      </c>
      <c r="K127" s="112">
        <v>39060</v>
      </c>
      <c r="L127" s="3">
        <f t="shared" si="38"/>
        <v>31220</v>
      </c>
    </row>
    <row r="128" spans="1:12" x14ac:dyDescent="0.25">
      <c r="A128" s="258"/>
      <c r="B128" s="268"/>
      <c r="C128" s="2" t="s">
        <v>42</v>
      </c>
      <c r="D128" s="3">
        <v>240000</v>
      </c>
      <c r="E128" s="3">
        <v>240000</v>
      </c>
      <c r="F128" s="3">
        <f>SUM('2019.06.30.'!F128)</f>
        <v>-6280</v>
      </c>
      <c r="G128" s="3"/>
      <c r="H128" s="3"/>
      <c r="I128" s="3"/>
      <c r="J128" s="20">
        <f t="shared" si="37"/>
        <v>233720</v>
      </c>
      <c r="K128" s="112">
        <v>98375</v>
      </c>
      <c r="L128" s="3">
        <f t="shared" si="38"/>
        <v>135345</v>
      </c>
    </row>
    <row r="129" spans="1:12" x14ac:dyDescent="0.25">
      <c r="A129" s="258"/>
      <c r="B129" s="268"/>
      <c r="C129" s="2" t="s">
        <v>44</v>
      </c>
      <c r="D129" s="3">
        <v>94500</v>
      </c>
      <c r="E129" s="3">
        <v>94500</v>
      </c>
      <c r="F129" s="3"/>
      <c r="G129" s="3"/>
      <c r="H129" s="3"/>
      <c r="I129" s="3"/>
      <c r="J129" s="20">
        <f t="shared" si="37"/>
        <v>94500</v>
      </c>
      <c r="K129" s="112">
        <v>10545</v>
      </c>
      <c r="L129" s="3">
        <f t="shared" si="38"/>
        <v>83955</v>
      </c>
    </row>
    <row r="130" spans="1:12" x14ac:dyDescent="0.25">
      <c r="A130" s="258"/>
      <c r="B130" s="268"/>
      <c r="C130" s="6" t="s">
        <v>49</v>
      </c>
      <c r="D130" s="7">
        <f>SUM(D122:D129)</f>
        <v>701300</v>
      </c>
      <c r="E130" s="7">
        <f>SUM(E122:E129)</f>
        <v>701300</v>
      </c>
      <c r="F130" s="7">
        <f t="shared" ref="F130:L130" si="39">SUM(F122:F129)</f>
        <v>0</v>
      </c>
      <c r="G130" s="7">
        <f t="shared" si="39"/>
        <v>0</v>
      </c>
      <c r="H130" s="7">
        <f t="shared" si="39"/>
        <v>0</v>
      </c>
      <c r="I130" s="7">
        <f t="shared" si="39"/>
        <v>0</v>
      </c>
      <c r="J130" s="7">
        <f t="shared" si="39"/>
        <v>701300</v>
      </c>
      <c r="K130" s="114">
        <f t="shared" si="39"/>
        <v>154780</v>
      </c>
      <c r="L130" s="7">
        <f t="shared" si="39"/>
        <v>546520</v>
      </c>
    </row>
    <row r="131" spans="1:12" x14ac:dyDescent="0.25">
      <c r="A131" s="255" t="s">
        <v>64</v>
      </c>
      <c r="B131" s="252" t="s">
        <v>23</v>
      </c>
      <c r="C131" s="15" t="s">
        <v>29</v>
      </c>
      <c r="D131" s="24">
        <v>39600</v>
      </c>
      <c r="E131" s="24">
        <v>39600</v>
      </c>
      <c r="F131" s="11"/>
      <c r="G131" s="11"/>
      <c r="H131" s="11"/>
      <c r="I131" s="11"/>
      <c r="J131" s="20">
        <f t="shared" ref="J131:J134" si="40">E131+F131+G131+H131+I131</f>
        <v>39600</v>
      </c>
      <c r="K131" s="112">
        <v>26400</v>
      </c>
      <c r="L131" s="3">
        <f t="shared" ref="L131:L134" si="41">J131-K131</f>
        <v>13200</v>
      </c>
    </row>
    <row r="132" spans="1:12" x14ac:dyDescent="0.25">
      <c r="A132" s="257"/>
      <c r="B132" s="254"/>
      <c r="C132" s="15" t="s">
        <v>31</v>
      </c>
      <c r="D132" s="24">
        <v>7359</v>
      </c>
      <c r="E132" s="24">
        <v>7359</v>
      </c>
      <c r="F132" s="11"/>
      <c r="G132" s="11"/>
      <c r="H132" s="11"/>
      <c r="I132" s="11"/>
      <c r="J132" s="20">
        <f t="shared" si="40"/>
        <v>7359</v>
      </c>
      <c r="K132" s="112">
        <v>5083</v>
      </c>
      <c r="L132" s="3">
        <f t="shared" si="41"/>
        <v>2276</v>
      </c>
    </row>
    <row r="133" spans="1:12" x14ac:dyDescent="0.25">
      <c r="A133" s="255" t="s">
        <v>65</v>
      </c>
      <c r="B133" s="252" t="s">
        <v>23</v>
      </c>
      <c r="C133" s="15" t="s">
        <v>24</v>
      </c>
      <c r="D133" s="24">
        <v>1357158</v>
      </c>
      <c r="E133" s="24">
        <v>1357158</v>
      </c>
      <c r="F133" s="11"/>
      <c r="G133" s="11"/>
      <c r="H133" s="11"/>
      <c r="I133" s="11"/>
      <c r="J133" s="20">
        <f t="shared" si="40"/>
        <v>1357158</v>
      </c>
      <c r="K133" s="112">
        <v>905488</v>
      </c>
      <c r="L133" s="3">
        <f t="shared" si="41"/>
        <v>451670</v>
      </c>
    </row>
    <row r="134" spans="1:12" x14ac:dyDescent="0.25">
      <c r="A134" s="257"/>
      <c r="B134" s="254"/>
      <c r="C134" s="15" t="s">
        <v>31</v>
      </c>
      <c r="D134" s="24">
        <v>253327</v>
      </c>
      <c r="E134" s="24">
        <v>253327</v>
      </c>
      <c r="F134" s="11"/>
      <c r="G134" s="11"/>
      <c r="H134" s="11"/>
      <c r="I134" s="11"/>
      <c r="J134" s="20">
        <f t="shared" si="40"/>
        <v>253327</v>
      </c>
      <c r="K134" s="112">
        <v>174303</v>
      </c>
      <c r="L134" s="3">
        <f t="shared" si="41"/>
        <v>79024</v>
      </c>
    </row>
    <row r="135" spans="1:12" x14ac:dyDescent="0.25">
      <c r="A135" s="353" t="s">
        <v>78</v>
      </c>
      <c r="B135" s="354"/>
      <c r="C135" s="355"/>
      <c r="D135" s="126">
        <f>SUM(D120+D121+D130+D131+D132+D133+D134)</f>
        <v>8585356</v>
      </c>
      <c r="E135" s="126">
        <f>SUM(E120,E121,E130,E131:E134)</f>
        <v>8602107</v>
      </c>
      <c r="F135" s="126">
        <f t="shared" ref="F135:L135" si="42">SUM(F120+F121+F130+F131+F132+F133+F134)</f>
        <v>0</v>
      </c>
      <c r="G135" s="126">
        <f t="shared" si="42"/>
        <v>207515</v>
      </c>
      <c r="H135" s="126">
        <f t="shared" si="42"/>
        <v>0</v>
      </c>
      <c r="I135" s="126">
        <f t="shared" si="42"/>
        <v>0</v>
      </c>
      <c r="J135" s="126">
        <f t="shared" si="42"/>
        <v>8809622</v>
      </c>
      <c r="K135" s="128">
        <f t="shared" si="42"/>
        <v>5224816</v>
      </c>
      <c r="L135" s="126">
        <f t="shared" si="42"/>
        <v>3584806</v>
      </c>
    </row>
    <row r="136" spans="1:12" x14ac:dyDescent="0.25">
      <c r="A136" s="258" t="s">
        <v>14</v>
      </c>
      <c r="B136" s="268" t="s">
        <v>23</v>
      </c>
      <c r="C136" s="2" t="s">
        <v>24</v>
      </c>
      <c r="D136" s="3">
        <v>4756797</v>
      </c>
      <c r="E136" s="3">
        <v>4688588</v>
      </c>
      <c r="F136" s="3">
        <f>(SUM('2019.06.30.'!F136))-30000</f>
        <v>-50518</v>
      </c>
      <c r="G136" s="3">
        <v>319009</v>
      </c>
      <c r="H136" s="3"/>
      <c r="I136" s="3"/>
      <c r="J136" s="20">
        <f t="shared" ref="J136:J142" si="43">E136+F136+G136+H136+I136</f>
        <v>4957079</v>
      </c>
      <c r="K136" s="112">
        <v>2971577</v>
      </c>
      <c r="L136" s="3">
        <f t="shared" ref="L136:L142" si="44">J136-K136</f>
        <v>1985502</v>
      </c>
    </row>
    <row r="137" spans="1:12" x14ac:dyDescent="0.25">
      <c r="A137" s="258"/>
      <c r="B137" s="268"/>
      <c r="C137" s="2" t="s">
        <v>25</v>
      </c>
      <c r="D137" s="3">
        <v>200000</v>
      </c>
      <c r="E137" s="3">
        <v>200000</v>
      </c>
      <c r="F137" s="3"/>
      <c r="G137" s="3"/>
      <c r="H137" s="3"/>
      <c r="I137" s="3"/>
      <c r="J137" s="20">
        <f t="shared" si="43"/>
        <v>200000</v>
      </c>
      <c r="K137" s="112">
        <v>100000</v>
      </c>
      <c r="L137" s="3">
        <f t="shared" si="44"/>
        <v>100000</v>
      </c>
    </row>
    <row r="138" spans="1:12" x14ac:dyDescent="0.25">
      <c r="A138" s="258"/>
      <c r="B138" s="268"/>
      <c r="C138" s="2" t="s">
        <v>26</v>
      </c>
      <c r="D138" s="3">
        <v>10000</v>
      </c>
      <c r="E138" s="3">
        <v>10000</v>
      </c>
      <c r="F138" s="3"/>
      <c r="G138" s="3"/>
      <c r="H138" s="3"/>
      <c r="I138" s="3"/>
      <c r="J138" s="20">
        <f t="shared" si="43"/>
        <v>10000</v>
      </c>
      <c r="K138" s="112">
        <v>0</v>
      </c>
      <c r="L138" s="3">
        <f t="shared" si="44"/>
        <v>10000</v>
      </c>
    </row>
    <row r="139" spans="1:12" x14ac:dyDescent="0.25">
      <c r="A139" s="258"/>
      <c r="B139" s="268"/>
      <c r="C139" s="2" t="s">
        <v>27</v>
      </c>
      <c r="D139" s="3">
        <v>255000</v>
      </c>
      <c r="E139" s="3">
        <v>255000</v>
      </c>
      <c r="F139" s="3"/>
      <c r="G139" s="3"/>
      <c r="H139" s="3"/>
      <c r="I139" s="3"/>
      <c r="J139" s="20">
        <f t="shared" si="43"/>
        <v>255000</v>
      </c>
      <c r="K139" s="112">
        <v>128878</v>
      </c>
      <c r="L139" s="3">
        <f t="shared" si="44"/>
        <v>126122</v>
      </c>
    </row>
    <row r="140" spans="1:12" x14ac:dyDescent="0.25">
      <c r="A140" s="258"/>
      <c r="B140" s="268"/>
      <c r="C140" s="2" t="s">
        <v>28</v>
      </c>
      <c r="D140" s="3">
        <v>24000</v>
      </c>
      <c r="E140" s="3">
        <v>24000</v>
      </c>
      <c r="F140" s="3"/>
      <c r="G140" s="3"/>
      <c r="H140" s="3"/>
      <c r="I140" s="3"/>
      <c r="J140" s="20">
        <f t="shared" si="43"/>
        <v>24000</v>
      </c>
      <c r="K140" s="112">
        <v>12000</v>
      </c>
      <c r="L140" s="3">
        <f t="shared" si="44"/>
        <v>12000</v>
      </c>
    </row>
    <row r="141" spans="1:12" x14ac:dyDescent="0.25">
      <c r="A141" s="258"/>
      <c r="B141" s="268"/>
      <c r="C141" s="2" t="s">
        <v>29</v>
      </c>
      <c r="D141" s="3">
        <v>0</v>
      </c>
      <c r="E141" s="3">
        <v>77789</v>
      </c>
      <c r="F141" s="3">
        <f>(SUM('2019.06.30.'!F141))+30000</f>
        <v>50518</v>
      </c>
      <c r="G141" s="3"/>
      <c r="H141" s="3"/>
      <c r="I141" s="3"/>
      <c r="J141" s="20">
        <f t="shared" si="43"/>
        <v>128307</v>
      </c>
      <c r="K141" s="112">
        <v>98307</v>
      </c>
      <c r="L141" s="3">
        <f t="shared" si="44"/>
        <v>30000</v>
      </c>
    </row>
    <row r="142" spans="1:12" x14ac:dyDescent="0.25">
      <c r="A142" s="258"/>
      <c r="B142" s="268"/>
      <c r="C142" s="2" t="s">
        <v>30</v>
      </c>
      <c r="D142" s="3">
        <v>0</v>
      </c>
      <c r="E142" s="3">
        <v>0</v>
      </c>
      <c r="F142" s="3"/>
      <c r="G142" s="3"/>
      <c r="H142" s="3"/>
      <c r="I142" s="3"/>
      <c r="J142" s="20">
        <f t="shared" si="43"/>
        <v>0</v>
      </c>
      <c r="K142" s="112">
        <v>0</v>
      </c>
      <c r="L142" s="3">
        <f t="shared" si="44"/>
        <v>0</v>
      </c>
    </row>
    <row r="143" spans="1:12" x14ac:dyDescent="0.25">
      <c r="A143" s="258"/>
      <c r="B143" s="268"/>
      <c r="C143" s="6" t="s">
        <v>53</v>
      </c>
      <c r="D143" s="7">
        <f>SUM(D136:D142)</f>
        <v>5245797</v>
      </c>
      <c r="E143" s="7">
        <f>SUM(E136:E142)</f>
        <v>5255377</v>
      </c>
      <c r="F143" s="7">
        <f t="shared" ref="F143:L143" si="45">SUM(F136:F142)</f>
        <v>0</v>
      </c>
      <c r="G143" s="7">
        <f t="shared" si="45"/>
        <v>319009</v>
      </c>
      <c r="H143" s="7">
        <f t="shared" si="45"/>
        <v>0</v>
      </c>
      <c r="I143" s="7">
        <f t="shared" si="45"/>
        <v>0</v>
      </c>
      <c r="J143" s="7">
        <f t="shared" si="45"/>
        <v>5574386</v>
      </c>
      <c r="K143" s="114">
        <f t="shared" si="45"/>
        <v>3310762</v>
      </c>
      <c r="L143" s="7">
        <f t="shared" si="45"/>
        <v>2263624</v>
      </c>
    </row>
    <row r="144" spans="1:12" x14ac:dyDescent="0.25">
      <c r="A144" s="258"/>
      <c r="B144" s="268"/>
      <c r="C144" s="86" t="s">
        <v>31</v>
      </c>
      <c r="D144" s="87">
        <v>1025121</v>
      </c>
      <c r="E144" s="87">
        <v>1026989</v>
      </c>
      <c r="F144" s="87"/>
      <c r="G144" s="87">
        <v>62207</v>
      </c>
      <c r="H144" s="87"/>
      <c r="I144" s="87"/>
      <c r="J144" s="88">
        <f t="shared" ref="J144:J152" si="46">E144+F144+G144+H144+I144</f>
        <v>1089196</v>
      </c>
      <c r="K144" s="115">
        <v>667534</v>
      </c>
      <c r="L144" s="89">
        <f t="shared" ref="L144:L152" si="47">J144-K144</f>
        <v>421662</v>
      </c>
    </row>
    <row r="145" spans="1:12" x14ac:dyDescent="0.25">
      <c r="A145" s="258"/>
      <c r="B145" s="268"/>
      <c r="C145" s="2" t="s">
        <v>32</v>
      </c>
      <c r="D145" s="3">
        <v>80000</v>
      </c>
      <c r="E145" s="3">
        <v>80000</v>
      </c>
      <c r="F145" s="3"/>
      <c r="G145" s="3"/>
      <c r="H145" s="3"/>
      <c r="I145" s="3"/>
      <c r="J145" s="20">
        <f t="shared" si="46"/>
        <v>80000</v>
      </c>
      <c r="K145" s="112">
        <v>0</v>
      </c>
      <c r="L145" s="3">
        <f t="shared" si="47"/>
        <v>80000</v>
      </c>
    </row>
    <row r="146" spans="1:12" x14ac:dyDescent="0.25">
      <c r="A146" s="258"/>
      <c r="B146" s="268"/>
      <c r="C146" s="2" t="s">
        <v>33</v>
      </c>
      <c r="D146" s="3">
        <v>110000</v>
      </c>
      <c r="E146" s="3">
        <v>110000</v>
      </c>
      <c r="F146" s="3">
        <f>(SUM('2019.08.31.'!F146))-40000</f>
        <v>-60000</v>
      </c>
      <c r="G146" s="3"/>
      <c r="H146" s="3"/>
      <c r="I146" s="3"/>
      <c r="J146" s="20">
        <f t="shared" si="46"/>
        <v>50000</v>
      </c>
      <c r="K146" s="112">
        <v>0</v>
      </c>
      <c r="L146" s="3">
        <f t="shared" si="47"/>
        <v>50000</v>
      </c>
    </row>
    <row r="147" spans="1:12" x14ac:dyDescent="0.25">
      <c r="A147" s="258"/>
      <c r="B147" s="268"/>
      <c r="C147" s="2" t="s">
        <v>34</v>
      </c>
      <c r="D147" s="3">
        <v>150000</v>
      </c>
      <c r="E147" s="3">
        <v>136000</v>
      </c>
      <c r="F147" s="3"/>
      <c r="G147" s="3"/>
      <c r="H147" s="3"/>
      <c r="I147" s="3"/>
      <c r="J147" s="20">
        <f t="shared" si="46"/>
        <v>136000</v>
      </c>
      <c r="K147" s="112">
        <v>0</v>
      </c>
      <c r="L147" s="3">
        <f t="shared" si="47"/>
        <v>136000</v>
      </c>
    </row>
    <row r="148" spans="1:12" x14ac:dyDescent="0.25">
      <c r="A148" s="258"/>
      <c r="B148" s="268"/>
      <c r="C148" s="2" t="s">
        <v>38</v>
      </c>
      <c r="D148" s="3">
        <v>144000</v>
      </c>
      <c r="E148" s="3">
        <v>144000</v>
      </c>
      <c r="F148" s="3">
        <f>SUM('2019.08.31.'!F148)</f>
        <v>-3400</v>
      </c>
      <c r="G148" s="3"/>
      <c r="H148" s="3"/>
      <c r="I148" s="3"/>
      <c r="J148" s="20">
        <f t="shared" si="46"/>
        <v>140600</v>
      </c>
      <c r="K148" s="112">
        <v>0</v>
      </c>
      <c r="L148" s="3">
        <f t="shared" si="47"/>
        <v>140600</v>
      </c>
    </row>
    <row r="149" spans="1:12" x14ac:dyDescent="0.25">
      <c r="A149" s="258"/>
      <c r="B149" s="268"/>
      <c r="C149" s="2" t="s">
        <v>40</v>
      </c>
      <c r="D149" s="3">
        <v>16800</v>
      </c>
      <c r="E149" s="3">
        <v>16800</v>
      </c>
      <c r="F149" s="3">
        <f>SUM('2019.08.31.'!F149)</f>
        <v>3400</v>
      </c>
      <c r="G149" s="3"/>
      <c r="H149" s="3"/>
      <c r="I149" s="3"/>
      <c r="J149" s="20">
        <f t="shared" si="46"/>
        <v>20200</v>
      </c>
      <c r="K149" s="112">
        <v>6800</v>
      </c>
      <c r="L149" s="3">
        <f t="shared" si="47"/>
        <v>13400</v>
      </c>
    </row>
    <row r="150" spans="1:12" x14ac:dyDescent="0.25">
      <c r="A150" s="258"/>
      <c r="B150" s="268"/>
      <c r="C150" s="2" t="s">
        <v>41</v>
      </c>
      <c r="D150" s="3">
        <v>40000</v>
      </c>
      <c r="E150" s="3">
        <v>54000</v>
      </c>
      <c r="F150" s="3">
        <f>(SUM('2019.06.30.'!F150,'2019.08.31.'!F150))+40000</f>
        <v>66280</v>
      </c>
      <c r="G150" s="3"/>
      <c r="H150" s="3"/>
      <c r="I150" s="3"/>
      <c r="J150" s="20">
        <f t="shared" si="46"/>
        <v>120280</v>
      </c>
      <c r="K150" s="112">
        <v>79060</v>
      </c>
      <c r="L150" s="3">
        <f t="shared" si="47"/>
        <v>41220</v>
      </c>
    </row>
    <row r="151" spans="1:12" x14ac:dyDescent="0.25">
      <c r="A151" s="258"/>
      <c r="B151" s="268"/>
      <c r="C151" s="2" t="s">
        <v>42</v>
      </c>
      <c r="D151" s="3">
        <v>150000</v>
      </c>
      <c r="E151" s="3">
        <v>150000</v>
      </c>
      <c r="F151" s="3">
        <f>SUM('2019.06.30.'!F151)</f>
        <v>-6280</v>
      </c>
      <c r="G151" s="3"/>
      <c r="H151" s="3"/>
      <c r="I151" s="3"/>
      <c r="J151" s="20">
        <f t="shared" si="46"/>
        <v>143720</v>
      </c>
      <c r="K151" s="112">
        <v>69520</v>
      </c>
      <c r="L151" s="3">
        <f t="shared" si="47"/>
        <v>74200</v>
      </c>
    </row>
    <row r="152" spans="1:12" x14ac:dyDescent="0.25">
      <c r="A152" s="258"/>
      <c r="B152" s="268"/>
      <c r="C152" s="2" t="s">
        <v>44</v>
      </c>
      <c r="D152" s="3">
        <v>141480</v>
      </c>
      <c r="E152" s="3">
        <v>141480</v>
      </c>
      <c r="F152" s="3"/>
      <c r="G152" s="3"/>
      <c r="H152" s="3"/>
      <c r="I152" s="3"/>
      <c r="J152" s="20">
        <f t="shared" si="46"/>
        <v>141480</v>
      </c>
      <c r="K152" s="112">
        <v>10547</v>
      </c>
      <c r="L152" s="3">
        <f t="shared" si="47"/>
        <v>130933</v>
      </c>
    </row>
    <row r="153" spans="1:12" x14ac:dyDescent="0.25">
      <c r="A153" s="258"/>
      <c r="B153" s="268"/>
      <c r="C153" s="6" t="s">
        <v>49</v>
      </c>
      <c r="D153" s="7">
        <f>SUM(D145:D152)</f>
        <v>832280</v>
      </c>
      <c r="E153" s="7">
        <f>SUM(E145:E152)</f>
        <v>832280</v>
      </c>
      <c r="F153" s="7">
        <f t="shared" ref="F153:L153" si="48">SUM(F145:F152)</f>
        <v>0</v>
      </c>
      <c r="G153" s="7">
        <f t="shared" si="48"/>
        <v>0</v>
      </c>
      <c r="H153" s="7">
        <f t="shared" si="48"/>
        <v>0</v>
      </c>
      <c r="I153" s="7">
        <f t="shared" si="48"/>
        <v>0</v>
      </c>
      <c r="J153" s="7">
        <f t="shared" si="48"/>
        <v>832280</v>
      </c>
      <c r="K153" s="114">
        <f t="shared" si="48"/>
        <v>165927</v>
      </c>
      <c r="L153" s="7">
        <f t="shared" si="48"/>
        <v>666353</v>
      </c>
    </row>
    <row r="154" spans="1:12" x14ac:dyDescent="0.25">
      <c r="A154" s="255" t="s">
        <v>66</v>
      </c>
      <c r="B154" s="252" t="s">
        <v>23</v>
      </c>
      <c r="C154" s="15" t="s">
        <v>24</v>
      </c>
      <c r="D154" s="24">
        <v>832628</v>
      </c>
      <c r="E154" s="24">
        <v>832628</v>
      </c>
      <c r="F154" s="11"/>
      <c r="G154" s="11"/>
      <c r="H154" s="11"/>
      <c r="I154" s="11"/>
      <c r="J154" s="20">
        <f t="shared" ref="J154:J155" si="49">E154+F154+G154+H154+I154</f>
        <v>832628</v>
      </c>
      <c r="K154" s="112">
        <v>543973</v>
      </c>
      <c r="L154" s="3">
        <f t="shared" ref="L154:L155" si="50">J154-K154</f>
        <v>288655</v>
      </c>
    </row>
    <row r="155" spans="1:12" x14ac:dyDescent="0.25">
      <c r="A155" s="257"/>
      <c r="B155" s="254"/>
      <c r="C155" s="15" t="s">
        <v>31</v>
      </c>
      <c r="D155" s="24">
        <v>155410</v>
      </c>
      <c r="E155" s="24">
        <v>155410</v>
      </c>
      <c r="F155" s="11"/>
      <c r="G155" s="11"/>
      <c r="H155" s="11"/>
      <c r="I155" s="11"/>
      <c r="J155" s="20">
        <f t="shared" si="49"/>
        <v>155410</v>
      </c>
      <c r="K155" s="112">
        <v>104684</v>
      </c>
      <c r="L155" s="3">
        <f t="shared" si="50"/>
        <v>50726</v>
      </c>
    </row>
    <row r="156" spans="1:12" x14ac:dyDescent="0.25">
      <c r="A156" s="353" t="s">
        <v>79</v>
      </c>
      <c r="B156" s="354"/>
      <c r="C156" s="355"/>
      <c r="D156" s="126">
        <f>SUM(D143+D144+D153+D154+D155)</f>
        <v>8091236</v>
      </c>
      <c r="E156" s="126">
        <f>SUM(E143,E144,E153,E154:E155)</f>
        <v>8102684</v>
      </c>
      <c r="F156" s="126">
        <f t="shared" ref="F156:L156" si="51">SUM(F143+F144+F153+F154+F155)</f>
        <v>0</v>
      </c>
      <c r="G156" s="126">
        <f t="shared" si="51"/>
        <v>381216</v>
      </c>
      <c r="H156" s="126">
        <f t="shared" si="51"/>
        <v>0</v>
      </c>
      <c r="I156" s="126">
        <f t="shared" si="51"/>
        <v>0</v>
      </c>
      <c r="J156" s="126">
        <f t="shared" si="51"/>
        <v>8483900</v>
      </c>
      <c r="K156" s="128">
        <f t="shared" si="51"/>
        <v>4792880</v>
      </c>
      <c r="L156" s="126">
        <f t="shared" si="51"/>
        <v>3691020</v>
      </c>
    </row>
    <row r="157" spans="1:12" x14ac:dyDescent="0.25">
      <c r="A157" s="258" t="s">
        <v>55</v>
      </c>
      <c r="B157" s="268" t="s">
        <v>23</v>
      </c>
      <c r="C157" s="10" t="s">
        <v>24</v>
      </c>
      <c r="D157" s="24">
        <v>5055869</v>
      </c>
      <c r="E157" s="24">
        <v>5055869</v>
      </c>
      <c r="F157" s="166">
        <v>-50000</v>
      </c>
      <c r="G157" s="166">
        <v>269597</v>
      </c>
      <c r="H157" s="11"/>
      <c r="I157" s="11"/>
      <c r="J157" s="20">
        <f t="shared" ref="J157:J162" si="52">E157+F157+G157+H157+I157</f>
        <v>5275466</v>
      </c>
      <c r="K157" s="112">
        <v>3250996</v>
      </c>
      <c r="L157" s="3">
        <f t="shared" ref="L157:L162" si="53">J157-K157</f>
        <v>2024470</v>
      </c>
    </row>
    <row r="158" spans="1:12" x14ac:dyDescent="0.25">
      <c r="A158" s="258"/>
      <c r="B158" s="268"/>
      <c r="C158" s="10" t="s">
        <v>25</v>
      </c>
      <c r="D158" s="24">
        <v>425000</v>
      </c>
      <c r="E158" s="24">
        <v>425000</v>
      </c>
      <c r="F158" s="166"/>
      <c r="G158" s="11"/>
      <c r="H158" s="11"/>
      <c r="I158" s="11"/>
      <c r="J158" s="20">
        <f t="shared" si="52"/>
        <v>425000</v>
      </c>
      <c r="K158" s="112">
        <v>212500</v>
      </c>
      <c r="L158" s="3">
        <f t="shared" si="53"/>
        <v>212500</v>
      </c>
    </row>
    <row r="159" spans="1:12" x14ac:dyDescent="0.25">
      <c r="A159" s="258"/>
      <c r="B159" s="268"/>
      <c r="C159" s="10" t="s">
        <v>26</v>
      </c>
      <c r="D159" s="24">
        <v>10000</v>
      </c>
      <c r="E159" s="24">
        <v>10000</v>
      </c>
      <c r="F159" s="166"/>
      <c r="G159" s="11"/>
      <c r="H159" s="11"/>
      <c r="I159" s="11"/>
      <c r="J159" s="20">
        <f t="shared" si="52"/>
        <v>10000</v>
      </c>
      <c r="K159" s="112">
        <v>0</v>
      </c>
      <c r="L159" s="3">
        <f t="shared" si="53"/>
        <v>10000</v>
      </c>
    </row>
    <row r="160" spans="1:12" x14ac:dyDescent="0.25">
      <c r="A160" s="258"/>
      <c r="B160" s="268"/>
      <c r="C160" s="10" t="s">
        <v>28</v>
      </c>
      <c r="D160" s="24">
        <v>24000</v>
      </c>
      <c r="E160" s="24">
        <v>24000</v>
      </c>
      <c r="F160" s="166"/>
      <c r="G160" s="11"/>
      <c r="H160" s="11"/>
      <c r="I160" s="11"/>
      <c r="J160" s="20">
        <f t="shared" si="52"/>
        <v>24000</v>
      </c>
      <c r="K160" s="112">
        <v>12000</v>
      </c>
      <c r="L160" s="3">
        <f t="shared" si="53"/>
        <v>12000</v>
      </c>
    </row>
    <row r="161" spans="1:12" x14ac:dyDescent="0.25">
      <c r="A161" s="258"/>
      <c r="B161" s="268"/>
      <c r="C161" s="10" t="s">
        <v>29</v>
      </c>
      <c r="D161" s="24">
        <v>75000</v>
      </c>
      <c r="E161" s="24">
        <v>75000</v>
      </c>
      <c r="F161" s="166">
        <v>50000</v>
      </c>
      <c r="G161" s="11"/>
      <c r="H161" s="11"/>
      <c r="I161" s="11"/>
      <c r="J161" s="20">
        <f t="shared" si="52"/>
        <v>125000</v>
      </c>
      <c r="K161" s="112">
        <v>0</v>
      </c>
      <c r="L161" s="3">
        <f t="shared" si="53"/>
        <v>125000</v>
      </c>
    </row>
    <row r="162" spans="1:12" x14ac:dyDescent="0.25">
      <c r="A162" s="258"/>
      <c r="B162" s="268"/>
      <c r="C162" s="10" t="s">
        <v>30</v>
      </c>
      <c r="D162" s="24">
        <v>0</v>
      </c>
      <c r="E162" s="24">
        <v>0</v>
      </c>
      <c r="F162" s="11"/>
      <c r="G162" s="11"/>
      <c r="H162" s="11"/>
      <c r="I162" s="11"/>
      <c r="J162" s="20">
        <f t="shared" si="52"/>
        <v>0</v>
      </c>
      <c r="K162" s="112">
        <v>0</v>
      </c>
      <c r="L162" s="3">
        <f t="shared" si="53"/>
        <v>0</v>
      </c>
    </row>
    <row r="163" spans="1:12" x14ac:dyDescent="0.25">
      <c r="A163" s="258"/>
      <c r="B163" s="268"/>
      <c r="C163" s="6" t="s">
        <v>53</v>
      </c>
      <c r="D163" s="7">
        <f>SUM(D157:D162)</f>
        <v>5589869</v>
      </c>
      <c r="E163" s="7">
        <f>SUM(E157:E162)</f>
        <v>5589869</v>
      </c>
      <c r="F163" s="7">
        <f t="shared" ref="F163:L163" si="54">SUM(F157:F162)</f>
        <v>0</v>
      </c>
      <c r="G163" s="7">
        <f t="shared" si="54"/>
        <v>269597</v>
      </c>
      <c r="H163" s="7">
        <f t="shared" si="54"/>
        <v>0</v>
      </c>
      <c r="I163" s="7">
        <f t="shared" si="54"/>
        <v>0</v>
      </c>
      <c r="J163" s="7">
        <f t="shared" si="54"/>
        <v>5859466</v>
      </c>
      <c r="K163" s="114">
        <f t="shared" si="54"/>
        <v>3475496</v>
      </c>
      <c r="L163" s="7">
        <f t="shared" si="54"/>
        <v>2383970</v>
      </c>
    </row>
    <row r="164" spans="1:12" x14ac:dyDescent="0.25">
      <c r="A164" s="258"/>
      <c r="B164" s="268"/>
      <c r="C164" s="86" t="s">
        <v>31</v>
      </c>
      <c r="D164" s="87">
        <v>1124913</v>
      </c>
      <c r="E164" s="87">
        <v>1124913</v>
      </c>
      <c r="F164" s="87"/>
      <c r="G164" s="87">
        <v>52571</v>
      </c>
      <c r="H164" s="87"/>
      <c r="I164" s="87"/>
      <c r="J164" s="88">
        <f t="shared" ref="J164:J173" si="55">E164+F164+G164+H164+I164</f>
        <v>1177484</v>
      </c>
      <c r="K164" s="115">
        <v>724385</v>
      </c>
      <c r="L164" s="89">
        <f t="shared" ref="L164:L173" si="56">J164-K164</f>
        <v>453099</v>
      </c>
    </row>
    <row r="165" spans="1:12" x14ac:dyDescent="0.25">
      <c r="A165" s="258"/>
      <c r="B165" s="268"/>
      <c r="C165" s="10" t="s">
        <v>32</v>
      </c>
      <c r="D165" s="24">
        <v>100000</v>
      </c>
      <c r="E165" s="24">
        <v>100000</v>
      </c>
      <c r="F165" s="166">
        <v>-50000</v>
      </c>
      <c r="G165" s="11"/>
      <c r="H165" s="11"/>
      <c r="I165" s="11"/>
      <c r="J165" s="20">
        <f t="shared" si="55"/>
        <v>50000</v>
      </c>
      <c r="K165" s="112">
        <v>0</v>
      </c>
      <c r="L165" s="3">
        <f t="shared" si="56"/>
        <v>50000</v>
      </c>
    </row>
    <row r="166" spans="1:12" x14ac:dyDescent="0.25">
      <c r="A166" s="258"/>
      <c r="B166" s="268"/>
      <c r="C166" s="10" t="s">
        <v>33</v>
      </c>
      <c r="D166" s="24">
        <v>100000</v>
      </c>
      <c r="E166" s="24">
        <v>100000</v>
      </c>
      <c r="F166" s="11"/>
      <c r="G166" s="11"/>
      <c r="H166" s="11"/>
      <c r="I166" s="11"/>
      <c r="J166" s="20">
        <f t="shared" si="55"/>
        <v>100000</v>
      </c>
      <c r="K166" s="112">
        <v>4536</v>
      </c>
      <c r="L166" s="3">
        <f t="shared" si="56"/>
        <v>95464</v>
      </c>
    </row>
    <row r="167" spans="1:12" x14ac:dyDescent="0.25">
      <c r="A167" s="258"/>
      <c r="B167" s="268"/>
      <c r="C167" s="10" t="s">
        <v>34</v>
      </c>
      <c r="D167" s="24">
        <v>100000</v>
      </c>
      <c r="E167" s="24">
        <v>100000</v>
      </c>
      <c r="F167" s="11"/>
      <c r="G167" s="11"/>
      <c r="H167" s="11"/>
      <c r="I167" s="11"/>
      <c r="J167" s="20">
        <f t="shared" si="55"/>
        <v>100000</v>
      </c>
      <c r="K167" s="112">
        <v>0</v>
      </c>
      <c r="L167" s="3">
        <f t="shared" si="56"/>
        <v>100000</v>
      </c>
    </row>
    <row r="168" spans="1:12" x14ac:dyDescent="0.25">
      <c r="A168" s="258"/>
      <c r="B168" s="268"/>
      <c r="C168" s="10" t="s">
        <v>35</v>
      </c>
      <c r="D168" s="24">
        <v>50000</v>
      </c>
      <c r="E168" s="24">
        <v>50000</v>
      </c>
      <c r="F168" s="11"/>
      <c r="G168" s="11"/>
      <c r="H168" s="11"/>
      <c r="I168" s="11"/>
      <c r="J168" s="20">
        <f t="shared" si="55"/>
        <v>50000</v>
      </c>
      <c r="K168" s="112">
        <v>0</v>
      </c>
      <c r="L168" s="3">
        <f t="shared" si="56"/>
        <v>50000</v>
      </c>
    </row>
    <row r="169" spans="1:12" x14ac:dyDescent="0.25">
      <c r="A169" s="258"/>
      <c r="B169" s="268"/>
      <c r="C169" s="10" t="s">
        <v>38</v>
      </c>
      <c r="D169" s="24">
        <v>140000</v>
      </c>
      <c r="E169" s="24">
        <v>140000</v>
      </c>
      <c r="F169" s="139">
        <f>SUM('2019.08.31.'!F169)</f>
        <v>-3400</v>
      </c>
      <c r="G169" s="11"/>
      <c r="H169" s="11"/>
      <c r="I169" s="11"/>
      <c r="J169" s="20">
        <f t="shared" si="55"/>
        <v>136600</v>
      </c>
      <c r="K169" s="112">
        <v>30190</v>
      </c>
      <c r="L169" s="3">
        <f t="shared" si="56"/>
        <v>106410</v>
      </c>
    </row>
    <row r="170" spans="1:12" x14ac:dyDescent="0.25">
      <c r="A170" s="258"/>
      <c r="B170" s="268"/>
      <c r="C170" s="10" t="s">
        <v>40</v>
      </c>
      <c r="D170" s="24">
        <v>15000</v>
      </c>
      <c r="E170" s="24">
        <v>15000</v>
      </c>
      <c r="F170" s="139">
        <f>SUM('2019.08.31.'!F170)</f>
        <v>3400</v>
      </c>
      <c r="G170" s="11"/>
      <c r="H170" s="11"/>
      <c r="I170" s="11"/>
      <c r="J170" s="20">
        <f t="shared" si="55"/>
        <v>18400</v>
      </c>
      <c r="K170" s="112">
        <v>6350</v>
      </c>
      <c r="L170" s="3">
        <f t="shared" si="56"/>
        <v>12050</v>
      </c>
    </row>
    <row r="171" spans="1:12" x14ac:dyDescent="0.25">
      <c r="A171" s="258"/>
      <c r="B171" s="268"/>
      <c r="C171" s="10" t="s">
        <v>41</v>
      </c>
      <c r="D171" s="24">
        <v>80000</v>
      </c>
      <c r="E171" s="24">
        <v>80000</v>
      </c>
      <c r="F171" s="139">
        <f>(SUM('2019.07.31.'!F171))+50000</f>
        <v>64188</v>
      </c>
      <c r="G171" s="11"/>
      <c r="H171" s="11"/>
      <c r="I171" s="11"/>
      <c r="J171" s="20">
        <f t="shared" si="55"/>
        <v>144188</v>
      </c>
      <c r="K171" s="112">
        <v>92968</v>
      </c>
      <c r="L171" s="3">
        <f t="shared" si="56"/>
        <v>51220</v>
      </c>
    </row>
    <row r="172" spans="1:12" x14ac:dyDescent="0.25">
      <c r="A172" s="258"/>
      <c r="B172" s="268"/>
      <c r="C172" s="10" t="s">
        <v>42</v>
      </c>
      <c r="D172" s="24">
        <v>240000</v>
      </c>
      <c r="E172" s="24">
        <v>240000</v>
      </c>
      <c r="F172" s="139"/>
      <c r="G172" s="11"/>
      <c r="H172" s="11"/>
      <c r="I172" s="11"/>
      <c r="J172" s="20">
        <f t="shared" si="55"/>
        <v>240000</v>
      </c>
      <c r="K172" s="112">
        <v>190640</v>
      </c>
      <c r="L172" s="3">
        <f t="shared" si="56"/>
        <v>49360</v>
      </c>
    </row>
    <row r="173" spans="1:12" x14ac:dyDescent="0.25">
      <c r="A173" s="258"/>
      <c r="B173" s="268"/>
      <c r="C173" s="10" t="s">
        <v>44</v>
      </c>
      <c r="D173" s="24">
        <v>142900</v>
      </c>
      <c r="E173" s="24">
        <v>142900</v>
      </c>
      <c r="F173" s="139">
        <f>SUM('2019.07.31.'!F173)</f>
        <v>-14188</v>
      </c>
      <c r="G173" s="11"/>
      <c r="H173" s="11"/>
      <c r="I173" s="11"/>
      <c r="J173" s="20">
        <f t="shared" si="55"/>
        <v>128712</v>
      </c>
      <c r="K173" s="112">
        <v>21788</v>
      </c>
      <c r="L173" s="3">
        <f t="shared" si="56"/>
        <v>106924</v>
      </c>
    </row>
    <row r="174" spans="1:12" x14ac:dyDescent="0.25">
      <c r="A174" s="258"/>
      <c r="B174" s="268"/>
      <c r="C174" s="6" t="s">
        <v>49</v>
      </c>
      <c r="D174" s="7">
        <f>SUM(D165:D173)</f>
        <v>967900</v>
      </c>
      <c r="E174" s="7">
        <f>SUM(E165:E173)</f>
        <v>967900</v>
      </c>
      <c r="F174" s="7">
        <f t="shared" ref="F174:L174" si="57">SUM(F165:F173)</f>
        <v>0</v>
      </c>
      <c r="G174" s="7">
        <f t="shared" si="57"/>
        <v>0</v>
      </c>
      <c r="H174" s="7">
        <f t="shared" si="57"/>
        <v>0</v>
      </c>
      <c r="I174" s="7">
        <f t="shared" si="57"/>
        <v>0</v>
      </c>
      <c r="J174" s="7">
        <f t="shared" si="57"/>
        <v>967900</v>
      </c>
      <c r="K174" s="114">
        <f t="shared" si="57"/>
        <v>346472</v>
      </c>
      <c r="L174" s="7">
        <f t="shared" si="57"/>
        <v>621428</v>
      </c>
    </row>
    <row r="175" spans="1:12" x14ac:dyDescent="0.25">
      <c r="A175" s="255" t="s">
        <v>67</v>
      </c>
      <c r="B175" s="252" t="s">
        <v>23</v>
      </c>
      <c r="C175" s="25" t="s">
        <v>29</v>
      </c>
      <c r="D175" s="24">
        <v>157200</v>
      </c>
      <c r="E175" s="24">
        <v>157200</v>
      </c>
      <c r="F175" s="11"/>
      <c r="G175" s="11"/>
      <c r="H175" s="11"/>
      <c r="I175" s="11"/>
      <c r="J175" s="20">
        <f t="shared" ref="J175:J191" si="58">E175+F175+G175+H175+I175</f>
        <v>157200</v>
      </c>
      <c r="K175" s="112">
        <v>50200</v>
      </c>
      <c r="L175" s="3">
        <f t="shared" ref="L175:L191" si="59">J175-K175</f>
        <v>107000</v>
      </c>
    </row>
    <row r="176" spans="1:12" x14ac:dyDescent="0.25">
      <c r="A176" s="257"/>
      <c r="B176" s="254"/>
      <c r="C176" s="25" t="s">
        <v>31</v>
      </c>
      <c r="D176" s="24">
        <v>29213</v>
      </c>
      <c r="E176" s="24">
        <v>29213</v>
      </c>
      <c r="F176" s="11"/>
      <c r="G176" s="11"/>
      <c r="H176" s="11"/>
      <c r="I176" s="11"/>
      <c r="J176" s="20">
        <f t="shared" si="58"/>
        <v>29213</v>
      </c>
      <c r="K176" s="112">
        <v>9685</v>
      </c>
      <c r="L176" s="3">
        <f t="shared" si="59"/>
        <v>19528</v>
      </c>
    </row>
    <row r="177" spans="1:12" x14ac:dyDescent="0.25">
      <c r="A177" s="255" t="s">
        <v>75</v>
      </c>
      <c r="B177" s="252" t="s">
        <v>23</v>
      </c>
      <c r="C177" s="15" t="s">
        <v>24</v>
      </c>
      <c r="D177" s="24">
        <v>1604509</v>
      </c>
      <c r="E177" s="24">
        <v>1604509</v>
      </c>
      <c r="F177" s="11"/>
      <c r="G177" s="11"/>
      <c r="H177" s="11"/>
      <c r="I177" s="11"/>
      <c r="J177" s="20">
        <f t="shared" si="58"/>
        <v>1604509</v>
      </c>
      <c r="K177" s="112">
        <v>1094647</v>
      </c>
      <c r="L177" s="3">
        <f t="shared" si="59"/>
        <v>509862</v>
      </c>
    </row>
    <row r="178" spans="1:12" x14ac:dyDescent="0.25">
      <c r="A178" s="257"/>
      <c r="B178" s="254"/>
      <c r="C178" s="15" t="s">
        <v>31</v>
      </c>
      <c r="D178" s="24">
        <v>299119</v>
      </c>
      <c r="E178" s="24">
        <v>299119</v>
      </c>
      <c r="F178" s="11"/>
      <c r="G178" s="11"/>
      <c r="H178" s="11"/>
      <c r="I178" s="11"/>
      <c r="J178" s="20">
        <f t="shared" si="58"/>
        <v>299119</v>
      </c>
      <c r="K178" s="112">
        <v>210705</v>
      </c>
      <c r="L178" s="3">
        <f t="shared" si="59"/>
        <v>88414</v>
      </c>
    </row>
    <row r="179" spans="1:12" x14ac:dyDescent="0.25">
      <c r="A179" s="356" t="s">
        <v>80</v>
      </c>
      <c r="B179" s="356"/>
      <c r="C179" s="356"/>
      <c r="D179" s="127">
        <f>SUM(D163+D164+D174+D175+D176+D177+D178)</f>
        <v>9772723</v>
      </c>
      <c r="E179" s="127">
        <f>SUM(E163,E164,E174,E175:E178)</f>
        <v>9772723</v>
      </c>
      <c r="F179" s="127">
        <f t="shared" ref="F179:L179" si="60">SUM(F163+F164+F174+F175+F176+F177+F178)</f>
        <v>0</v>
      </c>
      <c r="G179" s="127">
        <f t="shared" si="60"/>
        <v>322168</v>
      </c>
      <c r="H179" s="127">
        <f t="shared" si="60"/>
        <v>0</v>
      </c>
      <c r="I179" s="127">
        <f t="shared" si="60"/>
        <v>0</v>
      </c>
      <c r="J179" s="127">
        <f t="shared" si="60"/>
        <v>10094891</v>
      </c>
      <c r="K179" s="128">
        <f t="shared" si="60"/>
        <v>5911590</v>
      </c>
      <c r="L179" s="127">
        <f t="shared" si="60"/>
        <v>4183301</v>
      </c>
    </row>
    <row r="180" spans="1:12" x14ac:dyDescent="0.25">
      <c r="A180" s="258" t="s">
        <v>15</v>
      </c>
      <c r="B180" s="252" t="s">
        <v>23</v>
      </c>
      <c r="C180" s="43" t="s">
        <v>24</v>
      </c>
      <c r="D180" s="44">
        <v>11144060</v>
      </c>
      <c r="E180" s="44">
        <v>11144060</v>
      </c>
      <c r="F180" s="44"/>
      <c r="G180" s="44"/>
      <c r="H180" s="44"/>
      <c r="I180" s="44"/>
      <c r="J180" s="20">
        <f t="shared" si="58"/>
        <v>11144060</v>
      </c>
      <c r="K180" s="56">
        <v>8187749</v>
      </c>
      <c r="L180" s="3">
        <f t="shared" si="59"/>
        <v>2956311</v>
      </c>
    </row>
    <row r="181" spans="1:12" x14ac:dyDescent="0.25">
      <c r="A181" s="258"/>
      <c r="B181" s="253"/>
      <c r="C181" s="43" t="s">
        <v>30</v>
      </c>
      <c r="D181" s="44">
        <v>0</v>
      </c>
      <c r="E181" s="44">
        <v>10500000</v>
      </c>
      <c r="F181" s="44">
        <f>SUM('2019.07.31.'!F181)</f>
        <v>-10500000</v>
      </c>
      <c r="G181" s="44"/>
      <c r="H181" s="44"/>
      <c r="I181" s="44"/>
      <c r="J181" s="20">
        <f t="shared" si="58"/>
        <v>0</v>
      </c>
      <c r="K181" s="56">
        <v>0</v>
      </c>
      <c r="L181" s="3">
        <f t="shared" si="59"/>
        <v>0</v>
      </c>
    </row>
    <row r="182" spans="1:12" x14ac:dyDescent="0.25">
      <c r="A182" s="258"/>
      <c r="B182" s="253"/>
      <c r="C182" s="6" t="s">
        <v>53</v>
      </c>
      <c r="D182" s="7">
        <f>D180+D181</f>
        <v>11144060</v>
      </c>
      <c r="E182" s="7">
        <f>SUM(E180:E181)</f>
        <v>21644060</v>
      </c>
      <c r="F182" s="7">
        <f t="shared" ref="F182:L182" si="61">F180+F181</f>
        <v>-10500000</v>
      </c>
      <c r="G182" s="7">
        <f t="shared" si="61"/>
        <v>0</v>
      </c>
      <c r="H182" s="7">
        <f t="shared" si="61"/>
        <v>0</v>
      </c>
      <c r="I182" s="7">
        <f t="shared" si="61"/>
        <v>0</v>
      </c>
      <c r="J182" s="8">
        <f t="shared" si="58"/>
        <v>11144060</v>
      </c>
      <c r="K182" s="117">
        <f t="shared" si="61"/>
        <v>8187749</v>
      </c>
      <c r="L182" s="7">
        <f t="shared" si="61"/>
        <v>2956311</v>
      </c>
    </row>
    <row r="183" spans="1:12" x14ac:dyDescent="0.25">
      <c r="A183" s="258"/>
      <c r="B183" s="253"/>
      <c r="C183" s="86" t="s">
        <v>31</v>
      </c>
      <c r="D183" s="87">
        <v>2295657</v>
      </c>
      <c r="E183" s="87">
        <v>2295657</v>
      </c>
      <c r="F183" s="87">
        <f>SUM('2019.07.31.'!F183)</f>
        <v>4274550</v>
      </c>
      <c r="G183" s="87"/>
      <c r="H183" s="87"/>
      <c r="I183" s="87"/>
      <c r="J183" s="89">
        <f t="shared" si="58"/>
        <v>6570207</v>
      </c>
      <c r="K183" s="115">
        <v>4345532</v>
      </c>
      <c r="L183" s="89">
        <f t="shared" si="59"/>
        <v>2224675</v>
      </c>
    </row>
    <row r="184" spans="1:12" x14ac:dyDescent="0.25">
      <c r="A184" s="258"/>
      <c r="B184" s="253"/>
      <c r="C184" s="10" t="s">
        <v>33</v>
      </c>
      <c r="D184" s="3">
        <v>90000</v>
      </c>
      <c r="E184" s="3">
        <v>90000</v>
      </c>
      <c r="F184" s="3">
        <f>SUM('2019.07.31.'!F184)</f>
        <v>142959</v>
      </c>
      <c r="G184" s="3"/>
      <c r="H184" s="3"/>
      <c r="I184" s="3"/>
      <c r="J184" s="3">
        <f t="shared" si="58"/>
        <v>232959</v>
      </c>
      <c r="K184" s="112">
        <v>232959</v>
      </c>
      <c r="L184" s="3">
        <f t="shared" si="59"/>
        <v>0</v>
      </c>
    </row>
    <row r="185" spans="1:12" x14ac:dyDescent="0.25">
      <c r="A185" s="258"/>
      <c r="B185" s="253"/>
      <c r="C185" s="10" t="s">
        <v>37</v>
      </c>
      <c r="D185" s="3">
        <v>230000</v>
      </c>
      <c r="E185" s="3">
        <v>230000</v>
      </c>
      <c r="F185" s="3"/>
      <c r="G185" s="3"/>
      <c r="H185" s="3"/>
      <c r="I185" s="3"/>
      <c r="J185" s="3">
        <f t="shared" si="58"/>
        <v>230000</v>
      </c>
      <c r="K185" s="112">
        <v>0</v>
      </c>
      <c r="L185" s="3">
        <f t="shared" si="59"/>
        <v>230000</v>
      </c>
    </row>
    <row r="186" spans="1:12" x14ac:dyDescent="0.25">
      <c r="A186" s="258"/>
      <c r="B186" s="253"/>
      <c r="C186" s="10" t="s">
        <v>40</v>
      </c>
      <c r="D186" s="3">
        <v>14850000</v>
      </c>
      <c r="E186" s="3">
        <v>14850000</v>
      </c>
      <c r="F186" s="3"/>
      <c r="G186" s="3"/>
      <c r="H186" s="3"/>
      <c r="I186" s="3"/>
      <c r="J186" s="3">
        <f t="shared" si="58"/>
        <v>14850000</v>
      </c>
      <c r="K186" s="112">
        <v>0</v>
      </c>
      <c r="L186" s="3">
        <f t="shared" si="59"/>
        <v>14850000</v>
      </c>
    </row>
    <row r="187" spans="1:12" x14ac:dyDescent="0.25">
      <c r="A187" s="258"/>
      <c r="B187" s="253"/>
      <c r="C187" s="10" t="s">
        <v>41</v>
      </c>
      <c r="D187" s="3">
        <v>25112271</v>
      </c>
      <c r="E187" s="3">
        <v>6344554</v>
      </c>
      <c r="F187" s="3">
        <f>SUM('2019.07.31.'!F187)</f>
        <v>6082491</v>
      </c>
      <c r="G187" s="3"/>
      <c r="H187" s="3"/>
      <c r="I187" s="3"/>
      <c r="J187" s="3">
        <f t="shared" si="58"/>
        <v>12427045</v>
      </c>
      <c r="K187" s="112">
        <v>5250010</v>
      </c>
      <c r="L187" s="3">
        <f t="shared" si="59"/>
        <v>7177035</v>
      </c>
    </row>
    <row r="188" spans="1:12" x14ac:dyDescent="0.25">
      <c r="A188" s="258"/>
      <c r="B188" s="253"/>
      <c r="C188" s="10" t="s">
        <v>42</v>
      </c>
      <c r="D188" s="3">
        <v>230000</v>
      </c>
      <c r="E188" s="3">
        <v>230000</v>
      </c>
      <c r="F188" s="3"/>
      <c r="G188" s="3"/>
      <c r="H188" s="3"/>
      <c r="I188" s="3"/>
      <c r="J188" s="3">
        <f t="shared" si="58"/>
        <v>230000</v>
      </c>
      <c r="K188" s="112">
        <v>38298</v>
      </c>
      <c r="L188" s="3">
        <f t="shared" si="59"/>
        <v>191702</v>
      </c>
    </row>
    <row r="189" spans="1:12" x14ac:dyDescent="0.25">
      <c r="A189" s="258"/>
      <c r="B189" s="253"/>
      <c r="C189" s="10" t="s">
        <v>43</v>
      </c>
      <c r="D189" s="3">
        <v>230000</v>
      </c>
      <c r="E189" s="3">
        <v>230000</v>
      </c>
      <c r="F189" s="3"/>
      <c r="G189" s="3"/>
      <c r="H189" s="3"/>
      <c r="I189" s="3"/>
      <c r="J189" s="3">
        <f t="shared" si="58"/>
        <v>230000</v>
      </c>
      <c r="K189" s="112">
        <v>0</v>
      </c>
      <c r="L189" s="3">
        <f t="shared" si="59"/>
        <v>230000</v>
      </c>
    </row>
    <row r="190" spans="1:12" x14ac:dyDescent="0.25">
      <c r="A190" s="258"/>
      <c r="B190" s="253"/>
      <c r="C190" s="10" t="s">
        <v>44</v>
      </c>
      <c r="D190" s="3">
        <v>5677830</v>
      </c>
      <c r="E190" s="3">
        <v>3445547</v>
      </c>
      <c r="F190" s="3"/>
      <c r="G190" s="3"/>
      <c r="H190" s="3"/>
      <c r="I190" s="3"/>
      <c r="J190" s="3">
        <f t="shared" si="58"/>
        <v>3445547</v>
      </c>
      <c r="K190" s="112">
        <v>1480399</v>
      </c>
      <c r="L190" s="3">
        <f t="shared" si="59"/>
        <v>1965148</v>
      </c>
    </row>
    <row r="191" spans="1:12" x14ac:dyDescent="0.25">
      <c r="A191" s="258"/>
      <c r="B191" s="253"/>
      <c r="C191" s="10" t="s">
        <v>45</v>
      </c>
      <c r="D191" s="3">
        <v>229990</v>
      </c>
      <c r="E191" s="3">
        <v>229990</v>
      </c>
      <c r="F191" s="3"/>
      <c r="G191" s="3"/>
      <c r="H191" s="3"/>
      <c r="I191" s="3"/>
      <c r="J191" s="3">
        <f t="shared" si="58"/>
        <v>229990</v>
      </c>
      <c r="K191" s="112">
        <v>0</v>
      </c>
      <c r="L191" s="3">
        <f t="shared" si="59"/>
        <v>229990</v>
      </c>
    </row>
    <row r="192" spans="1:12" x14ac:dyDescent="0.25">
      <c r="A192" s="258"/>
      <c r="B192" s="253"/>
      <c r="C192" s="6" t="s">
        <v>49</v>
      </c>
      <c r="D192" s="7">
        <f>SUM(D184:D191)</f>
        <v>46650091</v>
      </c>
      <c r="E192" s="7">
        <f>SUM(E184:E191)</f>
        <v>25650091</v>
      </c>
      <c r="F192" s="7">
        <f t="shared" ref="F192:L192" si="62">SUM(F184:F191)</f>
        <v>6225450</v>
      </c>
      <c r="G192" s="7">
        <f t="shared" si="62"/>
        <v>0</v>
      </c>
      <c r="H192" s="7">
        <f t="shared" si="62"/>
        <v>0</v>
      </c>
      <c r="I192" s="7">
        <f t="shared" si="62"/>
        <v>0</v>
      </c>
      <c r="J192" s="7">
        <f t="shared" si="62"/>
        <v>31875541</v>
      </c>
      <c r="K192" s="114">
        <f t="shared" si="62"/>
        <v>7001666</v>
      </c>
      <c r="L192" s="7">
        <f t="shared" si="62"/>
        <v>24873875</v>
      </c>
    </row>
    <row r="193" spans="1:12" x14ac:dyDescent="0.25">
      <c r="A193" s="258"/>
      <c r="B193" s="253"/>
      <c r="C193" s="10" t="s">
        <v>56</v>
      </c>
      <c r="D193" s="3">
        <v>0</v>
      </c>
      <c r="E193" s="3">
        <v>0</v>
      </c>
      <c r="F193" s="3"/>
      <c r="G193" s="3"/>
      <c r="H193" s="3"/>
      <c r="I193" s="3"/>
      <c r="J193" s="3">
        <f t="shared" ref="J193:J195" si="63">E193+F193+G193+H193+I193</f>
        <v>0</v>
      </c>
      <c r="K193" s="112">
        <v>0</v>
      </c>
      <c r="L193" s="3">
        <f t="shared" ref="L193:L195" si="64">J193-K193</f>
        <v>0</v>
      </c>
    </row>
    <row r="194" spans="1:12" x14ac:dyDescent="0.25">
      <c r="A194" s="258"/>
      <c r="B194" s="253"/>
      <c r="C194" s="10" t="s">
        <v>50</v>
      </c>
      <c r="D194" s="3">
        <v>3740</v>
      </c>
      <c r="E194" s="3">
        <v>3740</v>
      </c>
      <c r="F194" s="3"/>
      <c r="G194" s="3"/>
      <c r="H194" s="3"/>
      <c r="I194" s="3"/>
      <c r="J194" s="3">
        <f t="shared" si="63"/>
        <v>3740</v>
      </c>
      <c r="K194" s="112">
        <v>0</v>
      </c>
      <c r="L194" s="3">
        <f t="shared" si="64"/>
        <v>3740</v>
      </c>
    </row>
    <row r="195" spans="1:12" x14ac:dyDescent="0.25">
      <c r="A195" s="258"/>
      <c r="B195" s="253"/>
      <c r="C195" s="10" t="s">
        <v>51</v>
      </c>
      <c r="D195" s="3">
        <v>1010</v>
      </c>
      <c r="E195" s="3">
        <v>1010</v>
      </c>
      <c r="F195" s="3"/>
      <c r="G195" s="3"/>
      <c r="H195" s="3"/>
      <c r="I195" s="3"/>
      <c r="J195" s="3">
        <f t="shared" si="63"/>
        <v>1010</v>
      </c>
      <c r="K195" s="112">
        <v>0</v>
      </c>
      <c r="L195" s="3">
        <f t="shared" si="64"/>
        <v>1010</v>
      </c>
    </row>
    <row r="196" spans="1:12" x14ac:dyDescent="0.25">
      <c r="A196" s="258"/>
      <c r="B196" s="253"/>
      <c r="C196" s="6" t="s">
        <v>52</v>
      </c>
      <c r="D196" s="7">
        <f>SUM(D193:D195)</f>
        <v>4750</v>
      </c>
      <c r="E196" s="7">
        <v>4750</v>
      </c>
      <c r="F196" s="7">
        <f t="shared" ref="F196:L196" si="65">SUM(F193:F195)</f>
        <v>0</v>
      </c>
      <c r="G196" s="7">
        <f t="shared" si="65"/>
        <v>0</v>
      </c>
      <c r="H196" s="7">
        <f t="shared" si="65"/>
        <v>0</v>
      </c>
      <c r="I196" s="7">
        <f t="shared" si="65"/>
        <v>0</v>
      </c>
      <c r="J196" s="7">
        <f t="shared" si="65"/>
        <v>4750</v>
      </c>
      <c r="K196" s="114">
        <f t="shared" si="65"/>
        <v>0</v>
      </c>
      <c r="L196" s="7">
        <f t="shared" si="65"/>
        <v>4750</v>
      </c>
    </row>
    <row r="197" spans="1:12" x14ac:dyDescent="0.25">
      <c r="A197" s="258"/>
      <c r="B197" s="254"/>
      <c r="C197" s="10" t="s">
        <v>57</v>
      </c>
      <c r="D197" s="3">
        <v>0</v>
      </c>
      <c r="E197" s="3">
        <v>10500000</v>
      </c>
      <c r="F197" s="3"/>
      <c r="G197" s="3"/>
      <c r="H197" s="3"/>
      <c r="I197" s="3"/>
      <c r="J197" s="3">
        <f t="shared" ref="J197" si="66">E197+F197+G197+H197+I197</f>
        <v>10500000</v>
      </c>
      <c r="K197" s="112">
        <v>10500000</v>
      </c>
      <c r="L197" s="3">
        <f t="shared" ref="L197" si="67">J197-K197</f>
        <v>0</v>
      </c>
    </row>
    <row r="198" spans="1:12" x14ac:dyDescent="0.25">
      <c r="A198" s="353" t="s">
        <v>81</v>
      </c>
      <c r="B198" s="354"/>
      <c r="C198" s="355"/>
      <c r="D198" s="126">
        <f>SUM(D182+D183+D192+D196+D197)</f>
        <v>60094558</v>
      </c>
      <c r="E198" s="126">
        <f>SUM(E182,E183,E192,E196,E197)</f>
        <v>60094558</v>
      </c>
      <c r="F198" s="126">
        <f t="shared" ref="F198:L198" si="68">SUM(F182+F183+F192+F196+F197)</f>
        <v>0</v>
      </c>
      <c r="G198" s="126">
        <f t="shared" si="68"/>
        <v>0</v>
      </c>
      <c r="H198" s="126">
        <f t="shared" si="68"/>
        <v>0</v>
      </c>
      <c r="I198" s="126">
        <f t="shared" si="68"/>
        <v>0</v>
      </c>
      <c r="J198" s="126">
        <f t="shared" si="68"/>
        <v>60094558</v>
      </c>
      <c r="K198" s="128">
        <f t="shared" si="68"/>
        <v>30034947</v>
      </c>
      <c r="L198" s="126">
        <f t="shared" si="68"/>
        <v>30059611</v>
      </c>
    </row>
    <row r="199" spans="1:12" x14ac:dyDescent="0.25">
      <c r="A199" s="256" t="s">
        <v>85</v>
      </c>
      <c r="B199" s="252" t="s">
        <v>46</v>
      </c>
      <c r="C199" s="12" t="s">
        <v>24</v>
      </c>
      <c r="D199" s="3">
        <v>9880165</v>
      </c>
      <c r="E199" s="3">
        <v>9662762</v>
      </c>
      <c r="F199" s="3">
        <v>-100000</v>
      </c>
      <c r="G199" s="3"/>
      <c r="H199" s="3"/>
      <c r="I199" s="3"/>
      <c r="J199" s="20">
        <f t="shared" ref="J199:J204" si="69">E199+F199+G199+H199+I199</f>
        <v>9562762</v>
      </c>
      <c r="K199" s="112">
        <v>5940880</v>
      </c>
      <c r="L199" s="3">
        <f t="shared" ref="L199:L204" si="70">J199-K199</f>
        <v>3621882</v>
      </c>
    </row>
    <row r="200" spans="1:12" x14ac:dyDescent="0.25">
      <c r="A200" s="256"/>
      <c r="B200" s="253"/>
      <c r="C200" s="12" t="s">
        <v>25</v>
      </c>
      <c r="D200" s="3">
        <v>400000</v>
      </c>
      <c r="E200" s="3">
        <v>400000</v>
      </c>
      <c r="F200" s="3"/>
      <c r="G200" s="3"/>
      <c r="H200" s="3"/>
      <c r="I200" s="3"/>
      <c r="J200" s="20">
        <f t="shared" si="69"/>
        <v>400000</v>
      </c>
      <c r="K200" s="112">
        <v>200000</v>
      </c>
      <c r="L200" s="3">
        <f t="shared" si="70"/>
        <v>200000</v>
      </c>
    </row>
    <row r="201" spans="1:12" x14ac:dyDescent="0.25">
      <c r="A201" s="256"/>
      <c r="B201" s="253"/>
      <c r="C201" s="12" t="s">
        <v>26</v>
      </c>
      <c r="D201" s="3">
        <v>20000</v>
      </c>
      <c r="E201" s="3">
        <v>20000</v>
      </c>
      <c r="F201" s="3"/>
      <c r="G201" s="3"/>
      <c r="H201" s="3"/>
      <c r="I201" s="3"/>
      <c r="J201" s="20">
        <f t="shared" si="69"/>
        <v>20000</v>
      </c>
      <c r="K201" s="112">
        <v>0</v>
      </c>
      <c r="L201" s="3">
        <f t="shared" si="70"/>
        <v>20000</v>
      </c>
    </row>
    <row r="202" spans="1:12" x14ac:dyDescent="0.25">
      <c r="A202" s="256"/>
      <c r="B202" s="253"/>
      <c r="C202" s="2" t="s">
        <v>27</v>
      </c>
      <c r="D202" s="3">
        <v>75000</v>
      </c>
      <c r="E202" s="3">
        <v>75000</v>
      </c>
      <c r="F202" s="3">
        <f>SUM('2019.06.30.'!F202,'2019.07.31.'!F202,'2019.08.31.'!F202)</f>
        <v>15912</v>
      </c>
      <c r="G202" s="3"/>
      <c r="H202" s="3"/>
      <c r="I202" s="3"/>
      <c r="J202" s="20">
        <f t="shared" si="69"/>
        <v>90912</v>
      </c>
      <c r="K202" s="112">
        <v>15912</v>
      </c>
      <c r="L202" s="3">
        <f t="shared" si="70"/>
        <v>75000</v>
      </c>
    </row>
    <row r="203" spans="1:12" x14ac:dyDescent="0.25">
      <c r="A203" s="256"/>
      <c r="B203" s="253"/>
      <c r="C203" s="2" t="s">
        <v>28</v>
      </c>
      <c r="D203" s="3">
        <v>48000</v>
      </c>
      <c r="E203" s="3">
        <v>48000</v>
      </c>
      <c r="F203" s="3"/>
      <c r="H203" s="3"/>
      <c r="I203" s="3"/>
      <c r="J203" s="20">
        <f t="shared" si="69"/>
        <v>48000</v>
      </c>
      <c r="K203" s="112">
        <v>24000</v>
      </c>
      <c r="L203" s="3">
        <f t="shared" si="70"/>
        <v>24000</v>
      </c>
    </row>
    <row r="204" spans="1:12" x14ac:dyDescent="0.25">
      <c r="A204" s="256"/>
      <c r="B204" s="253"/>
      <c r="C204" s="2" t="s">
        <v>29</v>
      </c>
      <c r="D204" s="3">
        <v>264000</v>
      </c>
      <c r="E204" s="3">
        <v>481403</v>
      </c>
      <c r="F204" s="3">
        <f>(SUM('2019.07.31.'!F204,'2019.08.31.'!F204))+100000</f>
        <v>188723</v>
      </c>
      <c r="G204" s="3"/>
      <c r="H204" s="3"/>
      <c r="I204" s="3"/>
      <c r="J204" s="20">
        <f t="shared" si="69"/>
        <v>670126</v>
      </c>
      <c r="K204" s="112">
        <v>435486</v>
      </c>
      <c r="L204" s="3">
        <f t="shared" si="70"/>
        <v>234640</v>
      </c>
    </row>
    <row r="205" spans="1:12" x14ac:dyDescent="0.25">
      <c r="A205" s="256"/>
      <c r="B205" s="253"/>
      <c r="C205" s="26" t="s">
        <v>53</v>
      </c>
      <c r="D205" s="7">
        <f>SUM(D199:D204)</f>
        <v>10687165</v>
      </c>
      <c r="E205" s="7">
        <f>SUM(E199:E204)</f>
        <v>10687165</v>
      </c>
      <c r="F205" s="7">
        <f>SUM(F199:F204)</f>
        <v>104635</v>
      </c>
      <c r="G205" s="7">
        <f t="shared" ref="G205:L205" si="71">SUM(G199:G204)</f>
        <v>0</v>
      </c>
      <c r="H205" s="7">
        <f t="shared" si="71"/>
        <v>0</v>
      </c>
      <c r="I205" s="7">
        <f t="shared" si="71"/>
        <v>0</v>
      </c>
      <c r="J205" s="7">
        <f t="shared" si="71"/>
        <v>10791800</v>
      </c>
      <c r="K205" s="114">
        <f t="shared" si="71"/>
        <v>6616278</v>
      </c>
      <c r="L205" s="7">
        <f t="shared" si="71"/>
        <v>4175522</v>
      </c>
    </row>
    <row r="206" spans="1:12" x14ac:dyDescent="0.25">
      <c r="A206" s="256"/>
      <c r="B206" s="253"/>
      <c r="C206" s="90" t="s">
        <v>31</v>
      </c>
      <c r="D206" s="91">
        <v>2120857</v>
      </c>
      <c r="E206" s="91">
        <v>2120857</v>
      </c>
      <c r="F206" s="92"/>
      <c r="G206" s="92"/>
      <c r="H206" s="92"/>
      <c r="I206" s="92"/>
      <c r="J206" s="88">
        <f t="shared" ref="J206:J213" si="72">E206+F206+G206+H206+I206</f>
        <v>2120857</v>
      </c>
      <c r="K206" s="115">
        <v>1317847</v>
      </c>
      <c r="L206" s="89">
        <f t="shared" ref="L206:L213" si="73">J206-K206</f>
        <v>803010</v>
      </c>
    </row>
    <row r="207" spans="1:12" x14ac:dyDescent="0.25">
      <c r="A207" s="256"/>
      <c r="B207" s="253"/>
      <c r="C207" s="103" t="s">
        <v>33</v>
      </c>
      <c r="D207" s="104">
        <v>0</v>
      </c>
      <c r="E207" s="104">
        <v>186928</v>
      </c>
      <c r="F207" s="104"/>
      <c r="G207" s="104"/>
      <c r="H207" s="104"/>
      <c r="I207" s="104"/>
      <c r="J207" s="20">
        <f t="shared" si="72"/>
        <v>186928</v>
      </c>
      <c r="K207" s="118">
        <v>30769</v>
      </c>
      <c r="L207" s="3">
        <f t="shared" si="73"/>
        <v>156159</v>
      </c>
    </row>
    <row r="208" spans="1:12" x14ac:dyDescent="0.25">
      <c r="A208" s="256"/>
      <c r="B208" s="253"/>
      <c r="C208" s="46" t="s">
        <v>35</v>
      </c>
      <c r="D208" s="47">
        <v>0</v>
      </c>
      <c r="E208" s="47">
        <v>172800</v>
      </c>
      <c r="F208" s="47"/>
      <c r="G208" s="47"/>
      <c r="H208" s="47"/>
      <c r="I208" s="47"/>
      <c r="J208" s="20">
        <f t="shared" si="72"/>
        <v>172800</v>
      </c>
      <c r="K208" s="118">
        <v>29571</v>
      </c>
      <c r="L208" s="3">
        <f t="shared" si="73"/>
        <v>143229</v>
      </c>
    </row>
    <row r="209" spans="1:12" x14ac:dyDescent="0.25">
      <c r="A209" s="256"/>
      <c r="B209" s="253"/>
      <c r="C209" s="102" t="s">
        <v>38</v>
      </c>
      <c r="D209" s="47">
        <v>0</v>
      </c>
      <c r="E209" s="47">
        <v>3500</v>
      </c>
      <c r="F209" s="47">
        <v>5000</v>
      </c>
      <c r="G209" s="47"/>
      <c r="H209" s="47"/>
      <c r="I209" s="47"/>
      <c r="J209" s="20">
        <f t="shared" si="72"/>
        <v>8500</v>
      </c>
      <c r="K209" s="118">
        <v>3500</v>
      </c>
      <c r="L209" s="3">
        <f t="shared" si="73"/>
        <v>5000</v>
      </c>
    </row>
    <row r="210" spans="1:12" x14ac:dyDescent="0.25">
      <c r="A210" s="256"/>
      <c r="B210" s="253"/>
      <c r="C210" s="135" t="s">
        <v>41</v>
      </c>
      <c r="D210" s="47">
        <v>0</v>
      </c>
      <c r="E210" s="47">
        <v>0</v>
      </c>
      <c r="F210" s="47">
        <f>(SUM('2019.06.30.'!F210))+20000</f>
        <v>21685</v>
      </c>
      <c r="G210" s="47"/>
      <c r="H210" s="47"/>
      <c r="I210" s="47"/>
      <c r="J210" s="20">
        <f t="shared" si="72"/>
        <v>21685</v>
      </c>
      <c r="K210" s="118">
        <v>1685</v>
      </c>
      <c r="L210" s="3">
        <f t="shared" si="73"/>
        <v>20000</v>
      </c>
    </row>
    <row r="211" spans="1:12" x14ac:dyDescent="0.25">
      <c r="A211" s="256"/>
      <c r="B211" s="253"/>
      <c r="C211" s="46" t="s">
        <v>42</v>
      </c>
      <c r="D211" s="47">
        <v>0</v>
      </c>
      <c r="E211" s="47">
        <v>64600</v>
      </c>
      <c r="F211" s="47">
        <f>(SUM('2019.06.30.'!F211,'2019.08.31.'!F211,'2019.07.31.'!F211))+50000</f>
        <v>64310</v>
      </c>
      <c r="G211" s="47"/>
      <c r="H211" s="47"/>
      <c r="I211" s="47"/>
      <c r="J211" s="20">
        <f t="shared" si="72"/>
        <v>128910</v>
      </c>
      <c r="K211" s="118">
        <v>78910</v>
      </c>
      <c r="L211" s="3">
        <f t="shared" si="73"/>
        <v>50000</v>
      </c>
    </row>
    <row r="212" spans="1:12" x14ac:dyDescent="0.25">
      <c r="A212" s="256"/>
      <c r="B212" s="253"/>
      <c r="C212" s="46" t="s">
        <v>44</v>
      </c>
      <c r="D212" s="47">
        <v>0</v>
      </c>
      <c r="E212" s="47">
        <v>111556</v>
      </c>
      <c r="F212" s="47"/>
      <c r="G212" s="47"/>
      <c r="H212" s="47"/>
      <c r="I212" s="47"/>
      <c r="J212" s="20">
        <f t="shared" si="72"/>
        <v>111556</v>
      </c>
      <c r="K212" s="118">
        <v>37025</v>
      </c>
      <c r="L212" s="3">
        <f t="shared" si="73"/>
        <v>74531</v>
      </c>
    </row>
    <row r="213" spans="1:12" x14ac:dyDescent="0.25">
      <c r="A213" s="256"/>
      <c r="B213" s="253"/>
      <c r="C213" s="46" t="s">
        <v>45</v>
      </c>
      <c r="D213" s="47">
        <v>0</v>
      </c>
      <c r="E213" s="47">
        <v>276854</v>
      </c>
      <c r="F213" s="47">
        <f>SUM('2019.07.31.'!F213)</f>
        <v>26400</v>
      </c>
      <c r="G213" s="47"/>
      <c r="H213" s="47"/>
      <c r="I213" s="47"/>
      <c r="J213" s="20">
        <f t="shared" si="72"/>
        <v>303254</v>
      </c>
      <c r="K213" s="118">
        <v>210879</v>
      </c>
      <c r="L213" s="60">
        <f t="shared" si="73"/>
        <v>92375</v>
      </c>
    </row>
    <row r="214" spans="1:12" x14ac:dyDescent="0.25">
      <c r="A214" s="257"/>
      <c r="B214" s="254"/>
      <c r="C214" s="27" t="s">
        <v>49</v>
      </c>
      <c r="D214" s="28">
        <f>SUM(D207:D213)</f>
        <v>0</v>
      </c>
      <c r="E214" s="28">
        <f>SUM(E207:E213)</f>
        <v>816238</v>
      </c>
      <c r="F214" s="28">
        <f t="shared" ref="F214:L214" si="74">SUM(F207:F213)</f>
        <v>117395</v>
      </c>
      <c r="G214" s="28">
        <f t="shared" si="74"/>
        <v>0</v>
      </c>
      <c r="H214" s="28">
        <f t="shared" si="74"/>
        <v>0</v>
      </c>
      <c r="I214" s="28">
        <f t="shared" si="74"/>
        <v>0</v>
      </c>
      <c r="J214" s="28">
        <f t="shared" si="74"/>
        <v>933633</v>
      </c>
      <c r="K214" s="137">
        <f>SUM(K207:K213)</f>
        <v>392339</v>
      </c>
      <c r="L214" s="28">
        <f t="shared" si="74"/>
        <v>541294</v>
      </c>
    </row>
    <row r="215" spans="1:12" x14ac:dyDescent="0.25">
      <c r="A215" s="258" t="s">
        <v>68</v>
      </c>
      <c r="B215" s="267" t="s">
        <v>46</v>
      </c>
      <c r="C215" s="16" t="s">
        <v>24</v>
      </c>
      <c r="D215" s="17">
        <v>2501556</v>
      </c>
      <c r="E215" s="17">
        <v>2501556</v>
      </c>
      <c r="F215" s="17"/>
      <c r="G215" s="17"/>
      <c r="H215" s="17"/>
      <c r="I215" s="17"/>
      <c r="J215" s="20">
        <f>E215+F215+G215+H215+I215</f>
        <v>2501556</v>
      </c>
      <c r="K215" s="112">
        <v>1671783</v>
      </c>
      <c r="L215" s="3">
        <f t="shared" ref="L215:L216" si="75">J215-K215</f>
        <v>829773</v>
      </c>
    </row>
    <row r="216" spans="1:12" x14ac:dyDescent="0.25">
      <c r="A216" s="255"/>
      <c r="B216" s="261"/>
      <c r="C216" s="18" t="s">
        <v>31</v>
      </c>
      <c r="D216" s="19">
        <v>466569</v>
      </c>
      <c r="E216" s="19">
        <v>466569</v>
      </c>
      <c r="F216" s="19"/>
      <c r="G216" s="19"/>
      <c r="H216" s="19"/>
      <c r="I216" s="19"/>
      <c r="J216" s="20">
        <f t="shared" ref="J216" si="76">E216+F216+G216+H216+I216</f>
        <v>466569</v>
      </c>
      <c r="K216" s="112">
        <v>321651</v>
      </c>
      <c r="L216" s="3">
        <f t="shared" si="75"/>
        <v>144918</v>
      </c>
    </row>
    <row r="217" spans="1:12" x14ac:dyDescent="0.25">
      <c r="A217" s="353" t="s">
        <v>82</v>
      </c>
      <c r="B217" s="354"/>
      <c r="C217" s="355"/>
      <c r="D217" s="129">
        <f>SUM(D205+D206+D215+D216+D214)</f>
        <v>15776147</v>
      </c>
      <c r="E217" s="129">
        <f>SUM(E205,E206,E214,E215:E216)</f>
        <v>16592385</v>
      </c>
      <c r="F217" s="129">
        <f t="shared" ref="F217:I217" si="77">SUM(F205+F206+F215+F216+F214)</f>
        <v>222030</v>
      </c>
      <c r="G217" s="129">
        <f t="shared" si="77"/>
        <v>0</v>
      </c>
      <c r="H217" s="129">
        <f t="shared" si="77"/>
        <v>0</v>
      </c>
      <c r="I217" s="129">
        <f t="shared" si="77"/>
        <v>0</v>
      </c>
      <c r="J217" s="129">
        <f>SUM(J205+J206+J215+J216+J214)</f>
        <v>16814415</v>
      </c>
      <c r="K217" s="130">
        <f>SUM(K205+K206+K215+K216+K214)</f>
        <v>10319898</v>
      </c>
      <c r="L217" s="131">
        <f>SUM(L205+L206+L215+L216+L214)</f>
        <v>6494517</v>
      </c>
    </row>
    <row r="218" spans="1:12" ht="30.75" customHeight="1" x14ac:dyDescent="0.25">
      <c r="A218" s="357" t="s">
        <v>74</v>
      </c>
      <c r="B218" s="358"/>
      <c r="C218" s="359"/>
      <c r="D218" s="132">
        <f t="shared" ref="D218:K218" si="78">SUM(D88+D113+D135+D156+D179+D198+D217)</f>
        <v>230443641</v>
      </c>
      <c r="E218" s="132">
        <f t="shared" si="78"/>
        <v>230521849</v>
      </c>
      <c r="F218" s="132">
        <f t="shared" si="78"/>
        <v>0</v>
      </c>
      <c r="G218" s="132">
        <f t="shared" si="78"/>
        <v>1233067</v>
      </c>
      <c r="H218" s="132">
        <f t="shared" si="78"/>
        <v>0</v>
      </c>
      <c r="I218" s="132">
        <f t="shared" si="78"/>
        <v>20000</v>
      </c>
      <c r="J218" s="132">
        <f t="shared" si="78"/>
        <v>231774916</v>
      </c>
      <c r="K218" s="133">
        <f t="shared" si="78"/>
        <v>129753488</v>
      </c>
      <c r="L218" s="132">
        <f>SUM(L88+L113+L135+L156+L179+L198+L217)</f>
        <v>102021428</v>
      </c>
    </row>
    <row r="219" spans="1:12" x14ac:dyDescent="0.25">
      <c r="B219" s="5"/>
      <c r="E219" s="4"/>
      <c r="F219" s="4"/>
      <c r="G219" s="4"/>
      <c r="H219" s="4"/>
      <c r="I219" s="4"/>
      <c r="J219" s="4"/>
      <c r="K219" s="111"/>
    </row>
    <row r="220" spans="1:12" x14ac:dyDescent="0.25">
      <c r="B220" s="5"/>
      <c r="E220" s="4"/>
      <c r="F220" s="4"/>
      <c r="G220" s="4"/>
      <c r="H220" s="4"/>
      <c r="I220" s="4"/>
      <c r="J220" s="4"/>
      <c r="K220" s="111"/>
    </row>
    <row r="221" spans="1:12" x14ac:dyDescent="0.25">
      <c r="B221" s="5"/>
      <c r="E221" s="4"/>
      <c r="F221" s="4"/>
      <c r="G221" s="4"/>
      <c r="H221" s="4"/>
      <c r="I221" s="4"/>
      <c r="J221" s="4"/>
      <c r="K221" s="111"/>
    </row>
    <row r="222" spans="1:12" x14ac:dyDescent="0.25">
      <c r="B222" s="5"/>
      <c r="E222" s="4"/>
      <c r="F222" s="4"/>
      <c r="G222" s="4"/>
      <c r="H222" s="4"/>
      <c r="I222" s="4"/>
      <c r="J222" s="4"/>
      <c r="K222" s="111"/>
    </row>
    <row r="223" spans="1:12" x14ac:dyDescent="0.25">
      <c r="B223" s="5"/>
      <c r="E223" s="4"/>
      <c r="F223" s="4"/>
      <c r="G223" s="4"/>
      <c r="H223" s="4"/>
      <c r="I223" s="4"/>
      <c r="J223" s="4"/>
      <c r="K223" s="111"/>
    </row>
    <row r="224" spans="1:12" ht="15.75" thickBot="1" x14ac:dyDescent="0.3">
      <c r="B224" s="5"/>
      <c r="E224" s="4"/>
      <c r="F224" s="4"/>
      <c r="G224" s="134"/>
      <c r="H224" s="4"/>
      <c r="I224" s="4"/>
      <c r="J224" s="4"/>
      <c r="K224" s="111"/>
    </row>
    <row r="225" spans="1:11" ht="15.75" thickTop="1" x14ac:dyDescent="0.25">
      <c r="A225" s="250" t="s">
        <v>121</v>
      </c>
      <c r="B225" s="250"/>
      <c r="C225" s="250"/>
      <c r="D225" s="250"/>
      <c r="E225" s="250"/>
      <c r="F225" s="250"/>
      <c r="G225" s="250"/>
      <c r="H225" s="250"/>
      <c r="I225" s="250"/>
      <c r="J225" s="250"/>
      <c r="K225" s="250"/>
    </row>
    <row r="226" spans="1:11" s="79" customFormat="1" ht="33.75" customHeight="1" x14ac:dyDescent="0.25">
      <c r="A226" s="298" t="s">
        <v>0</v>
      </c>
      <c r="B226" s="299"/>
      <c r="C226" s="75" t="s">
        <v>3</v>
      </c>
      <c r="D226" s="75" t="s">
        <v>4</v>
      </c>
      <c r="E226" s="77" t="s">
        <v>111</v>
      </c>
      <c r="F226" s="76" t="s">
        <v>70</v>
      </c>
      <c r="G226" s="109" t="s">
        <v>71</v>
      </c>
      <c r="H226" s="110" t="s">
        <v>71</v>
      </c>
      <c r="I226" s="77" t="s">
        <v>71</v>
      </c>
      <c r="J226" s="77" t="s">
        <v>115</v>
      </c>
      <c r="K226" s="78" t="s">
        <v>118</v>
      </c>
    </row>
    <row r="227" spans="1:11" x14ac:dyDescent="0.25">
      <c r="A227" s="300"/>
      <c r="B227" s="301"/>
      <c r="C227" s="33" t="s">
        <v>16</v>
      </c>
      <c r="D227" s="61">
        <f t="shared" ref="D227:K228" si="79">D5+D14+D16+D18+D20+D22</f>
        <v>117230959</v>
      </c>
      <c r="E227" s="61">
        <f t="shared" si="79"/>
        <v>117297167</v>
      </c>
      <c r="F227" s="61">
        <f t="shared" si="79"/>
        <v>0</v>
      </c>
      <c r="G227" s="61">
        <f t="shared" si="79"/>
        <v>-2110933</v>
      </c>
      <c r="H227" s="61">
        <f t="shared" si="79"/>
        <v>0</v>
      </c>
      <c r="I227" s="61">
        <f t="shared" si="79"/>
        <v>0</v>
      </c>
      <c r="J227" s="61">
        <f t="shared" si="79"/>
        <v>115186234</v>
      </c>
      <c r="K227" s="61">
        <f t="shared" si="79"/>
        <v>56755805</v>
      </c>
    </row>
    <row r="228" spans="1:11" x14ac:dyDescent="0.25">
      <c r="A228" s="300"/>
      <c r="B228" s="301"/>
      <c r="C228" s="33" t="s">
        <v>17</v>
      </c>
      <c r="D228" s="61">
        <f t="shared" si="79"/>
        <v>16012810</v>
      </c>
      <c r="E228" s="61">
        <f t="shared" si="79"/>
        <v>16012810</v>
      </c>
      <c r="F228" s="61">
        <f t="shared" si="79"/>
        <v>0</v>
      </c>
      <c r="G228" s="61">
        <f t="shared" si="79"/>
        <v>0</v>
      </c>
      <c r="H228" s="61">
        <f t="shared" si="79"/>
        <v>0</v>
      </c>
      <c r="I228" s="61">
        <f t="shared" si="79"/>
        <v>0</v>
      </c>
      <c r="J228" s="61">
        <f t="shared" si="79"/>
        <v>16012810</v>
      </c>
      <c r="K228" s="61">
        <f t="shared" si="79"/>
        <v>16012810</v>
      </c>
    </row>
    <row r="229" spans="1:11" x14ac:dyDescent="0.25">
      <c r="A229" s="300"/>
      <c r="B229" s="301"/>
      <c r="C229" s="33" t="s">
        <v>18</v>
      </c>
      <c r="D229" s="61">
        <f t="shared" ref="D229:K231" si="80">D7</f>
        <v>96985672</v>
      </c>
      <c r="E229" s="61">
        <f t="shared" si="80"/>
        <v>96985672</v>
      </c>
      <c r="F229" s="61">
        <f t="shared" si="80"/>
        <v>0</v>
      </c>
      <c r="G229" s="61">
        <f t="shared" si="80"/>
        <v>3344000</v>
      </c>
      <c r="H229" s="61">
        <f t="shared" si="80"/>
        <v>0</v>
      </c>
      <c r="I229" s="61">
        <f t="shared" si="80"/>
        <v>0</v>
      </c>
      <c r="J229" s="61">
        <f t="shared" si="80"/>
        <v>100329672</v>
      </c>
      <c r="K229" s="61">
        <f t="shared" si="80"/>
        <v>61177949</v>
      </c>
    </row>
    <row r="230" spans="1:11" x14ac:dyDescent="0.25">
      <c r="A230" s="300"/>
      <c r="B230" s="301"/>
      <c r="C230" s="35" t="s">
        <v>22</v>
      </c>
      <c r="D230" s="61">
        <f t="shared" si="80"/>
        <v>200000</v>
      </c>
      <c r="E230" s="61">
        <f t="shared" si="80"/>
        <v>200000</v>
      </c>
      <c r="F230" s="61">
        <f t="shared" si="80"/>
        <v>0</v>
      </c>
      <c r="G230" s="61">
        <f t="shared" si="80"/>
        <v>0</v>
      </c>
      <c r="H230" s="61">
        <f t="shared" si="80"/>
        <v>0</v>
      </c>
      <c r="I230" s="61">
        <f t="shared" si="80"/>
        <v>0</v>
      </c>
      <c r="J230" s="61">
        <f t="shared" si="80"/>
        <v>200000</v>
      </c>
      <c r="K230" s="61">
        <f t="shared" si="80"/>
        <v>0</v>
      </c>
    </row>
    <row r="231" spans="1:11" x14ac:dyDescent="0.25">
      <c r="A231" s="300"/>
      <c r="B231" s="301"/>
      <c r="C231" s="35" t="s">
        <v>19</v>
      </c>
      <c r="D231" s="61">
        <f t="shared" si="80"/>
        <v>13200</v>
      </c>
      <c r="E231" s="61">
        <f t="shared" si="80"/>
        <v>16540</v>
      </c>
      <c r="F231" s="61">
        <f t="shared" si="80"/>
        <v>5386</v>
      </c>
      <c r="G231" s="61">
        <f t="shared" si="80"/>
        <v>0</v>
      </c>
      <c r="H231" s="61">
        <f t="shared" si="80"/>
        <v>0</v>
      </c>
      <c r="I231" s="61">
        <f t="shared" si="80"/>
        <v>10000</v>
      </c>
      <c r="J231" s="61">
        <f t="shared" si="80"/>
        <v>31926</v>
      </c>
      <c r="K231" s="61">
        <f t="shared" si="80"/>
        <v>21926</v>
      </c>
    </row>
    <row r="232" spans="1:11" x14ac:dyDescent="0.25">
      <c r="A232" s="300"/>
      <c r="B232" s="301"/>
      <c r="C232" s="35" t="s">
        <v>84</v>
      </c>
      <c r="D232" s="61">
        <f>D13+D11</f>
        <v>0</v>
      </c>
      <c r="E232" s="61">
        <f>E13+E11</f>
        <v>9239</v>
      </c>
      <c r="F232" s="61">
        <f t="shared" ref="F232:K232" si="81">F13+F11</f>
        <v>-6290</v>
      </c>
      <c r="G232" s="61">
        <f t="shared" si="81"/>
        <v>0</v>
      </c>
      <c r="H232" s="61">
        <f t="shared" si="81"/>
        <v>0</v>
      </c>
      <c r="I232" s="61">
        <f t="shared" si="81"/>
        <v>10000</v>
      </c>
      <c r="J232" s="61">
        <f>J13+J11</f>
        <v>12949</v>
      </c>
      <c r="K232" s="61">
        <f t="shared" si="81"/>
        <v>3835</v>
      </c>
    </row>
    <row r="233" spans="1:11" x14ac:dyDescent="0.25">
      <c r="A233" s="300"/>
      <c r="B233" s="301"/>
      <c r="C233" s="33" t="s">
        <v>20</v>
      </c>
      <c r="D233" s="61">
        <f>D10+D12</f>
        <v>1000</v>
      </c>
      <c r="E233" s="61">
        <f>E10+E12</f>
        <v>421</v>
      </c>
      <c r="F233" s="61">
        <f t="shared" ref="F233:K233" si="82">F10+F12</f>
        <v>904</v>
      </c>
      <c r="G233" s="61">
        <f t="shared" si="82"/>
        <v>0</v>
      </c>
      <c r="H233" s="61">
        <f t="shared" si="82"/>
        <v>0</v>
      </c>
      <c r="I233" s="61">
        <f t="shared" si="82"/>
        <v>0</v>
      </c>
      <c r="J233" s="61">
        <f t="shared" si="82"/>
        <v>1325</v>
      </c>
      <c r="K233" s="61">
        <f t="shared" si="82"/>
        <v>304</v>
      </c>
    </row>
    <row r="234" spans="1:11" x14ac:dyDescent="0.25">
      <c r="A234" s="300"/>
      <c r="B234" s="301"/>
      <c r="C234" s="65" t="s">
        <v>86</v>
      </c>
      <c r="D234" s="66">
        <f>D13+D12+D11+D10+D9</f>
        <v>14200</v>
      </c>
      <c r="E234" s="66">
        <f>E13+E12+E11+E10+E9</f>
        <v>26200</v>
      </c>
      <c r="F234" s="66">
        <f t="shared" ref="F234:K234" si="83">F13+F12+F11+F10+F9</f>
        <v>0</v>
      </c>
      <c r="G234" s="66">
        <f t="shared" si="83"/>
        <v>0</v>
      </c>
      <c r="H234" s="66">
        <f t="shared" si="83"/>
        <v>0</v>
      </c>
      <c r="I234" s="66">
        <f t="shared" si="83"/>
        <v>20000</v>
      </c>
      <c r="J234" s="66">
        <f t="shared" si="83"/>
        <v>46200</v>
      </c>
      <c r="K234" s="66">
        <f t="shared" si="83"/>
        <v>26065</v>
      </c>
    </row>
    <row r="235" spans="1:11" x14ac:dyDescent="0.25">
      <c r="A235" s="300"/>
      <c r="B235" s="301"/>
      <c r="C235" s="65" t="s">
        <v>87</v>
      </c>
      <c r="D235" s="66">
        <f>D23+D21+D19+D17+D15+D7+D6</f>
        <v>112998482</v>
      </c>
      <c r="E235" s="66">
        <f>E23+E21+E19+E17+E15+E7+E6</f>
        <v>112998482</v>
      </c>
      <c r="F235" s="66">
        <f t="shared" ref="F235:K235" si="84">F23+F21+F19+F17+F15+F7+F6</f>
        <v>0</v>
      </c>
      <c r="G235" s="66">
        <f t="shared" si="84"/>
        <v>3344000</v>
      </c>
      <c r="H235" s="66">
        <f t="shared" si="84"/>
        <v>0</v>
      </c>
      <c r="I235" s="66">
        <f t="shared" si="84"/>
        <v>0</v>
      </c>
      <c r="J235" s="66">
        <f t="shared" si="84"/>
        <v>116342482</v>
      </c>
      <c r="K235" s="66">
        <f t="shared" si="84"/>
        <v>77190759</v>
      </c>
    </row>
    <row r="236" spans="1:11" x14ac:dyDescent="0.25">
      <c r="A236" s="300"/>
      <c r="B236" s="301"/>
      <c r="C236" s="65" t="s">
        <v>94</v>
      </c>
      <c r="D236" s="66">
        <f>D24</f>
        <v>230443641</v>
      </c>
      <c r="E236" s="66">
        <f>E24</f>
        <v>230521849</v>
      </c>
      <c r="F236" s="66">
        <f t="shared" ref="F236:K236" si="85">F24</f>
        <v>0</v>
      </c>
      <c r="G236" s="66">
        <f t="shared" si="85"/>
        <v>1233067</v>
      </c>
      <c r="H236" s="66">
        <f t="shared" si="85"/>
        <v>0</v>
      </c>
      <c r="I236" s="66">
        <f t="shared" si="85"/>
        <v>20000</v>
      </c>
      <c r="J236" s="66">
        <f t="shared" si="85"/>
        <v>231774916</v>
      </c>
      <c r="K236" s="66">
        <f t="shared" si="85"/>
        <v>133972629</v>
      </c>
    </row>
    <row r="237" spans="1:11" x14ac:dyDescent="0.25">
      <c r="A237" s="300"/>
      <c r="B237" s="301"/>
      <c r="C237" s="33" t="s">
        <v>24</v>
      </c>
      <c r="D237" s="34">
        <f>D89+D111+D114+D133+D136+D154+D157+D177+D199+D215+D180+D86+D84+D52+D25</f>
        <v>128356144</v>
      </c>
      <c r="E237" s="34">
        <f>E89+E111+E114+E133+E136+E154+E157+E177+E199+E215+E180+E86+E84+E52+E25</f>
        <v>127937678</v>
      </c>
      <c r="F237" s="34">
        <f>F89+F111+F114+F133+F136+F154+F157+F177+F199+F215+F180+F86+F84+F52+F25</f>
        <v>-715138</v>
      </c>
      <c r="G237" s="34">
        <f t="shared" ref="G237:I237" si="86">G89+G111+G114+G133+G136+G154+G157+G177+G199+G215+G180+G86+G84+G52+G25</f>
        <v>1031856</v>
      </c>
      <c r="H237" s="34">
        <f t="shared" si="86"/>
        <v>0</v>
      </c>
      <c r="I237" s="34">
        <f t="shared" si="86"/>
        <v>0</v>
      </c>
      <c r="J237" s="61">
        <f>J215+J199+J180+J177+J157+J154+J136+J133+J114+J111+J89+J86+J84+J52+J25</f>
        <v>128254396</v>
      </c>
      <c r="K237" s="61">
        <f>K215+K199+K180+K177+K157+K154+K136+K133+K114+K111+K89+K86+K84+K52+K25</f>
        <v>80007549</v>
      </c>
    </row>
    <row r="238" spans="1:11" x14ac:dyDescent="0.25">
      <c r="A238" s="300"/>
      <c r="B238" s="301"/>
      <c r="C238" s="33" t="s">
        <v>47</v>
      </c>
      <c r="D238" s="34">
        <f t="shared" ref="D238:K239" si="87">D53</f>
        <v>2040480</v>
      </c>
      <c r="E238" s="34">
        <f t="shared" si="87"/>
        <v>2040480</v>
      </c>
      <c r="F238" s="34">
        <f t="shared" si="87"/>
        <v>0</v>
      </c>
      <c r="G238" s="34">
        <f t="shared" si="87"/>
        <v>0</v>
      </c>
      <c r="H238" s="34">
        <f t="shared" si="87"/>
        <v>0</v>
      </c>
      <c r="I238" s="34">
        <f t="shared" si="87"/>
        <v>0</v>
      </c>
      <c r="J238" s="34">
        <f t="shared" si="87"/>
        <v>2040480</v>
      </c>
      <c r="K238" s="41">
        <f t="shared" si="87"/>
        <v>1270865</v>
      </c>
    </row>
    <row r="239" spans="1:11" x14ac:dyDescent="0.25">
      <c r="A239" s="300"/>
      <c r="B239" s="301"/>
      <c r="C239" s="33" t="s">
        <v>48</v>
      </c>
      <c r="D239" s="34">
        <f t="shared" si="87"/>
        <v>0</v>
      </c>
      <c r="E239" s="34">
        <f t="shared" si="87"/>
        <v>0</v>
      </c>
      <c r="F239" s="34">
        <f t="shared" si="87"/>
        <v>0</v>
      </c>
      <c r="G239" s="34">
        <f t="shared" si="87"/>
        <v>0</v>
      </c>
      <c r="H239" s="34">
        <f t="shared" si="87"/>
        <v>0</v>
      </c>
      <c r="I239" s="34">
        <f t="shared" si="87"/>
        <v>0</v>
      </c>
      <c r="J239" s="34">
        <f t="shared" si="87"/>
        <v>0</v>
      </c>
      <c r="K239" s="34">
        <f t="shared" si="87"/>
        <v>0</v>
      </c>
    </row>
    <row r="240" spans="1:11" x14ac:dyDescent="0.25">
      <c r="A240" s="300"/>
      <c r="B240" s="301"/>
      <c r="C240" s="35" t="s">
        <v>25</v>
      </c>
      <c r="D240" s="34">
        <f t="shared" ref="D240:K241" si="88">D200+D158+D137+D115+D90+D55+D26</f>
        <v>3992000</v>
      </c>
      <c r="E240" s="34">
        <f t="shared" si="88"/>
        <v>3992000</v>
      </c>
      <c r="F240" s="34">
        <f t="shared" si="88"/>
        <v>0</v>
      </c>
      <c r="G240" s="34">
        <f t="shared" si="88"/>
        <v>0</v>
      </c>
      <c r="H240" s="34">
        <f t="shared" si="88"/>
        <v>0</v>
      </c>
      <c r="I240" s="34">
        <f t="shared" si="88"/>
        <v>0</v>
      </c>
      <c r="J240" s="34">
        <f t="shared" si="88"/>
        <v>3992000</v>
      </c>
      <c r="K240" s="34">
        <f t="shared" si="88"/>
        <v>1887500</v>
      </c>
    </row>
    <row r="241" spans="1:12" x14ac:dyDescent="0.25">
      <c r="A241" s="300"/>
      <c r="B241" s="301"/>
      <c r="C241" s="35" t="s">
        <v>26</v>
      </c>
      <c r="D241" s="34">
        <f t="shared" si="88"/>
        <v>200000</v>
      </c>
      <c r="E241" s="34">
        <f t="shared" si="88"/>
        <v>200000</v>
      </c>
      <c r="F241" s="34">
        <f t="shared" si="88"/>
        <v>0</v>
      </c>
      <c r="G241" s="34">
        <f t="shared" si="88"/>
        <v>0</v>
      </c>
      <c r="H241" s="34">
        <f t="shared" si="88"/>
        <v>0</v>
      </c>
      <c r="I241" s="34">
        <f t="shared" si="88"/>
        <v>0</v>
      </c>
      <c r="J241" s="34">
        <f t="shared" si="88"/>
        <v>200000</v>
      </c>
      <c r="K241" s="34">
        <f t="shared" si="88"/>
        <v>0</v>
      </c>
    </row>
    <row r="242" spans="1:12" x14ac:dyDescent="0.25">
      <c r="A242" s="300"/>
      <c r="B242" s="301"/>
      <c r="C242" s="33" t="s">
        <v>27</v>
      </c>
      <c r="D242" s="34">
        <f>D202+D139+D92+D57+D28</f>
        <v>1661400</v>
      </c>
      <c r="E242" s="34">
        <f>E202+E139+E92+E57+E28</f>
        <v>1661400</v>
      </c>
      <c r="F242" s="34">
        <f t="shared" ref="F242:I243" si="89">F202+F139+F92+F57+F28</f>
        <v>0</v>
      </c>
      <c r="G242" s="34">
        <f t="shared" si="89"/>
        <v>0</v>
      </c>
      <c r="H242" s="34">
        <f t="shared" si="89"/>
        <v>0</v>
      </c>
      <c r="I242" s="34">
        <f t="shared" si="89"/>
        <v>0</v>
      </c>
      <c r="J242" s="34">
        <f>J202+J139+J92+J57+J28</f>
        <v>1661400</v>
      </c>
      <c r="K242" s="34">
        <f>K202+K139+K92+K57+K28</f>
        <v>794388</v>
      </c>
    </row>
    <row r="243" spans="1:12" x14ac:dyDescent="0.25">
      <c r="A243" s="300"/>
      <c r="B243" s="301"/>
      <c r="C243" s="35" t="s">
        <v>28</v>
      </c>
      <c r="D243" s="34">
        <f>D203+D160+D140+D117+D58+D29+D93</f>
        <v>481000</v>
      </c>
      <c r="E243" s="34">
        <f>E203+E160+E140+E117+E58+E29+E93</f>
        <v>481000</v>
      </c>
      <c r="F243" s="34">
        <f t="shared" ref="F243:I243" si="90">F203+F160+F140+F117+F58+F29+F93</f>
        <v>0</v>
      </c>
      <c r="G243" s="34">
        <f t="shared" si="89"/>
        <v>0</v>
      </c>
      <c r="H243" s="34">
        <f t="shared" si="90"/>
        <v>0</v>
      </c>
      <c r="I243" s="34">
        <f t="shared" si="90"/>
        <v>0</v>
      </c>
      <c r="J243" s="34">
        <f>J203+J140+J93+J58+J29+J117+J160</f>
        <v>481000</v>
      </c>
      <c r="K243" s="34">
        <f>K203+K160+K140+K117+K58+K29+K93</f>
        <v>222000</v>
      </c>
    </row>
    <row r="244" spans="1:12" x14ac:dyDescent="0.25">
      <c r="A244" s="300"/>
      <c r="B244" s="301"/>
      <c r="C244" s="33" t="s">
        <v>29</v>
      </c>
      <c r="D244" s="34">
        <f>D204+D175+D161+D141+D118+D109+D94+D82+D80+D59+D30+D131</f>
        <v>3451400</v>
      </c>
      <c r="E244" s="34">
        <f>E204+E175+E161+E141+E118+E109+E94+E82+E80+E59+E30+E131</f>
        <v>3925270</v>
      </c>
      <c r="F244" s="34">
        <f>F175+F161+F141+F118+F109+F94+F82+F80+F59+F30+F131</f>
        <v>526415</v>
      </c>
      <c r="G244" s="34">
        <f t="shared" ref="G244:J244" si="91">G204+G175+G161+G141+G118+G109+G94+G82+G80+G59+G30+G131</f>
        <v>0</v>
      </c>
      <c r="H244" s="34">
        <f t="shared" si="91"/>
        <v>0</v>
      </c>
      <c r="I244" s="34">
        <f t="shared" si="91"/>
        <v>0</v>
      </c>
      <c r="J244" s="34">
        <f t="shared" si="91"/>
        <v>4640408</v>
      </c>
      <c r="K244" s="34">
        <f>K204+K175+K161+K141+K118+K109+K94+K82+K80+K59+K30+K131</f>
        <v>2106658</v>
      </c>
    </row>
    <row r="245" spans="1:12" x14ac:dyDescent="0.25">
      <c r="A245" s="300"/>
      <c r="B245" s="301"/>
      <c r="C245" s="35" t="s">
        <v>30</v>
      </c>
      <c r="D245" s="34">
        <f>D162+D142+D119+D60+D31+D181</f>
        <v>200000</v>
      </c>
      <c r="E245" s="34">
        <f t="shared" ref="E245:K245" si="92">E162+E142+E119+E60+E31+E181</f>
        <v>10700000</v>
      </c>
      <c r="F245" s="34">
        <f t="shared" si="92"/>
        <v>-10500000</v>
      </c>
      <c r="G245" s="34">
        <f t="shared" si="92"/>
        <v>0</v>
      </c>
      <c r="H245" s="34">
        <f t="shared" si="92"/>
        <v>0</v>
      </c>
      <c r="I245" s="34">
        <f t="shared" si="92"/>
        <v>0</v>
      </c>
      <c r="J245" s="34">
        <f t="shared" si="92"/>
        <v>200000</v>
      </c>
      <c r="K245" s="34">
        <f t="shared" si="92"/>
        <v>27804</v>
      </c>
    </row>
    <row r="246" spans="1:12" x14ac:dyDescent="0.25">
      <c r="A246" s="300"/>
      <c r="B246" s="301"/>
      <c r="C246" s="65" t="s">
        <v>53</v>
      </c>
      <c r="D246" s="66">
        <f>D205+D182+D163+D143+D215+D177+D154+D133+D131+D175+D120+D111+D109+D96+D86+D84+D82+D80+D61+D32</f>
        <v>140382424</v>
      </c>
      <c r="E246" s="66">
        <f t="shared" ref="E246:K246" si="93">E205+E182+E163+E143+E215+E177+E154+E133+E131+E175+E120+E111+E109+E96+E86+E84+E82+E80+E61+E32</f>
        <v>150937828</v>
      </c>
      <c r="F246" s="66">
        <f t="shared" si="93"/>
        <v>-10500000</v>
      </c>
      <c r="G246" s="66">
        <f t="shared" si="93"/>
        <v>1031856</v>
      </c>
      <c r="H246" s="66">
        <f t="shared" si="93"/>
        <v>0</v>
      </c>
      <c r="I246" s="66">
        <f t="shared" si="93"/>
        <v>0</v>
      </c>
      <c r="J246" s="66">
        <f t="shared" si="93"/>
        <v>141469684</v>
      </c>
      <c r="K246" s="66">
        <f t="shared" si="93"/>
        <v>86316764</v>
      </c>
    </row>
    <row r="247" spans="1:12" x14ac:dyDescent="0.25">
      <c r="A247" s="300"/>
      <c r="B247" s="301"/>
      <c r="C247" s="67" t="s">
        <v>31</v>
      </c>
      <c r="D247" s="66">
        <f>D206+D183+D178+D176+D216+D164+D155+D144+D134+D132+D121+D112+D110+D97+D87+D85+D83+D81+D62+D33</f>
        <v>27536677</v>
      </c>
      <c r="E247" s="66">
        <f>E206+E183+E178+E176+E216+E164+E155+E144+E134+E132+E121+E112+E110+E97+E87+E85+E83+E81+E62+E33</f>
        <v>27547481</v>
      </c>
      <c r="F247" s="66">
        <f t="shared" ref="F247:K247" si="94">F206+F183+F178+F176+F216+F164+F155+F144+F134+F132+F121+F112+F110+F97+F87+F85+F83+F81+F62+F33</f>
        <v>4274550</v>
      </c>
      <c r="G247" s="66">
        <f t="shared" si="94"/>
        <v>201211</v>
      </c>
      <c r="H247" s="66">
        <f t="shared" si="94"/>
        <v>0</v>
      </c>
      <c r="I247" s="66">
        <f t="shared" si="94"/>
        <v>0</v>
      </c>
      <c r="J247" s="66">
        <f t="shared" si="94"/>
        <v>32023242</v>
      </c>
      <c r="K247" s="66">
        <f t="shared" si="94"/>
        <v>20272575</v>
      </c>
    </row>
    <row r="248" spans="1:12" x14ac:dyDescent="0.25">
      <c r="A248" s="300"/>
      <c r="B248" s="301"/>
      <c r="C248" s="33" t="s">
        <v>32</v>
      </c>
      <c r="D248" s="34">
        <f>D165+D145+D122+D98+D63+D34</f>
        <v>540000</v>
      </c>
      <c r="E248" s="34">
        <f>E165+E145+E122+E98+E63+E34</f>
        <v>540000</v>
      </c>
      <c r="F248" s="34">
        <f t="shared" ref="F248:K248" si="95">F165+F145+F122+F98+F63+F34</f>
        <v>-50000</v>
      </c>
      <c r="G248" s="34">
        <f t="shared" si="95"/>
        <v>0</v>
      </c>
      <c r="H248" s="34">
        <f t="shared" si="95"/>
        <v>0</v>
      </c>
      <c r="I248" s="34">
        <f t="shared" si="95"/>
        <v>10000</v>
      </c>
      <c r="J248" s="34">
        <f t="shared" si="95"/>
        <v>500000</v>
      </c>
      <c r="K248" s="34">
        <f t="shared" si="95"/>
        <v>49638</v>
      </c>
    </row>
    <row r="249" spans="1:12" x14ac:dyDescent="0.25">
      <c r="A249" s="300"/>
      <c r="B249" s="301"/>
      <c r="C249" s="35" t="s">
        <v>33</v>
      </c>
      <c r="D249" s="34">
        <f>D184+D166+D146+D123+D99+D64+D35+D207</f>
        <v>1700000</v>
      </c>
      <c r="E249" s="34">
        <f t="shared" ref="E249:K249" si="96">E184+E166+E146+E123+E99+E64+E35+E207</f>
        <v>1886928</v>
      </c>
      <c r="F249" s="34">
        <f t="shared" si="96"/>
        <v>22959</v>
      </c>
      <c r="G249" s="34">
        <f t="shared" si="96"/>
        <v>0</v>
      </c>
      <c r="H249" s="34">
        <f t="shared" si="96"/>
        <v>0</v>
      </c>
      <c r="I249" s="34">
        <f t="shared" si="96"/>
        <v>0</v>
      </c>
      <c r="J249" s="34">
        <f t="shared" si="96"/>
        <v>1909887</v>
      </c>
      <c r="K249" s="34">
        <f t="shared" si="96"/>
        <v>307080</v>
      </c>
    </row>
    <row r="250" spans="1:12" x14ac:dyDescent="0.25">
      <c r="A250" s="300"/>
      <c r="B250" s="301"/>
      <c r="C250" s="33" t="s">
        <v>34</v>
      </c>
      <c r="D250" s="34">
        <f>D167+D147+D124+D100+D65+D36</f>
        <v>1036000</v>
      </c>
      <c r="E250" s="34">
        <f>E167+E147+E124+E100+E65+E36</f>
        <v>988000</v>
      </c>
      <c r="F250" s="34">
        <f t="shared" ref="F250:K250" si="97">F167+F147+F124+F100+F65+F36</f>
        <v>0</v>
      </c>
      <c r="G250" s="34">
        <f t="shared" si="97"/>
        <v>0</v>
      </c>
      <c r="H250" s="34">
        <f t="shared" si="97"/>
        <v>0</v>
      </c>
      <c r="I250" s="34">
        <f t="shared" si="97"/>
        <v>0</v>
      </c>
      <c r="J250" s="34">
        <f t="shared" si="97"/>
        <v>988000</v>
      </c>
      <c r="K250" s="34">
        <f t="shared" si="97"/>
        <v>153976</v>
      </c>
    </row>
    <row r="251" spans="1:12" x14ac:dyDescent="0.25">
      <c r="A251" s="300"/>
      <c r="B251" s="301"/>
      <c r="C251" s="33" t="s">
        <v>35</v>
      </c>
      <c r="D251" s="34">
        <f>D208+D168+D101+D66+D37</f>
        <v>610000</v>
      </c>
      <c r="E251" s="34">
        <f>E208+E168+E101+E66+E37</f>
        <v>617000</v>
      </c>
      <c r="F251" s="34">
        <f t="shared" ref="F251:K251" si="98">F208+F168+F101+F66+F37</f>
        <v>0</v>
      </c>
      <c r="G251" s="34">
        <f t="shared" si="98"/>
        <v>0</v>
      </c>
      <c r="H251" s="34">
        <f t="shared" si="98"/>
        <v>0</v>
      </c>
      <c r="I251" s="34">
        <f t="shared" si="98"/>
        <v>0</v>
      </c>
      <c r="J251" s="34">
        <f t="shared" si="98"/>
        <v>617000</v>
      </c>
      <c r="K251" s="34">
        <f t="shared" si="98"/>
        <v>151402</v>
      </c>
    </row>
    <row r="252" spans="1:12" x14ac:dyDescent="0.25">
      <c r="A252" s="300"/>
      <c r="B252" s="301"/>
      <c r="C252" s="33" t="s">
        <v>36</v>
      </c>
      <c r="D252" s="34">
        <f>D102+D67+D38</f>
        <v>1739080</v>
      </c>
      <c r="E252" s="34">
        <f>E102+E67+E38</f>
        <v>1739080</v>
      </c>
      <c r="F252" s="34">
        <f t="shared" ref="F252:K252" si="99">F102+F67+F38</f>
        <v>-900</v>
      </c>
      <c r="G252" s="34">
        <f t="shared" si="99"/>
        <v>0</v>
      </c>
      <c r="H252" s="34">
        <f t="shared" si="99"/>
        <v>0</v>
      </c>
      <c r="I252" s="34">
        <f t="shared" si="99"/>
        <v>0</v>
      </c>
      <c r="J252" s="34">
        <f t="shared" si="99"/>
        <v>1738180</v>
      </c>
      <c r="K252" s="34">
        <f t="shared" si="99"/>
        <v>1151271</v>
      </c>
    </row>
    <row r="253" spans="1:12" x14ac:dyDescent="0.25">
      <c r="A253" s="300"/>
      <c r="B253" s="301"/>
      <c r="C253" s="73" t="s">
        <v>37</v>
      </c>
      <c r="D253" s="61">
        <f>D185+D68+D39</f>
        <v>356000</v>
      </c>
      <c r="E253" s="61">
        <f>E185+E68+E39</f>
        <v>356000</v>
      </c>
      <c r="F253" s="61">
        <f t="shared" ref="F253:J253" si="100">F185+F68+F39</f>
        <v>0</v>
      </c>
      <c r="G253" s="61">
        <f t="shared" si="100"/>
        <v>0</v>
      </c>
      <c r="H253" s="61">
        <f t="shared" si="100"/>
        <v>0</v>
      </c>
      <c r="I253" s="61">
        <f t="shared" si="100"/>
        <v>0</v>
      </c>
      <c r="J253" s="61">
        <f t="shared" si="100"/>
        <v>356000</v>
      </c>
      <c r="K253" s="61">
        <f>K185+K68+K39</f>
        <v>0</v>
      </c>
      <c r="L253" s="74"/>
    </row>
    <row r="254" spans="1:12" x14ac:dyDescent="0.25">
      <c r="A254" s="300"/>
      <c r="B254" s="301"/>
      <c r="C254" s="33" t="s">
        <v>38</v>
      </c>
      <c r="D254" s="34">
        <f>D169+D148+D125+D103+D69+D40+D209</f>
        <v>1394000</v>
      </c>
      <c r="E254" s="34">
        <f>E169+E148+E125+E103+E69+E40+E209</f>
        <v>1394000</v>
      </c>
      <c r="F254" s="34">
        <f t="shared" ref="F254:K254" si="101">F169+F148+F125+F103+F69+F40+F209</f>
        <v>-9820</v>
      </c>
      <c r="G254" s="34">
        <f t="shared" si="101"/>
        <v>0</v>
      </c>
      <c r="H254" s="34">
        <f t="shared" si="101"/>
        <v>0</v>
      </c>
      <c r="I254" s="34">
        <f t="shared" si="101"/>
        <v>0</v>
      </c>
      <c r="J254" s="61">
        <f t="shared" si="101"/>
        <v>1384180</v>
      </c>
      <c r="K254" s="34">
        <f t="shared" si="101"/>
        <v>374868</v>
      </c>
    </row>
    <row r="255" spans="1:12" x14ac:dyDescent="0.25">
      <c r="A255" s="300"/>
      <c r="B255" s="301"/>
      <c r="C255" s="33" t="s">
        <v>39</v>
      </c>
      <c r="D255" s="34">
        <f>D41</f>
        <v>13200</v>
      </c>
      <c r="E255" s="34">
        <f>E41</f>
        <v>16540</v>
      </c>
      <c r="F255" s="34">
        <f t="shared" ref="F255:K255" si="102">F41</f>
        <v>5386</v>
      </c>
      <c r="G255" s="34">
        <f t="shared" si="102"/>
        <v>0</v>
      </c>
      <c r="H255" s="34">
        <f t="shared" si="102"/>
        <v>0</v>
      </c>
      <c r="I255" s="34">
        <f t="shared" si="102"/>
        <v>10000</v>
      </c>
      <c r="J255" s="61">
        <f t="shared" si="102"/>
        <v>31926</v>
      </c>
      <c r="K255" s="34">
        <f t="shared" si="102"/>
        <v>21926</v>
      </c>
    </row>
    <row r="256" spans="1:12" x14ac:dyDescent="0.25">
      <c r="A256" s="300"/>
      <c r="B256" s="301"/>
      <c r="C256" s="36" t="s">
        <v>40</v>
      </c>
      <c r="D256" s="34">
        <f t="shared" ref="D256:K256" si="103">D186+D170+D149+D126+D104+D70+D42</f>
        <v>16415104</v>
      </c>
      <c r="E256" s="34">
        <f t="shared" si="103"/>
        <v>16415104</v>
      </c>
      <c r="F256" s="34">
        <f t="shared" si="103"/>
        <v>-61400</v>
      </c>
      <c r="G256" s="34">
        <f t="shared" si="103"/>
        <v>0</v>
      </c>
      <c r="H256" s="34">
        <f t="shared" si="103"/>
        <v>0</v>
      </c>
      <c r="I256" s="34">
        <f t="shared" si="103"/>
        <v>0</v>
      </c>
      <c r="J256" s="61">
        <f t="shared" si="103"/>
        <v>16353704</v>
      </c>
      <c r="K256" s="34">
        <f t="shared" si="103"/>
        <v>561844</v>
      </c>
    </row>
    <row r="257" spans="1:11" x14ac:dyDescent="0.25">
      <c r="A257" s="300"/>
      <c r="B257" s="301"/>
      <c r="C257" s="33" t="s">
        <v>41</v>
      </c>
      <c r="D257" s="34">
        <f>D187+D171+D150+D127+D105+D71+D43+D210</f>
        <v>26876743</v>
      </c>
      <c r="E257" s="34">
        <f t="shared" ref="E257:K257" si="104">E187+E171+E150+E127+E105+E71+E43+E210</f>
        <v>8158686</v>
      </c>
      <c r="F257" s="34">
        <f t="shared" si="104"/>
        <v>6301133</v>
      </c>
      <c r="G257" s="34">
        <f t="shared" si="104"/>
        <v>0</v>
      </c>
      <c r="H257" s="34">
        <f t="shared" si="104"/>
        <v>0</v>
      </c>
      <c r="I257" s="34">
        <f t="shared" si="104"/>
        <v>0</v>
      </c>
      <c r="J257" s="61">
        <f>J187+J171+J150+J127+J105+J71+J43+J210</f>
        <v>14459819</v>
      </c>
      <c r="K257" s="34">
        <f t="shared" si="104"/>
        <v>6590265</v>
      </c>
    </row>
    <row r="258" spans="1:11" x14ac:dyDescent="0.25">
      <c r="A258" s="300"/>
      <c r="B258" s="301"/>
      <c r="C258" s="35" t="s">
        <v>42</v>
      </c>
      <c r="D258" s="34">
        <f>D211+D188+D172+D151+D128+D106+D72+D44</f>
        <v>2852000</v>
      </c>
      <c r="E258" s="34">
        <f>E211+E188+E172+E151+E128+E106+E72+E44</f>
        <v>2852000</v>
      </c>
      <c r="F258" s="34">
        <f t="shared" ref="F258:K258" si="105">F211+F188+F172+F151+F128+F106+F72+F44</f>
        <v>37440</v>
      </c>
      <c r="G258" s="34">
        <f t="shared" si="105"/>
        <v>0</v>
      </c>
      <c r="H258" s="34">
        <f t="shared" si="105"/>
        <v>0</v>
      </c>
      <c r="I258" s="34">
        <f t="shared" si="105"/>
        <v>0</v>
      </c>
      <c r="J258" s="34">
        <f t="shared" si="105"/>
        <v>2889440</v>
      </c>
      <c r="K258" s="34">
        <f t="shared" si="105"/>
        <v>1092548</v>
      </c>
    </row>
    <row r="259" spans="1:11" x14ac:dyDescent="0.25">
      <c r="A259" s="300"/>
      <c r="B259" s="301"/>
      <c r="C259" s="35" t="s">
        <v>43</v>
      </c>
      <c r="D259" s="34">
        <f>D45+D73+D189</f>
        <v>290000</v>
      </c>
      <c r="E259" s="34">
        <f>E45+E73+E189</f>
        <v>290000</v>
      </c>
      <c r="F259" s="34">
        <f t="shared" ref="F259:K259" si="106">F45+F73+F189</f>
        <v>0</v>
      </c>
      <c r="G259" s="34">
        <f t="shared" si="106"/>
        <v>0</v>
      </c>
      <c r="H259" s="34">
        <f t="shared" si="106"/>
        <v>0</v>
      </c>
      <c r="I259" s="34">
        <f t="shared" si="106"/>
        <v>0</v>
      </c>
      <c r="J259" s="34">
        <f t="shared" si="106"/>
        <v>290000</v>
      </c>
      <c r="K259" s="34">
        <f t="shared" si="106"/>
        <v>0</v>
      </c>
    </row>
    <row r="260" spans="1:11" x14ac:dyDescent="0.25">
      <c r="A260" s="300"/>
      <c r="B260" s="301"/>
      <c r="C260" s="33" t="s">
        <v>44</v>
      </c>
      <c r="D260" s="34">
        <f>D212+D190+D173+D152+D129+D107+D74+D46</f>
        <v>7754652</v>
      </c>
      <c r="E260" s="34">
        <f>E212+E190+E173+E152+E129+E107+E74+E46</f>
        <v>5335441</v>
      </c>
      <c r="F260" s="34">
        <f t="shared" ref="F260:K260" si="107">F212+F190+F173+F152+F129+F107+F74+F46</f>
        <v>-19348</v>
      </c>
      <c r="G260" s="34">
        <f t="shared" si="107"/>
        <v>0</v>
      </c>
      <c r="H260" s="34">
        <f t="shared" si="107"/>
        <v>0</v>
      </c>
      <c r="I260" s="34">
        <f t="shared" si="107"/>
        <v>0</v>
      </c>
      <c r="J260" s="34">
        <f t="shared" si="107"/>
        <v>5316093</v>
      </c>
      <c r="K260" s="34">
        <f t="shared" si="107"/>
        <v>1950219</v>
      </c>
    </row>
    <row r="261" spans="1:11" x14ac:dyDescent="0.25">
      <c r="A261" s="300"/>
      <c r="B261" s="301"/>
      <c r="C261" s="37" t="s">
        <v>45</v>
      </c>
      <c r="D261" s="34">
        <f>D213+D191+D75+D47</f>
        <v>743011</v>
      </c>
      <c r="E261" s="34">
        <f>E213+E191+E75+E47</f>
        <v>743011</v>
      </c>
      <c r="F261" s="34">
        <f t="shared" ref="F261:K261" si="108">F213+F191+F75+F47</f>
        <v>0</v>
      </c>
      <c r="G261" s="34">
        <f t="shared" si="108"/>
        <v>0</v>
      </c>
      <c r="H261" s="34">
        <f t="shared" si="108"/>
        <v>0</v>
      </c>
      <c r="I261" s="34">
        <f t="shared" si="108"/>
        <v>0</v>
      </c>
      <c r="J261" s="34">
        <f t="shared" si="108"/>
        <v>743011</v>
      </c>
      <c r="K261" s="34">
        <f t="shared" si="108"/>
        <v>259112</v>
      </c>
    </row>
    <row r="262" spans="1:11" x14ac:dyDescent="0.25">
      <c r="A262" s="300"/>
      <c r="B262" s="301"/>
      <c r="C262" s="65" t="s">
        <v>49</v>
      </c>
      <c r="D262" s="66">
        <f>D214+D192+D174+D153+D130+D108+D76+D48</f>
        <v>62319790</v>
      </c>
      <c r="E262" s="66">
        <f>E214+E192+E174+E153+E130+E108+E76+E48</f>
        <v>41331790</v>
      </c>
      <c r="F262" s="66">
        <f t="shared" ref="F262:K262" si="109">F214+F192+F174+F153+F130+F108+F76+F48</f>
        <v>6225450</v>
      </c>
      <c r="G262" s="66">
        <f t="shared" si="109"/>
        <v>0</v>
      </c>
      <c r="H262" s="66">
        <f t="shared" si="109"/>
        <v>0</v>
      </c>
      <c r="I262" s="66">
        <f t="shared" si="109"/>
        <v>20000</v>
      </c>
      <c r="J262" s="66">
        <f t="shared" si="109"/>
        <v>47577240</v>
      </c>
      <c r="K262" s="66">
        <f t="shared" si="109"/>
        <v>12664149</v>
      </c>
    </row>
    <row r="263" spans="1:11" x14ac:dyDescent="0.25">
      <c r="A263" s="300"/>
      <c r="B263" s="301"/>
      <c r="C263" s="65" t="s">
        <v>100</v>
      </c>
      <c r="D263" s="66">
        <f>D197</f>
        <v>0</v>
      </c>
      <c r="E263" s="66">
        <f t="shared" ref="E263:K263" si="110">E197</f>
        <v>10500000</v>
      </c>
      <c r="F263" s="66">
        <f t="shared" si="110"/>
        <v>0</v>
      </c>
      <c r="G263" s="66">
        <f t="shared" si="110"/>
        <v>0</v>
      </c>
      <c r="H263" s="66">
        <f t="shared" si="110"/>
        <v>0</v>
      </c>
      <c r="I263" s="66">
        <f t="shared" si="110"/>
        <v>0</v>
      </c>
      <c r="J263" s="66">
        <f t="shared" si="110"/>
        <v>10500000</v>
      </c>
      <c r="K263" s="66">
        <f t="shared" si="110"/>
        <v>10500000</v>
      </c>
    </row>
    <row r="264" spans="1:11" x14ac:dyDescent="0.25">
      <c r="A264" s="300"/>
      <c r="B264" s="301"/>
      <c r="C264" s="38" t="s">
        <v>50</v>
      </c>
      <c r="D264" s="34">
        <f t="shared" ref="D264:K266" si="111">D194+D77+D49</f>
        <v>161220</v>
      </c>
      <c r="E264" s="34">
        <f t="shared" si="111"/>
        <v>161220</v>
      </c>
      <c r="F264" s="34">
        <f t="shared" si="111"/>
        <v>0</v>
      </c>
      <c r="G264" s="34">
        <f t="shared" si="111"/>
        <v>0</v>
      </c>
      <c r="H264" s="34">
        <f t="shared" si="111"/>
        <v>0</v>
      </c>
      <c r="I264" s="34">
        <f t="shared" si="111"/>
        <v>0</v>
      </c>
      <c r="J264" s="34">
        <f t="shared" si="111"/>
        <v>161220</v>
      </c>
      <c r="K264" s="34">
        <f t="shared" si="111"/>
        <v>0</v>
      </c>
    </row>
    <row r="265" spans="1:11" x14ac:dyDescent="0.25">
      <c r="A265" s="300"/>
      <c r="B265" s="301"/>
      <c r="C265" s="37" t="s">
        <v>51</v>
      </c>
      <c r="D265" s="34">
        <f t="shared" si="111"/>
        <v>43530</v>
      </c>
      <c r="E265" s="34">
        <f t="shared" si="111"/>
        <v>43530</v>
      </c>
      <c r="F265" s="34">
        <f t="shared" si="111"/>
        <v>0</v>
      </c>
      <c r="G265" s="34">
        <f t="shared" si="111"/>
        <v>0</v>
      </c>
      <c r="H265" s="34">
        <f t="shared" si="111"/>
        <v>0</v>
      </c>
      <c r="I265" s="34">
        <f t="shared" si="111"/>
        <v>0</v>
      </c>
      <c r="J265" s="34">
        <f t="shared" si="111"/>
        <v>43530</v>
      </c>
      <c r="K265" s="34">
        <f t="shared" si="111"/>
        <v>0</v>
      </c>
    </row>
    <row r="266" spans="1:11" x14ac:dyDescent="0.25">
      <c r="A266" s="300"/>
      <c r="B266" s="301"/>
      <c r="C266" s="65" t="s">
        <v>52</v>
      </c>
      <c r="D266" s="68">
        <f t="shared" si="111"/>
        <v>204750</v>
      </c>
      <c r="E266" s="68">
        <f t="shared" si="111"/>
        <v>204750</v>
      </c>
      <c r="F266" s="68">
        <f t="shared" si="111"/>
        <v>0</v>
      </c>
      <c r="G266" s="68">
        <f t="shared" si="111"/>
        <v>0</v>
      </c>
      <c r="H266" s="68">
        <f t="shared" si="111"/>
        <v>0</v>
      </c>
      <c r="I266" s="68">
        <f t="shared" si="111"/>
        <v>0</v>
      </c>
      <c r="J266" s="68">
        <f t="shared" si="111"/>
        <v>204750</v>
      </c>
      <c r="K266" s="66">
        <f t="shared" si="111"/>
        <v>0</v>
      </c>
    </row>
    <row r="267" spans="1:11" x14ac:dyDescent="0.25">
      <c r="A267" s="302"/>
      <c r="B267" s="303"/>
      <c r="C267" s="69" t="s">
        <v>88</v>
      </c>
      <c r="D267" s="70">
        <f>D218</f>
        <v>230443641</v>
      </c>
      <c r="E267" s="70">
        <f>E218</f>
        <v>230521849</v>
      </c>
      <c r="F267" s="70">
        <f t="shared" ref="F267:K267" si="112">F218</f>
        <v>0</v>
      </c>
      <c r="G267" s="70">
        <f t="shared" si="112"/>
        <v>1233067</v>
      </c>
      <c r="H267" s="70">
        <f t="shared" si="112"/>
        <v>0</v>
      </c>
      <c r="I267" s="70">
        <f t="shared" si="112"/>
        <v>20000</v>
      </c>
      <c r="J267" s="70">
        <f t="shared" si="112"/>
        <v>231774916</v>
      </c>
      <c r="K267" s="70">
        <f t="shared" si="112"/>
        <v>129753488</v>
      </c>
    </row>
    <row r="268" spans="1:11" x14ac:dyDescent="0.25">
      <c r="B268" s="5"/>
      <c r="E268" s="4"/>
      <c r="F268" s="4"/>
      <c r="G268" s="4"/>
      <c r="H268" s="4"/>
      <c r="I268" s="4"/>
      <c r="J268" s="4"/>
      <c r="K268" s="111"/>
    </row>
    <row r="269" spans="1:11" x14ac:dyDescent="0.25">
      <c r="B269" s="5"/>
      <c r="E269" s="4"/>
      <c r="F269" s="4"/>
      <c r="G269" s="4"/>
      <c r="H269" s="4"/>
      <c r="I269" s="4"/>
      <c r="J269" s="4"/>
      <c r="K269" s="111"/>
    </row>
    <row r="270" spans="1:11" x14ac:dyDescent="0.25">
      <c r="A270" s="140" t="s">
        <v>125</v>
      </c>
      <c r="B270" s="140"/>
      <c r="C270" s="140"/>
      <c r="D270" s="140"/>
      <c r="E270" s="140"/>
      <c r="F270" s="140"/>
      <c r="K270"/>
    </row>
    <row r="271" spans="1:11" x14ac:dyDescent="0.25">
      <c r="A271" s="141"/>
      <c r="B271" s="141"/>
      <c r="C271" s="141"/>
      <c r="D271" s="142"/>
      <c r="E271" s="142"/>
      <c r="F271" s="143"/>
      <c r="K271"/>
    </row>
    <row r="272" spans="1:11" x14ac:dyDescent="0.25">
      <c r="A272" s="140" t="s">
        <v>126</v>
      </c>
      <c r="B272" s="140"/>
      <c r="C272" s="140"/>
      <c r="D272" s="140"/>
      <c r="E272" s="144"/>
      <c r="F272" s="143">
        <v>0</v>
      </c>
      <c r="K272"/>
    </row>
    <row r="273" spans="1:11" x14ac:dyDescent="0.25">
      <c r="A273" s="140" t="s">
        <v>127</v>
      </c>
      <c r="B273" s="140"/>
      <c r="C273" s="140"/>
      <c r="D273" s="140"/>
      <c r="E273" s="144"/>
      <c r="F273" s="143">
        <f>SUM(G7)</f>
        <v>3344000</v>
      </c>
      <c r="K273"/>
    </row>
    <row r="274" spans="1:11" x14ac:dyDescent="0.25">
      <c r="A274" s="140" t="s">
        <v>128</v>
      </c>
      <c r="B274" s="140"/>
      <c r="C274" s="140"/>
      <c r="D274" s="140"/>
      <c r="E274" s="144"/>
      <c r="F274" s="143">
        <f>SUM(G5)</f>
        <v>-2110933</v>
      </c>
      <c r="K274"/>
    </row>
    <row r="275" spans="1:11" x14ac:dyDescent="0.25">
      <c r="A275" s="361" t="s">
        <v>129</v>
      </c>
      <c r="B275" s="361"/>
      <c r="C275" s="361"/>
      <c r="D275" s="361"/>
      <c r="E275" s="144"/>
      <c r="F275" s="143">
        <v>0</v>
      </c>
      <c r="K275"/>
    </row>
    <row r="276" spans="1:11" x14ac:dyDescent="0.25">
      <c r="A276" s="361" t="s">
        <v>130</v>
      </c>
      <c r="B276" s="361"/>
      <c r="C276" s="361"/>
      <c r="D276" s="361"/>
      <c r="E276" s="144"/>
      <c r="F276" s="143">
        <f>SUM(H22)</f>
        <v>0</v>
      </c>
      <c r="K276"/>
    </row>
    <row r="277" spans="1:11" x14ac:dyDescent="0.25">
      <c r="A277" s="140" t="s">
        <v>131</v>
      </c>
      <c r="B277" s="140"/>
      <c r="C277" s="140"/>
      <c r="D277" s="140"/>
      <c r="E277" s="144"/>
      <c r="F277" s="143">
        <v>0</v>
      </c>
      <c r="K277"/>
    </row>
    <row r="278" spans="1:11" x14ac:dyDescent="0.25">
      <c r="A278" s="144" t="s">
        <v>132</v>
      </c>
      <c r="B278" s="144"/>
      <c r="C278" s="144"/>
      <c r="D278" s="144"/>
      <c r="E278" s="144"/>
      <c r="F278" s="143">
        <v>0</v>
      </c>
      <c r="K278"/>
    </row>
    <row r="279" spans="1:11" x14ac:dyDescent="0.25">
      <c r="A279" s="361" t="s">
        <v>133</v>
      </c>
      <c r="B279" s="361"/>
      <c r="C279" s="361"/>
      <c r="D279" s="361"/>
      <c r="E279" s="144"/>
      <c r="F279" s="143">
        <f>SUM(I9,I11,I13)</f>
        <v>20000</v>
      </c>
      <c r="K279"/>
    </row>
    <row r="280" spans="1:11" x14ac:dyDescent="0.25">
      <c r="A280" s="145" t="s">
        <v>134</v>
      </c>
      <c r="B280" s="145"/>
      <c r="C280" s="145"/>
      <c r="D280" s="145"/>
      <c r="E280" s="145"/>
      <c r="F280" s="146">
        <v>0</v>
      </c>
      <c r="K280"/>
    </row>
    <row r="281" spans="1:11" x14ac:dyDescent="0.25">
      <c r="A281" s="361" t="s">
        <v>135</v>
      </c>
      <c r="B281" s="361"/>
      <c r="C281" s="361"/>
      <c r="D281" s="361"/>
      <c r="E281" s="144"/>
      <c r="F281" s="143">
        <f>SUM(F272:F280)</f>
        <v>1253067</v>
      </c>
      <c r="K281"/>
    </row>
    <row r="282" spans="1:11" x14ac:dyDescent="0.25">
      <c r="A282" s="362"/>
      <c r="B282" s="362"/>
      <c r="C282" s="362"/>
      <c r="D282" s="362"/>
      <c r="E282" s="362"/>
      <c r="F282" s="362"/>
      <c r="K282"/>
    </row>
    <row r="283" spans="1:11" x14ac:dyDescent="0.25">
      <c r="A283" s="362"/>
      <c r="B283" s="362"/>
      <c r="C283" s="362"/>
      <c r="D283" s="362"/>
      <c r="E283" s="362"/>
      <c r="F283" s="362"/>
      <c r="K283"/>
    </row>
    <row r="284" spans="1:11" x14ac:dyDescent="0.25">
      <c r="A284" s="362"/>
      <c r="B284" s="362"/>
      <c r="C284" s="362"/>
      <c r="D284" s="362"/>
      <c r="E284" s="362"/>
      <c r="F284" s="362"/>
      <c r="K284"/>
    </row>
    <row r="285" spans="1:11" x14ac:dyDescent="0.25">
      <c r="A285" s="361" t="s">
        <v>136</v>
      </c>
      <c r="B285" s="361"/>
      <c r="C285" s="361"/>
      <c r="D285" s="361"/>
      <c r="E285" s="361"/>
      <c r="F285" s="361"/>
      <c r="K285"/>
    </row>
    <row r="286" spans="1:11" x14ac:dyDescent="0.25">
      <c r="A286" s="362"/>
      <c r="B286" s="362"/>
      <c r="C286" s="362"/>
      <c r="D286" s="362"/>
      <c r="E286" s="362"/>
      <c r="F286" s="362"/>
      <c r="K286"/>
    </row>
    <row r="287" spans="1:11" x14ac:dyDescent="0.25">
      <c r="A287" s="361" t="s">
        <v>137</v>
      </c>
      <c r="B287" s="361"/>
      <c r="C287" s="361"/>
      <c r="D287" s="361"/>
      <c r="E287" s="144"/>
      <c r="F287" s="143">
        <v>0</v>
      </c>
      <c r="K287"/>
    </row>
    <row r="288" spans="1:11" x14ac:dyDescent="0.25">
      <c r="A288" s="144" t="s">
        <v>138</v>
      </c>
      <c r="B288" s="144"/>
      <c r="C288" s="144"/>
      <c r="D288" s="144"/>
      <c r="E288" s="144"/>
      <c r="F288" s="143">
        <v>0</v>
      </c>
      <c r="K288"/>
    </row>
    <row r="289" spans="1:11" x14ac:dyDescent="0.25">
      <c r="A289" s="361" t="s">
        <v>139</v>
      </c>
      <c r="B289" s="361"/>
      <c r="C289" s="361"/>
      <c r="D289" s="361"/>
      <c r="E289" s="144"/>
      <c r="F289" s="143">
        <f>SUM(G89,G114,G136,G157)</f>
        <v>1031856</v>
      </c>
      <c r="K289"/>
    </row>
    <row r="290" spans="1:11" x14ac:dyDescent="0.25">
      <c r="A290" s="361" t="s">
        <v>140</v>
      </c>
      <c r="B290" s="361"/>
      <c r="C290" s="361"/>
      <c r="D290" s="361"/>
      <c r="E290" s="144"/>
      <c r="F290" s="143">
        <f>SUM(G97,G121,G144,G164)</f>
        <v>201211</v>
      </c>
      <c r="K290"/>
    </row>
    <row r="291" spans="1:11" x14ac:dyDescent="0.25">
      <c r="A291" s="361" t="s">
        <v>141</v>
      </c>
      <c r="B291" s="361"/>
      <c r="C291" s="361"/>
      <c r="D291" s="361"/>
      <c r="E291" s="144"/>
      <c r="F291" s="143">
        <f>SUM(I34,I41,I63,H187)</f>
        <v>20000</v>
      </c>
      <c r="K291"/>
    </row>
    <row r="292" spans="1:11" x14ac:dyDescent="0.25">
      <c r="A292" s="144" t="s">
        <v>142</v>
      </c>
      <c r="B292" s="144"/>
      <c r="C292" s="144"/>
      <c r="D292" s="144"/>
      <c r="E292" s="144"/>
      <c r="F292" s="143">
        <v>0</v>
      </c>
      <c r="K292"/>
    </row>
    <row r="293" spans="1:11" x14ac:dyDescent="0.25">
      <c r="A293" s="144" t="s">
        <v>143</v>
      </c>
      <c r="B293" s="144"/>
      <c r="C293" s="144"/>
      <c r="D293" s="144"/>
      <c r="E293" s="144"/>
      <c r="F293" s="143">
        <v>0</v>
      </c>
      <c r="K293"/>
    </row>
    <row r="294" spans="1:11" x14ac:dyDescent="0.25">
      <c r="A294" s="147" t="s">
        <v>144</v>
      </c>
      <c r="B294" s="147"/>
      <c r="C294" s="147"/>
      <c r="D294" s="148"/>
      <c r="E294" s="148"/>
      <c r="F294" s="149">
        <v>0</v>
      </c>
      <c r="K294"/>
    </row>
    <row r="295" spans="1:11" x14ac:dyDescent="0.25">
      <c r="A295" s="364" t="s">
        <v>135</v>
      </c>
      <c r="B295" s="364"/>
      <c r="C295" s="364"/>
      <c r="D295" s="364"/>
      <c r="E295" s="144"/>
      <c r="F295" s="143">
        <f>SUM(F287:F294)</f>
        <v>1253067</v>
      </c>
      <c r="K295"/>
    </row>
    <row r="296" spans="1:11" ht="33.75" customHeight="1" x14ac:dyDescent="0.25">
      <c r="A296" s="144"/>
      <c r="B296" s="140"/>
      <c r="C296" s="150"/>
      <c r="D296" s="142"/>
      <c r="E296" s="142"/>
      <c r="F296" s="143"/>
      <c r="K296"/>
    </row>
    <row r="297" spans="1:11" x14ac:dyDescent="0.25">
      <c r="A297" s="361" t="s">
        <v>145</v>
      </c>
      <c r="B297" s="361"/>
      <c r="C297" s="361"/>
      <c r="D297" s="361"/>
      <c r="E297" s="361"/>
      <c r="F297" s="361"/>
      <c r="K297"/>
    </row>
    <row r="298" spans="1:11" x14ac:dyDescent="0.25">
      <c r="A298" s="141"/>
      <c r="B298" s="141"/>
      <c r="C298" s="141"/>
      <c r="D298" s="142"/>
      <c r="E298" s="142"/>
      <c r="F298" s="143"/>
      <c r="K298"/>
    </row>
    <row r="299" spans="1:11" x14ac:dyDescent="0.25">
      <c r="A299" s="140" t="s">
        <v>126</v>
      </c>
      <c r="B299" s="140"/>
      <c r="C299" s="140"/>
      <c r="D299" s="140"/>
      <c r="E299" s="144"/>
      <c r="F299" s="143">
        <v>0</v>
      </c>
      <c r="K299"/>
    </row>
    <row r="300" spans="1:11" x14ac:dyDescent="0.25">
      <c r="A300" s="361" t="s">
        <v>127</v>
      </c>
      <c r="B300" s="361"/>
      <c r="C300" s="361"/>
      <c r="D300" s="361"/>
      <c r="E300" s="144"/>
      <c r="F300" s="143">
        <v>0</v>
      </c>
      <c r="K300"/>
    </row>
    <row r="301" spans="1:11" x14ac:dyDescent="0.25">
      <c r="A301" s="140" t="s">
        <v>128</v>
      </c>
      <c r="B301" s="144"/>
      <c r="C301" s="144"/>
      <c r="D301" s="144"/>
      <c r="E301" s="144"/>
      <c r="F301" s="143">
        <v>0</v>
      </c>
      <c r="K301"/>
    </row>
    <row r="302" spans="1:11" x14ac:dyDescent="0.25">
      <c r="A302" s="361" t="s">
        <v>129</v>
      </c>
      <c r="B302" s="361"/>
      <c r="C302" s="361"/>
      <c r="D302" s="361"/>
      <c r="E302" s="144"/>
      <c r="F302" s="143">
        <v>0</v>
      </c>
      <c r="K302"/>
    </row>
    <row r="303" spans="1:11" x14ac:dyDescent="0.25">
      <c r="A303" s="361" t="s">
        <v>146</v>
      </c>
      <c r="B303" s="361"/>
      <c r="C303" s="361"/>
      <c r="D303" s="361"/>
      <c r="E303" s="144"/>
      <c r="F303" s="143">
        <v>0</v>
      </c>
      <c r="K303"/>
    </row>
    <row r="304" spans="1:11" x14ac:dyDescent="0.25">
      <c r="A304" s="140" t="s">
        <v>147</v>
      </c>
      <c r="B304" s="140"/>
      <c r="C304" s="140"/>
      <c r="D304" s="140"/>
      <c r="E304" s="144"/>
      <c r="F304" s="143">
        <v>0</v>
      </c>
      <c r="K304"/>
    </row>
    <row r="305" spans="1:11" x14ac:dyDescent="0.25">
      <c r="A305" s="144" t="s">
        <v>132</v>
      </c>
      <c r="B305" s="144"/>
      <c r="C305" s="144"/>
      <c r="D305" s="144"/>
      <c r="E305" s="144"/>
      <c r="F305" s="143">
        <v>0</v>
      </c>
      <c r="K305"/>
    </row>
    <row r="306" spans="1:11" x14ac:dyDescent="0.25">
      <c r="A306" s="363" t="s">
        <v>133</v>
      </c>
      <c r="B306" s="363"/>
      <c r="C306" s="363"/>
      <c r="D306" s="363"/>
      <c r="E306" s="145"/>
      <c r="F306" s="146">
        <f>SUM(F9:F12)</f>
        <v>0</v>
      </c>
      <c r="K306"/>
    </row>
    <row r="307" spans="1:11" x14ac:dyDescent="0.25">
      <c r="A307" s="364" t="s">
        <v>135</v>
      </c>
      <c r="B307" s="364"/>
      <c r="C307" s="364"/>
      <c r="D307" s="364"/>
      <c r="E307" s="144"/>
      <c r="F307" s="143">
        <f>SUM(F299:F306)</f>
        <v>0</v>
      </c>
      <c r="K307"/>
    </row>
    <row r="308" spans="1:11" x14ac:dyDescent="0.25">
      <c r="A308" s="362"/>
      <c r="B308" s="362"/>
      <c r="C308" s="362"/>
      <c r="D308" s="362"/>
      <c r="E308" s="362"/>
      <c r="F308" s="362"/>
      <c r="K308"/>
    </row>
    <row r="309" spans="1:11" x14ac:dyDescent="0.25">
      <c r="A309" s="362"/>
      <c r="B309" s="362"/>
      <c r="C309" s="362"/>
      <c r="D309" s="362"/>
      <c r="E309" s="362"/>
      <c r="F309" s="362"/>
      <c r="K309"/>
    </row>
    <row r="310" spans="1:11" x14ac:dyDescent="0.25">
      <c r="A310" s="362"/>
      <c r="B310" s="362"/>
      <c r="C310" s="362"/>
      <c r="D310" s="362"/>
      <c r="E310" s="362"/>
      <c r="F310" s="362"/>
      <c r="K310"/>
    </row>
    <row r="311" spans="1:11" x14ac:dyDescent="0.25">
      <c r="A311" s="361" t="s">
        <v>148</v>
      </c>
      <c r="B311" s="361"/>
      <c r="C311" s="361"/>
      <c r="D311" s="361"/>
      <c r="E311" s="361"/>
      <c r="F311" s="361"/>
      <c r="K311"/>
    </row>
    <row r="312" spans="1:11" x14ac:dyDescent="0.25">
      <c r="A312" s="362"/>
      <c r="B312" s="362"/>
      <c r="C312" s="362"/>
      <c r="D312" s="362"/>
      <c r="E312" s="362"/>
      <c r="F312" s="362"/>
      <c r="K312"/>
    </row>
    <row r="313" spans="1:11" x14ac:dyDescent="0.25">
      <c r="A313" s="361" t="s">
        <v>137</v>
      </c>
      <c r="B313" s="361"/>
      <c r="C313" s="361"/>
      <c r="D313" s="361"/>
      <c r="E313" s="144"/>
      <c r="F313" s="143">
        <v>0</v>
      </c>
      <c r="K313"/>
    </row>
    <row r="314" spans="1:11" x14ac:dyDescent="0.25">
      <c r="A314" s="144" t="s">
        <v>138</v>
      </c>
      <c r="B314" s="144"/>
      <c r="C314" s="144"/>
      <c r="D314" s="144"/>
      <c r="E314" s="144"/>
      <c r="F314" s="143">
        <v>0</v>
      </c>
      <c r="K314"/>
    </row>
    <row r="315" spans="1:11" x14ac:dyDescent="0.25">
      <c r="A315" s="361" t="s">
        <v>139</v>
      </c>
      <c r="B315" s="361"/>
      <c r="C315" s="361"/>
      <c r="D315" s="361"/>
      <c r="E315" s="144"/>
      <c r="F315" s="143">
        <f>SUM(F32,F61,F96,F120,F143,F163,F182,F205)</f>
        <v>-10500000</v>
      </c>
      <c r="K315"/>
    </row>
    <row r="316" spans="1:11" x14ac:dyDescent="0.25">
      <c r="A316" s="361" t="s">
        <v>140</v>
      </c>
      <c r="B316" s="361"/>
      <c r="C316" s="361"/>
      <c r="D316" s="361"/>
      <c r="E316" s="144"/>
      <c r="F316" s="143">
        <f>SUM(F183)</f>
        <v>4274550</v>
      </c>
      <c r="K316"/>
    </row>
    <row r="317" spans="1:11" x14ac:dyDescent="0.25">
      <c r="A317" s="361" t="s">
        <v>141</v>
      </c>
      <c r="B317" s="361"/>
      <c r="C317" s="361"/>
      <c r="D317" s="361"/>
      <c r="E317" s="144"/>
      <c r="F317" s="143">
        <f>SUM(F48,F76,F108,F130,F153,F174,F192,F214)</f>
        <v>6225450</v>
      </c>
      <c r="K317"/>
    </row>
    <row r="318" spans="1:11" x14ac:dyDescent="0.25">
      <c r="A318" s="144" t="s">
        <v>149</v>
      </c>
      <c r="B318" s="144"/>
      <c r="C318" s="144"/>
      <c r="D318" s="144"/>
      <c r="E318" s="144"/>
      <c r="F318" s="143">
        <f>G195+G196</f>
        <v>0</v>
      </c>
      <c r="K318"/>
    </row>
    <row r="319" spans="1:11" x14ac:dyDescent="0.25">
      <c r="A319" s="144" t="s">
        <v>150</v>
      </c>
      <c r="B319" s="144"/>
      <c r="C319" s="144"/>
      <c r="D319" s="144"/>
      <c r="E319" s="144"/>
      <c r="F319" s="143">
        <f>G198+G200</f>
        <v>0</v>
      </c>
      <c r="K319"/>
    </row>
    <row r="320" spans="1:11" x14ac:dyDescent="0.25">
      <c r="A320" s="147" t="s">
        <v>144</v>
      </c>
      <c r="B320" s="147"/>
      <c r="C320" s="147"/>
      <c r="D320" s="148"/>
      <c r="E320" s="148"/>
      <c r="F320" s="149">
        <v>0</v>
      </c>
      <c r="K320"/>
    </row>
    <row r="321" spans="1:11" x14ac:dyDescent="0.25">
      <c r="A321" s="364" t="s">
        <v>135</v>
      </c>
      <c r="B321" s="364"/>
      <c r="C321" s="364"/>
      <c r="D321" s="364"/>
      <c r="E321" s="144"/>
      <c r="F321" s="143">
        <f>SUM(F313:F320)</f>
        <v>0</v>
      </c>
      <c r="K321"/>
    </row>
    <row r="322" spans="1:11" x14ac:dyDescent="0.25">
      <c r="A322" s="151"/>
      <c r="B322" s="152"/>
      <c r="C322" s="153"/>
      <c r="D322" s="154"/>
      <c r="E322" s="154"/>
      <c r="F322" s="155"/>
      <c r="K322"/>
    </row>
    <row r="323" spans="1:11" x14ac:dyDescent="0.25">
      <c r="A323" s="151"/>
      <c r="B323" s="152"/>
      <c r="C323" s="153"/>
      <c r="D323" s="154"/>
      <c r="E323" s="154"/>
      <c r="F323" s="155"/>
      <c r="K323"/>
    </row>
    <row r="324" spans="1:11" x14ac:dyDescent="0.25">
      <c r="A324" s="365" t="s">
        <v>151</v>
      </c>
      <c r="B324" s="365"/>
      <c r="C324" s="365"/>
      <c r="D324" s="365"/>
      <c r="E324" s="365"/>
      <c r="F324" s="365"/>
      <c r="K324"/>
    </row>
    <row r="325" spans="1:11" x14ac:dyDescent="0.25">
      <c r="A325" s="366"/>
      <c r="B325" s="366"/>
      <c r="C325" s="366"/>
      <c r="D325" s="366"/>
      <c r="E325" s="366"/>
      <c r="F325" s="366"/>
      <c r="K325"/>
    </row>
    <row r="326" spans="1:11" x14ac:dyDescent="0.25">
      <c r="A326" s="156"/>
      <c r="B326" s="156"/>
      <c r="C326" s="156"/>
      <c r="D326" s="157"/>
      <c r="E326" s="157"/>
      <c r="F326" s="158"/>
      <c r="K326"/>
    </row>
    <row r="327" spans="1:11" x14ac:dyDescent="0.25">
      <c r="A327" s="159" t="s">
        <v>126</v>
      </c>
      <c r="B327" s="160"/>
      <c r="C327" s="160"/>
      <c r="D327" s="160"/>
      <c r="E327" s="160"/>
      <c r="F327" s="158">
        <f>SUM(F272,F299)</f>
        <v>0</v>
      </c>
      <c r="K327"/>
    </row>
    <row r="328" spans="1:11" x14ac:dyDescent="0.25">
      <c r="A328" s="159" t="s">
        <v>127</v>
      </c>
      <c r="B328" s="160"/>
      <c r="C328" s="160"/>
      <c r="D328" s="160"/>
      <c r="E328" s="159"/>
      <c r="F328" s="158">
        <f>SUM(F273,F300)</f>
        <v>3344000</v>
      </c>
      <c r="K328"/>
    </row>
    <row r="329" spans="1:11" x14ac:dyDescent="0.25">
      <c r="A329" s="365" t="s">
        <v>152</v>
      </c>
      <c r="B329" s="365"/>
      <c r="C329" s="365"/>
      <c r="D329" s="365"/>
      <c r="E329" s="159"/>
      <c r="F329" s="158">
        <f>SUM(F274,F301)</f>
        <v>-2110933</v>
      </c>
      <c r="K329"/>
    </row>
    <row r="330" spans="1:11" x14ac:dyDescent="0.25">
      <c r="A330" s="365" t="s">
        <v>153</v>
      </c>
      <c r="B330" s="365"/>
      <c r="C330" s="365"/>
      <c r="D330" s="365"/>
      <c r="E330" s="159"/>
      <c r="F330" s="158">
        <f>F275+F302</f>
        <v>0</v>
      </c>
      <c r="K330"/>
    </row>
    <row r="331" spans="1:11" x14ac:dyDescent="0.25">
      <c r="A331" s="365" t="s">
        <v>154</v>
      </c>
      <c r="B331" s="365"/>
      <c r="C331" s="365"/>
      <c r="D331" s="365"/>
      <c r="E331" s="159"/>
      <c r="F331" s="158">
        <f>F276+F303</f>
        <v>0</v>
      </c>
      <c r="K331"/>
    </row>
    <row r="332" spans="1:11" x14ac:dyDescent="0.25">
      <c r="A332" s="160" t="s">
        <v>147</v>
      </c>
      <c r="B332" s="160"/>
      <c r="C332" s="160"/>
      <c r="D332" s="160"/>
      <c r="E332" s="159"/>
      <c r="F332" s="158">
        <f>SUM(F304,F277)</f>
        <v>0</v>
      </c>
      <c r="K332"/>
    </row>
    <row r="333" spans="1:11" x14ac:dyDescent="0.25">
      <c r="A333" s="159" t="s">
        <v>132</v>
      </c>
      <c r="B333" s="159"/>
      <c r="C333" s="159"/>
      <c r="D333" s="159"/>
      <c r="E333" s="159"/>
      <c r="F333" s="158">
        <f>F305+F278</f>
        <v>0</v>
      </c>
      <c r="K333"/>
    </row>
    <row r="334" spans="1:11" x14ac:dyDescent="0.25">
      <c r="A334" s="365" t="s">
        <v>133</v>
      </c>
      <c r="B334" s="365"/>
      <c r="C334" s="365"/>
      <c r="D334" s="365"/>
      <c r="E334" s="159"/>
      <c r="F334" s="158">
        <f>F306+F279</f>
        <v>20000</v>
      </c>
      <c r="K334"/>
    </row>
    <row r="335" spans="1:11" x14ac:dyDescent="0.25">
      <c r="A335" s="161" t="s">
        <v>134</v>
      </c>
      <c r="B335" s="161"/>
      <c r="C335" s="161"/>
      <c r="D335" s="161"/>
      <c r="E335" s="161"/>
      <c r="F335" s="162">
        <f>F280</f>
        <v>0</v>
      </c>
      <c r="K335"/>
    </row>
    <row r="336" spans="1:11" x14ac:dyDescent="0.25">
      <c r="A336" s="365" t="s">
        <v>135</v>
      </c>
      <c r="B336" s="365"/>
      <c r="C336" s="365"/>
      <c r="D336" s="365"/>
      <c r="E336" s="159"/>
      <c r="F336" s="158">
        <f>SUM(F327:F335)</f>
        <v>1253067</v>
      </c>
      <c r="K336"/>
    </row>
    <row r="337" spans="1:11" x14ac:dyDescent="0.25">
      <c r="A337" s="159"/>
      <c r="B337" s="159"/>
      <c r="C337" s="159"/>
      <c r="D337" s="159"/>
      <c r="E337" s="159"/>
      <c r="F337" s="158"/>
      <c r="K337"/>
    </row>
    <row r="338" spans="1:11" x14ac:dyDescent="0.25">
      <c r="A338" s="159"/>
      <c r="B338" s="159"/>
      <c r="C338" s="159"/>
      <c r="D338" s="159"/>
      <c r="E338" s="159"/>
      <c r="F338" s="158"/>
      <c r="K338"/>
    </row>
    <row r="339" spans="1:11" x14ac:dyDescent="0.25">
      <c r="A339" s="366"/>
      <c r="B339" s="366"/>
      <c r="C339" s="366"/>
      <c r="D339" s="366"/>
      <c r="E339" s="366"/>
      <c r="F339" s="366"/>
      <c r="K339"/>
    </row>
    <row r="340" spans="1:11" x14ac:dyDescent="0.25">
      <c r="A340" s="365" t="s">
        <v>155</v>
      </c>
      <c r="B340" s="365"/>
      <c r="C340" s="365"/>
      <c r="D340" s="365"/>
      <c r="E340" s="365"/>
      <c r="F340" s="365"/>
      <c r="K340"/>
    </row>
    <row r="341" spans="1:11" x14ac:dyDescent="0.25">
      <c r="A341" s="366"/>
      <c r="B341" s="366"/>
      <c r="C341" s="366"/>
      <c r="D341" s="366"/>
      <c r="E341" s="366"/>
      <c r="F341" s="366"/>
      <c r="K341"/>
    </row>
    <row r="342" spans="1:11" x14ac:dyDescent="0.25">
      <c r="A342" s="365" t="s">
        <v>137</v>
      </c>
      <c r="B342" s="365"/>
      <c r="C342" s="365"/>
      <c r="D342" s="365"/>
      <c r="E342" s="159"/>
      <c r="F342" s="158">
        <v>0</v>
      </c>
      <c r="K342"/>
    </row>
    <row r="343" spans="1:11" x14ac:dyDescent="0.25">
      <c r="A343" s="159" t="s">
        <v>138</v>
      </c>
      <c r="B343" s="159"/>
      <c r="C343" s="159"/>
      <c r="D343" s="159"/>
      <c r="E343" s="159"/>
      <c r="F343" s="158">
        <f>F314+F288</f>
        <v>0</v>
      </c>
      <c r="K343"/>
    </row>
    <row r="344" spans="1:11" x14ac:dyDescent="0.25">
      <c r="A344" s="365" t="s">
        <v>139</v>
      </c>
      <c r="B344" s="365"/>
      <c r="C344" s="365"/>
      <c r="D344" s="365"/>
      <c r="E344" s="159"/>
      <c r="F344" s="158">
        <f>F315+F289</f>
        <v>-9468144</v>
      </c>
      <c r="K344"/>
    </row>
    <row r="345" spans="1:11" x14ac:dyDescent="0.25">
      <c r="A345" s="365" t="s">
        <v>140</v>
      </c>
      <c r="B345" s="365"/>
      <c r="C345" s="365"/>
      <c r="D345" s="365"/>
      <c r="E345" s="159"/>
      <c r="F345" s="158">
        <f>F316+F290</f>
        <v>4475761</v>
      </c>
      <c r="K345"/>
    </row>
    <row r="346" spans="1:11" x14ac:dyDescent="0.25">
      <c r="A346" s="365" t="s">
        <v>141</v>
      </c>
      <c r="B346" s="365"/>
      <c r="C346" s="365"/>
      <c r="D346" s="365"/>
      <c r="E346" s="159"/>
      <c r="F346" s="158">
        <f>F317+F291</f>
        <v>6245450</v>
      </c>
      <c r="K346"/>
    </row>
    <row r="347" spans="1:11" x14ac:dyDescent="0.25">
      <c r="A347" s="159" t="s">
        <v>149</v>
      </c>
      <c r="B347" s="159"/>
      <c r="C347" s="159"/>
      <c r="D347" s="159"/>
      <c r="E347" s="159"/>
      <c r="F347" s="158">
        <f>SUM(F318,F292)</f>
        <v>0</v>
      </c>
      <c r="K347"/>
    </row>
    <row r="348" spans="1:11" x14ac:dyDescent="0.25">
      <c r="A348" s="159" t="s">
        <v>150</v>
      </c>
      <c r="B348" s="159"/>
      <c r="C348" s="159"/>
      <c r="D348" s="159"/>
      <c r="E348" s="159"/>
      <c r="F348" s="158">
        <f>SUM(F319)</f>
        <v>0</v>
      </c>
      <c r="K348"/>
    </row>
    <row r="349" spans="1:11" x14ac:dyDescent="0.25">
      <c r="A349" s="163" t="s">
        <v>144</v>
      </c>
      <c r="B349" s="163"/>
      <c r="C349" s="163"/>
      <c r="D349" s="164"/>
      <c r="E349" s="164"/>
      <c r="F349" s="165">
        <f>F320+F294</f>
        <v>0</v>
      </c>
      <c r="K349"/>
    </row>
    <row r="350" spans="1:11" x14ac:dyDescent="0.25">
      <c r="A350" s="367" t="s">
        <v>135</v>
      </c>
      <c r="B350" s="367"/>
      <c r="C350" s="367"/>
      <c r="D350" s="367"/>
      <c r="E350" s="159"/>
      <c r="F350" s="158">
        <f>SUM(F342:F349)</f>
        <v>1253067</v>
      </c>
      <c r="K350"/>
    </row>
  </sheetData>
  <autoFilter ref="A4:L218" xr:uid="{00000000-0009-0000-0000-000007000000}"/>
  <mergeCells count="115">
    <mergeCell ref="A342:D342"/>
    <mergeCell ref="A344:D344"/>
    <mergeCell ref="A345:D345"/>
    <mergeCell ref="A346:D346"/>
    <mergeCell ref="A350:D350"/>
    <mergeCell ref="A331:D331"/>
    <mergeCell ref="A334:D334"/>
    <mergeCell ref="A336:D336"/>
    <mergeCell ref="A339:F339"/>
    <mergeCell ref="A340:F340"/>
    <mergeCell ref="A341:F341"/>
    <mergeCell ref="A317:D317"/>
    <mergeCell ref="A321:D321"/>
    <mergeCell ref="A324:F324"/>
    <mergeCell ref="A325:F325"/>
    <mergeCell ref="A329:D329"/>
    <mergeCell ref="A330:D330"/>
    <mergeCell ref="A308:F310"/>
    <mergeCell ref="A311:F311"/>
    <mergeCell ref="A312:F312"/>
    <mergeCell ref="A313:D313"/>
    <mergeCell ref="A315:D315"/>
    <mergeCell ref="A316:D316"/>
    <mergeCell ref="A297:F297"/>
    <mergeCell ref="A300:D300"/>
    <mergeCell ref="A302:D302"/>
    <mergeCell ref="A303:D303"/>
    <mergeCell ref="A306:D306"/>
    <mergeCell ref="A307:D307"/>
    <mergeCell ref="A286:F286"/>
    <mergeCell ref="A287:D287"/>
    <mergeCell ref="A289:D289"/>
    <mergeCell ref="A290:D290"/>
    <mergeCell ref="A291:D291"/>
    <mergeCell ref="A295:D295"/>
    <mergeCell ref="A275:D275"/>
    <mergeCell ref="A276:D276"/>
    <mergeCell ref="A279:D279"/>
    <mergeCell ref="A281:D281"/>
    <mergeCell ref="A282:F284"/>
    <mergeCell ref="A285:F285"/>
    <mergeCell ref="A215:A216"/>
    <mergeCell ref="B215:B216"/>
    <mergeCell ref="A217:C217"/>
    <mergeCell ref="A218:C218"/>
    <mergeCell ref="A225:K225"/>
    <mergeCell ref="A226:B267"/>
    <mergeCell ref="A179:C179"/>
    <mergeCell ref="A180:A197"/>
    <mergeCell ref="B180:B197"/>
    <mergeCell ref="A198:C198"/>
    <mergeCell ref="A199:A214"/>
    <mergeCell ref="B199:B214"/>
    <mergeCell ref="A156:C156"/>
    <mergeCell ref="A157:A174"/>
    <mergeCell ref="B157:B174"/>
    <mergeCell ref="A175:A176"/>
    <mergeCell ref="B175:B176"/>
    <mergeCell ref="A177:A178"/>
    <mergeCell ref="B177:B178"/>
    <mergeCell ref="A133:A134"/>
    <mergeCell ref="B133:B134"/>
    <mergeCell ref="A135:C135"/>
    <mergeCell ref="A136:A153"/>
    <mergeCell ref="B136:B153"/>
    <mergeCell ref="A154:A155"/>
    <mergeCell ref="B154:B155"/>
    <mergeCell ref="A111:A112"/>
    <mergeCell ref="B111:B112"/>
    <mergeCell ref="A113:C113"/>
    <mergeCell ref="A114:A130"/>
    <mergeCell ref="B114:B130"/>
    <mergeCell ref="A131:A132"/>
    <mergeCell ref="B131:B132"/>
    <mergeCell ref="A86:A87"/>
    <mergeCell ref="B86:B87"/>
    <mergeCell ref="A88:C88"/>
    <mergeCell ref="A89:A108"/>
    <mergeCell ref="B89:B108"/>
    <mergeCell ref="A109:A110"/>
    <mergeCell ref="B109:B110"/>
    <mergeCell ref="A80:A81"/>
    <mergeCell ref="B80:B81"/>
    <mergeCell ref="A82:A83"/>
    <mergeCell ref="B82:B83"/>
    <mergeCell ref="A84:A85"/>
    <mergeCell ref="B84:B85"/>
    <mergeCell ref="A22:A23"/>
    <mergeCell ref="B22:B23"/>
    <mergeCell ref="A24:C24"/>
    <mergeCell ref="A25:A79"/>
    <mergeCell ref="B25:B51"/>
    <mergeCell ref="B52:B79"/>
    <mergeCell ref="A16:A17"/>
    <mergeCell ref="B16:B17"/>
    <mergeCell ref="A18:A19"/>
    <mergeCell ref="B18:B19"/>
    <mergeCell ref="A20:A21"/>
    <mergeCell ref="B20:B21"/>
    <mergeCell ref="A5:A13"/>
    <mergeCell ref="B5:B7"/>
    <mergeCell ref="B8:B11"/>
    <mergeCell ref="B12:B13"/>
    <mergeCell ref="A14:A15"/>
    <mergeCell ref="B14:B15"/>
    <mergeCell ref="A1:L1"/>
    <mergeCell ref="A3:A4"/>
    <mergeCell ref="B3:B4"/>
    <mergeCell ref="C3:C4"/>
    <mergeCell ref="D3:D4"/>
    <mergeCell ref="E3:E4"/>
    <mergeCell ref="F3:I3"/>
    <mergeCell ref="J3:J4"/>
    <mergeCell ref="K3:K4"/>
    <mergeCell ref="L3:L4"/>
  </mergeCells>
  <pageMargins left="0.7" right="0.7" top="0.75" bottom="0.75" header="0.3" footer="0.3"/>
  <pageSetup paperSize="9" scale="50" orientation="portrait" r:id="rId1"/>
  <rowBreaks count="3" manualBreakCount="3">
    <brk id="88" max="16383" man="1"/>
    <brk id="179" max="16383" man="1"/>
    <brk id="267" max="11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269"/>
  <sheetViews>
    <sheetView workbookViewId="0">
      <pane xSplit="3" ySplit="4" topLeftCell="D243" activePane="bottomRight" state="frozen"/>
      <selection activeCell="D8" sqref="D8"/>
      <selection pane="topRight" activeCell="D8" sqref="D8"/>
      <selection pane="bottomLeft" activeCell="D8" sqref="D8"/>
      <selection pane="bottomRight" activeCell="D8" sqref="D8"/>
    </sheetView>
  </sheetViews>
  <sheetFormatPr defaultRowHeight="15" x14ac:dyDescent="0.25"/>
  <cols>
    <col min="1" max="1" width="42.7109375" customWidth="1"/>
    <col min="3" max="3" width="7.7109375" customWidth="1"/>
    <col min="4" max="5" width="13.7109375" customWidth="1"/>
    <col min="6" max="6" width="10.28515625" customWidth="1"/>
    <col min="7" max="7" width="11.7109375" customWidth="1"/>
    <col min="8" max="9" width="10.28515625" bestFit="1" customWidth="1"/>
    <col min="10" max="10" width="13.85546875" bestFit="1" customWidth="1"/>
    <col min="11" max="11" width="16.42578125" style="122" customWidth="1"/>
    <col min="12" max="12" width="13.85546875" customWidth="1"/>
  </cols>
  <sheetData>
    <row r="1" spans="1:12" ht="21" x14ac:dyDescent="0.25">
      <c r="A1" s="360" t="s">
        <v>0</v>
      </c>
      <c r="B1" s="360"/>
      <c r="C1" s="360"/>
      <c r="D1" s="360"/>
      <c r="E1" s="360"/>
      <c r="F1" s="360"/>
      <c r="G1" s="360"/>
      <c r="H1" s="360"/>
      <c r="I1" s="360"/>
      <c r="J1" s="360"/>
      <c r="K1" s="360"/>
      <c r="L1" s="360"/>
    </row>
    <row r="2" spans="1:12" x14ac:dyDescent="0.25">
      <c r="B2" s="5"/>
      <c r="E2" s="4"/>
      <c r="F2" s="4"/>
      <c r="G2" s="4"/>
      <c r="H2" s="4"/>
      <c r="I2" s="4"/>
      <c r="J2" s="4"/>
      <c r="K2" s="111"/>
    </row>
    <row r="3" spans="1:12" ht="15" customHeight="1" x14ac:dyDescent="0.25">
      <c r="A3" s="342" t="s">
        <v>104</v>
      </c>
      <c r="B3" s="344" t="s">
        <v>105</v>
      </c>
      <c r="C3" s="342" t="s">
        <v>3</v>
      </c>
      <c r="D3" s="342" t="s">
        <v>4</v>
      </c>
      <c r="E3" s="346" t="s">
        <v>115</v>
      </c>
      <c r="F3" s="348" t="s">
        <v>156</v>
      </c>
      <c r="G3" s="349"/>
      <c r="H3" s="349"/>
      <c r="I3" s="350"/>
      <c r="J3" s="346" t="s">
        <v>119</v>
      </c>
      <c r="K3" s="351" t="s">
        <v>157</v>
      </c>
      <c r="L3" s="352" t="s">
        <v>158</v>
      </c>
    </row>
    <row r="4" spans="1:12" ht="45" x14ac:dyDescent="0.25">
      <c r="A4" s="343"/>
      <c r="B4" s="345"/>
      <c r="C4" s="343"/>
      <c r="D4" s="343"/>
      <c r="E4" s="347"/>
      <c r="F4" s="124" t="s">
        <v>70</v>
      </c>
      <c r="G4" s="125" t="s">
        <v>123</v>
      </c>
      <c r="H4" s="125" t="s">
        <v>122</v>
      </c>
      <c r="I4" s="125" t="s">
        <v>71</v>
      </c>
      <c r="J4" s="347"/>
      <c r="K4" s="351"/>
      <c r="L4" s="352"/>
    </row>
    <row r="5" spans="1:12" x14ac:dyDescent="0.25">
      <c r="A5" s="255" t="s">
        <v>6</v>
      </c>
      <c r="B5" s="268" t="s">
        <v>21</v>
      </c>
      <c r="C5" s="2" t="s">
        <v>16</v>
      </c>
      <c r="D5" s="3">
        <v>54810810</v>
      </c>
      <c r="E5" s="3">
        <v>54848819</v>
      </c>
      <c r="F5" s="3"/>
      <c r="G5" s="3">
        <v>-2110933</v>
      </c>
      <c r="H5" s="3"/>
      <c r="I5" s="3"/>
      <c r="J5" s="20">
        <f>E5+F5+G5+H5+I5</f>
        <v>52737886</v>
      </c>
      <c r="K5" s="112">
        <v>36827937</v>
      </c>
      <c r="L5" s="3">
        <f>J5-K5</f>
        <v>15909949</v>
      </c>
    </row>
    <row r="6" spans="1:12" x14ac:dyDescent="0.25">
      <c r="A6" s="256"/>
      <c r="B6" s="268"/>
      <c r="C6" s="2" t="s">
        <v>17</v>
      </c>
      <c r="D6" s="3">
        <v>7273070</v>
      </c>
      <c r="E6" s="3">
        <v>7273070</v>
      </c>
      <c r="F6" s="3"/>
      <c r="G6" s="3"/>
      <c r="H6" s="3"/>
      <c r="I6" s="3"/>
      <c r="J6" s="20">
        <f t="shared" ref="J6:J23" si="0">E6+F6+G6+H6+I6</f>
        <v>7273070</v>
      </c>
      <c r="K6" s="112">
        <v>7273070</v>
      </c>
      <c r="L6" s="3">
        <f t="shared" ref="L6:L23" si="1">J6-K6</f>
        <v>0</v>
      </c>
    </row>
    <row r="7" spans="1:12" x14ac:dyDescent="0.25">
      <c r="A7" s="256"/>
      <c r="B7" s="268"/>
      <c r="C7" s="2" t="s">
        <v>18</v>
      </c>
      <c r="D7" s="3">
        <v>96985672</v>
      </c>
      <c r="E7" s="3">
        <v>96985672</v>
      </c>
      <c r="F7" s="3"/>
      <c r="G7" s="3">
        <v>3344000</v>
      </c>
      <c r="H7" s="3"/>
      <c r="I7" s="3"/>
      <c r="J7" s="20">
        <f t="shared" si="0"/>
        <v>100329672</v>
      </c>
      <c r="K7" s="112">
        <v>69204503</v>
      </c>
      <c r="L7" s="3">
        <f t="shared" si="1"/>
        <v>31125169</v>
      </c>
    </row>
    <row r="8" spans="1:12" x14ac:dyDescent="0.25">
      <c r="A8" s="256"/>
      <c r="B8" s="252">
        <v>104042</v>
      </c>
      <c r="C8" s="2" t="s">
        <v>22</v>
      </c>
      <c r="D8" s="3">
        <v>200000</v>
      </c>
      <c r="E8" s="3">
        <v>200000</v>
      </c>
      <c r="F8" s="3"/>
      <c r="G8" s="3"/>
      <c r="H8" s="3"/>
      <c r="I8" s="3"/>
      <c r="J8" s="20">
        <f t="shared" si="0"/>
        <v>200000</v>
      </c>
      <c r="K8" s="112">
        <v>0</v>
      </c>
      <c r="L8" s="3">
        <f t="shared" si="1"/>
        <v>200000</v>
      </c>
    </row>
    <row r="9" spans="1:12" x14ac:dyDescent="0.25">
      <c r="A9" s="256"/>
      <c r="B9" s="253"/>
      <c r="C9" s="2" t="s">
        <v>19</v>
      </c>
      <c r="D9" s="3">
        <v>13200</v>
      </c>
      <c r="E9" s="3">
        <v>21926</v>
      </c>
      <c r="F9" s="3"/>
      <c r="G9" s="3"/>
      <c r="H9" s="3">
        <v>10000</v>
      </c>
      <c r="I9" s="3"/>
      <c r="J9" s="20">
        <f t="shared" si="0"/>
        <v>31926</v>
      </c>
      <c r="K9" s="112">
        <v>21926</v>
      </c>
      <c r="L9" s="60">
        <f t="shared" si="1"/>
        <v>10000</v>
      </c>
    </row>
    <row r="10" spans="1:12" x14ac:dyDescent="0.25">
      <c r="A10" s="256"/>
      <c r="B10" s="253"/>
      <c r="C10" s="2" t="s">
        <v>20</v>
      </c>
      <c r="D10" s="3">
        <v>500</v>
      </c>
      <c r="E10" s="3">
        <v>152</v>
      </c>
      <c r="F10" s="3">
        <v>1000</v>
      </c>
      <c r="G10" s="3"/>
      <c r="H10" s="3"/>
      <c r="I10" s="3"/>
      <c r="J10" s="20">
        <f t="shared" si="0"/>
        <v>1152</v>
      </c>
      <c r="K10" s="112">
        <v>157</v>
      </c>
      <c r="L10" s="3">
        <f t="shared" si="1"/>
        <v>995</v>
      </c>
    </row>
    <row r="11" spans="1:12" x14ac:dyDescent="0.25">
      <c r="A11" s="256"/>
      <c r="B11" s="254"/>
      <c r="C11" s="2" t="s">
        <v>84</v>
      </c>
      <c r="D11" s="3">
        <v>0</v>
      </c>
      <c r="E11" s="3">
        <v>3948</v>
      </c>
      <c r="F11" s="3">
        <v>-1000</v>
      </c>
      <c r="G11" s="3"/>
      <c r="H11" s="3">
        <v>10000</v>
      </c>
      <c r="I11" s="3"/>
      <c r="J11" s="20">
        <f t="shared" si="0"/>
        <v>12948</v>
      </c>
      <c r="K11" s="112">
        <v>3834</v>
      </c>
      <c r="L11" s="3">
        <f t="shared" si="1"/>
        <v>9114</v>
      </c>
    </row>
    <row r="12" spans="1:12" x14ac:dyDescent="0.25">
      <c r="A12" s="256"/>
      <c r="B12" s="252">
        <v>104043</v>
      </c>
      <c r="C12" s="2" t="s">
        <v>20</v>
      </c>
      <c r="D12" s="3">
        <v>500</v>
      </c>
      <c r="E12" s="3">
        <v>173</v>
      </c>
      <c r="F12" s="3"/>
      <c r="G12" s="3"/>
      <c r="H12" s="3"/>
      <c r="I12" s="3"/>
      <c r="J12" s="20">
        <f t="shared" si="0"/>
        <v>173</v>
      </c>
      <c r="K12" s="112">
        <v>157</v>
      </c>
      <c r="L12" s="3">
        <f t="shared" si="1"/>
        <v>16</v>
      </c>
    </row>
    <row r="13" spans="1:12" x14ac:dyDescent="0.25">
      <c r="A13" s="257"/>
      <c r="B13" s="254"/>
      <c r="C13" s="2" t="s">
        <v>84</v>
      </c>
      <c r="D13" s="3">
        <v>0</v>
      </c>
      <c r="E13" s="3">
        <v>1</v>
      </c>
      <c r="F13" s="3"/>
      <c r="G13" s="3"/>
      <c r="H13" s="3"/>
      <c r="I13" s="3"/>
      <c r="J13" s="20">
        <f t="shared" si="0"/>
        <v>1</v>
      </c>
      <c r="K13" s="112">
        <v>1</v>
      </c>
      <c r="L13" s="3">
        <f t="shared" si="1"/>
        <v>0</v>
      </c>
    </row>
    <row r="14" spans="1:12" x14ac:dyDescent="0.25">
      <c r="A14" s="258" t="s">
        <v>7</v>
      </c>
      <c r="B14" s="268" t="s">
        <v>21</v>
      </c>
      <c r="C14" s="2" t="s">
        <v>16</v>
      </c>
      <c r="D14" s="3">
        <v>245982</v>
      </c>
      <c r="E14" s="3">
        <v>245982</v>
      </c>
      <c r="F14" s="3"/>
      <c r="G14" s="3"/>
      <c r="H14" s="3"/>
      <c r="I14" s="3"/>
      <c r="J14" s="20">
        <f t="shared" si="0"/>
        <v>245982</v>
      </c>
      <c r="K14" s="112">
        <v>122992</v>
      </c>
      <c r="L14" s="3">
        <f t="shared" si="1"/>
        <v>122990</v>
      </c>
    </row>
    <row r="15" spans="1:12" x14ac:dyDescent="0.25">
      <c r="A15" s="258"/>
      <c r="B15" s="268"/>
      <c r="C15" s="2" t="s">
        <v>17</v>
      </c>
      <c r="D15" s="3">
        <v>1005557</v>
      </c>
      <c r="E15" s="3">
        <v>1005557</v>
      </c>
      <c r="F15" s="3"/>
      <c r="G15" s="3"/>
      <c r="H15" s="3"/>
      <c r="I15" s="3"/>
      <c r="J15" s="20">
        <f t="shared" si="0"/>
        <v>1005557</v>
      </c>
      <c r="K15" s="112">
        <v>1005557</v>
      </c>
      <c r="L15" s="3">
        <f t="shared" si="1"/>
        <v>0</v>
      </c>
    </row>
    <row r="16" spans="1:12" x14ac:dyDescent="0.25">
      <c r="A16" s="258" t="s">
        <v>8</v>
      </c>
      <c r="B16" s="268" t="s">
        <v>21</v>
      </c>
      <c r="C16" s="2" t="s">
        <v>16</v>
      </c>
      <c r="D16" s="3">
        <v>3086953</v>
      </c>
      <c r="E16" s="3">
        <v>3103704</v>
      </c>
      <c r="F16" s="3"/>
      <c r="G16" s="3"/>
      <c r="H16" s="3"/>
      <c r="I16" s="3"/>
      <c r="J16" s="20">
        <f t="shared" si="0"/>
        <v>3103704</v>
      </c>
      <c r="K16" s="112">
        <v>1560228</v>
      </c>
      <c r="L16" s="3">
        <f t="shared" si="1"/>
        <v>1543476</v>
      </c>
    </row>
    <row r="17" spans="1:12" x14ac:dyDescent="0.25">
      <c r="A17" s="258"/>
      <c r="B17" s="268"/>
      <c r="C17" s="2" t="s">
        <v>17</v>
      </c>
      <c r="D17" s="3">
        <v>440959</v>
      </c>
      <c r="E17" s="3">
        <v>440959</v>
      </c>
      <c r="F17" s="3"/>
      <c r="G17" s="3"/>
      <c r="H17" s="3"/>
      <c r="I17" s="3"/>
      <c r="J17" s="20">
        <f t="shared" si="0"/>
        <v>440959</v>
      </c>
      <c r="K17" s="112">
        <v>440959</v>
      </c>
      <c r="L17" s="3">
        <f t="shared" si="1"/>
        <v>0</v>
      </c>
    </row>
    <row r="18" spans="1:12" x14ac:dyDescent="0.25">
      <c r="A18" s="258" t="s">
        <v>9</v>
      </c>
      <c r="B18" s="268" t="s">
        <v>21</v>
      </c>
      <c r="C18" s="2" t="s">
        <v>16</v>
      </c>
      <c r="D18" s="3">
        <v>1403439</v>
      </c>
      <c r="E18" s="3">
        <v>1414887</v>
      </c>
      <c r="F18" s="3"/>
      <c r="G18" s="3"/>
      <c r="H18" s="3"/>
      <c r="I18" s="3"/>
      <c r="J18" s="20">
        <f t="shared" si="0"/>
        <v>1414887</v>
      </c>
      <c r="K18" s="112">
        <v>780469</v>
      </c>
      <c r="L18" s="3">
        <f t="shared" si="1"/>
        <v>634418</v>
      </c>
    </row>
    <row r="19" spans="1:12" x14ac:dyDescent="0.25">
      <c r="A19" s="258"/>
      <c r="B19" s="268"/>
      <c r="C19" s="2" t="s">
        <v>17</v>
      </c>
      <c r="D19" s="3">
        <v>599759</v>
      </c>
      <c r="E19" s="3">
        <v>599759</v>
      </c>
      <c r="F19" s="3"/>
      <c r="G19" s="3"/>
      <c r="H19" s="3"/>
      <c r="I19" s="3"/>
      <c r="J19" s="20">
        <f t="shared" si="0"/>
        <v>599759</v>
      </c>
      <c r="K19" s="112">
        <v>599759</v>
      </c>
      <c r="L19" s="3">
        <f t="shared" si="1"/>
        <v>0</v>
      </c>
    </row>
    <row r="20" spans="1:12" x14ac:dyDescent="0.25">
      <c r="A20" s="255" t="s">
        <v>54</v>
      </c>
      <c r="B20" s="252" t="s">
        <v>21</v>
      </c>
      <c r="C20" s="2" t="s">
        <v>16</v>
      </c>
      <c r="D20" s="3">
        <v>4056383</v>
      </c>
      <c r="E20" s="3">
        <v>4056383</v>
      </c>
      <c r="F20" s="3"/>
      <c r="G20" s="3"/>
      <c r="H20" s="3"/>
      <c r="I20" s="3"/>
      <c r="J20" s="20">
        <f t="shared" si="0"/>
        <v>4056383</v>
      </c>
      <c r="K20" s="112">
        <v>2028192</v>
      </c>
      <c r="L20" s="3">
        <f t="shared" si="1"/>
        <v>2028191</v>
      </c>
    </row>
    <row r="21" spans="1:12" x14ac:dyDescent="0.25">
      <c r="A21" s="257"/>
      <c r="B21" s="254"/>
      <c r="C21" s="2" t="s">
        <v>17</v>
      </c>
      <c r="D21" s="3">
        <v>226299</v>
      </c>
      <c r="E21" s="3">
        <v>226299</v>
      </c>
      <c r="F21" s="3"/>
      <c r="G21" s="3"/>
      <c r="H21" s="3"/>
      <c r="I21" s="3"/>
      <c r="J21" s="20">
        <f t="shared" si="0"/>
        <v>226299</v>
      </c>
      <c r="K21" s="112">
        <v>226299</v>
      </c>
      <c r="L21" s="3">
        <f t="shared" si="1"/>
        <v>0</v>
      </c>
    </row>
    <row r="22" spans="1:12" x14ac:dyDescent="0.25">
      <c r="A22" s="258" t="s">
        <v>10</v>
      </c>
      <c r="B22" s="268" t="s">
        <v>21</v>
      </c>
      <c r="C22" s="2" t="s">
        <v>16</v>
      </c>
      <c r="D22" s="3">
        <v>53627392</v>
      </c>
      <c r="E22" s="3">
        <v>53627392</v>
      </c>
      <c r="F22" s="3"/>
      <c r="G22" s="3"/>
      <c r="H22" s="3"/>
      <c r="I22" s="3"/>
      <c r="J22" s="20">
        <f t="shared" si="0"/>
        <v>53627392</v>
      </c>
      <c r="K22" s="112">
        <v>20202943</v>
      </c>
      <c r="L22" s="3">
        <f t="shared" si="1"/>
        <v>33424449</v>
      </c>
    </row>
    <row r="23" spans="1:12" x14ac:dyDescent="0.25">
      <c r="A23" s="258"/>
      <c r="B23" s="268"/>
      <c r="C23" s="2" t="s">
        <v>17</v>
      </c>
      <c r="D23" s="3">
        <v>6467166</v>
      </c>
      <c r="E23" s="3">
        <v>6467166</v>
      </c>
      <c r="F23" s="3"/>
      <c r="G23" s="3"/>
      <c r="H23" s="3"/>
      <c r="I23" s="3"/>
      <c r="J23" s="20">
        <f t="shared" si="0"/>
        <v>6467166</v>
      </c>
      <c r="K23" s="112">
        <v>6467166</v>
      </c>
      <c r="L23" s="3">
        <f t="shared" si="1"/>
        <v>0</v>
      </c>
    </row>
    <row r="24" spans="1:12" ht="30" customHeight="1" x14ac:dyDescent="0.25">
      <c r="A24" s="353" t="s">
        <v>73</v>
      </c>
      <c r="B24" s="354"/>
      <c r="C24" s="355"/>
      <c r="D24" s="126">
        <f t="shared" ref="D24:L24" si="2">SUM(D5:D23)</f>
        <v>230443641</v>
      </c>
      <c r="E24" s="126">
        <f t="shared" si="2"/>
        <v>230521849</v>
      </c>
      <c r="F24" s="126">
        <f t="shared" si="2"/>
        <v>0</v>
      </c>
      <c r="G24" s="126">
        <f t="shared" si="2"/>
        <v>1233067</v>
      </c>
      <c r="H24" s="126">
        <f t="shared" si="2"/>
        <v>20000</v>
      </c>
      <c r="I24" s="126">
        <f t="shared" si="2"/>
        <v>0</v>
      </c>
      <c r="J24" s="126">
        <f t="shared" si="2"/>
        <v>231774916</v>
      </c>
      <c r="K24" s="127">
        <f t="shared" si="2"/>
        <v>146766149</v>
      </c>
      <c r="L24" s="126">
        <f t="shared" si="2"/>
        <v>85008767</v>
      </c>
    </row>
    <row r="25" spans="1:12" x14ac:dyDescent="0.25">
      <c r="A25" s="258" t="s">
        <v>11</v>
      </c>
      <c r="B25" s="252" t="s">
        <v>23</v>
      </c>
      <c r="C25" s="2" t="s">
        <v>24</v>
      </c>
      <c r="D25" s="3">
        <v>35883092</v>
      </c>
      <c r="E25" s="3">
        <v>35538980</v>
      </c>
      <c r="F25" s="3">
        <f>-100000</f>
        <v>-100000</v>
      </c>
      <c r="G25" s="3"/>
      <c r="H25" s="3"/>
      <c r="I25" s="3"/>
      <c r="J25" s="20">
        <f t="shared" ref="J25:J31" si="3">E25+F25+G25+H25+I25</f>
        <v>35438980</v>
      </c>
      <c r="K25" s="112">
        <v>24301548</v>
      </c>
      <c r="L25" s="3">
        <f t="shared" ref="L25:L31" si="4">J25-K25</f>
        <v>11137432</v>
      </c>
    </row>
    <row r="26" spans="1:12" x14ac:dyDescent="0.25">
      <c r="A26" s="258"/>
      <c r="B26" s="253"/>
      <c r="C26" s="2" t="s">
        <v>25</v>
      </c>
      <c r="D26" s="3">
        <v>1542000</v>
      </c>
      <c r="E26" s="3">
        <v>1542000</v>
      </c>
      <c r="F26" s="3"/>
      <c r="G26" s="3"/>
      <c r="H26" s="3"/>
      <c r="I26" s="3"/>
      <c r="J26" s="20">
        <f t="shared" si="3"/>
        <v>1542000</v>
      </c>
      <c r="K26" s="112">
        <v>725000</v>
      </c>
      <c r="L26" s="3">
        <f t="shared" si="4"/>
        <v>817000</v>
      </c>
    </row>
    <row r="27" spans="1:12" x14ac:dyDescent="0.25">
      <c r="A27" s="258"/>
      <c r="B27" s="253"/>
      <c r="C27" s="2" t="s">
        <v>26</v>
      </c>
      <c r="D27" s="3">
        <v>80000</v>
      </c>
      <c r="E27" s="3">
        <v>80000</v>
      </c>
      <c r="F27" s="3"/>
      <c r="G27" s="3"/>
      <c r="H27" s="3"/>
      <c r="I27" s="3"/>
      <c r="J27" s="20">
        <f t="shared" si="3"/>
        <v>80000</v>
      </c>
      <c r="K27" s="112">
        <v>0</v>
      </c>
      <c r="L27" s="3">
        <f t="shared" si="4"/>
        <v>80000</v>
      </c>
    </row>
    <row r="28" spans="1:12" x14ac:dyDescent="0.25">
      <c r="A28" s="258"/>
      <c r="B28" s="253"/>
      <c r="C28" s="2" t="s">
        <v>27</v>
      </c>
      <c r="D28" s="3">
        <v>893400</v>
      </c>
      <c r="E28" s="3">
        <v>887586</v>
      </c>
      <c r="F28" s="3"/>
      <c r="G28" s="3"/>
      <c r="H28" s="3"/>
      <c r="I28" s="3"/>
      <c r="J28" s="20">
        <f t="shared" si="3"/>
        <v>887586</v>
      </c>
      <c r="K28" s="112">
        <v>515596</v>
      </c>
      <c r="L28" s="3">
        <f t="shared" si="4"/>
        <v>371990</v>
      </c>
    </row>
    <row r="29" spans="1:12" x14ac:dyDescent="0.25">
      <c r="A29" s="258"/>
      <c r="B29" s="253"/>
      <c r="C29" s="2" t="s">
        <v>28</v>
      </c>
      <c r="D29" s="3">
        <v>190000</v>
      </c>
      <c r="E29" s="3">
        <v>190000</v>
      </c>
      <c r="F29" s="3"/>
      <c r="G29" s="3"/>
      <c r="H29" s="3"/>
      <c r="I29" s="3"/>
      <c r="J29" s="20">
        <f t="shared" si="3"/>
        <v>190000</v>
      </c>
      <c r="K29" s="112">
        <v>93000</v>
      </c>
      <c r="L29" s="3">
        <f t="shared" si="4"/>
        <v>97000</v>
      </c>
    </row>
    <row r="30" spans="1:12" x14ac:dyDescent="0.25">
      <c r="A30" s="258"/>
      <c r="B30" s="253"/>
      <c r="C30" s="2" t="s">
        <v>29</v>
      </c>
      <c r="D30" s="3">
        <v>1086500</v>
      </c>
      <c r="E30" s="3">
        <v>1384179</v>
      </c>
      <c r="F30" s="3">
        <f>100000</f>
        <v>100000</v>
      </c>
      <c r="G30" s="3"/>
      <c r="H30" s="3"/>
      <c r="I30" s="3"/>
      <c r="J30" s="20">
        <f t="shared" si="3"/>
        <v>1484179</v>
      </c>
      <c r="K30" s="112">
        <v>565314</v>
      </c>
      <c r="L30" s="3">
        <f t="shared" si="4"/>
        <v>918865</v>
      </c>
    </row>
    <row r="31" spans="1:12" x14ac:dyDescent="0.25">
      <c r="A31" s="258"/>
      <c r="B31" s="253"/>
      <c r="C31" s="2" t="s">
        <v>30</v>
      </c>
      <c r="D31" s="3">
        <v>100000</v>
      </c>
      <c r="E31" s="3">
        <v>100000</v>
      </c>
      <c r="F31" s="3"/>
      <c r="G31" s="3"/>
      <c r="H31" s="3"/>
      <c r="I31" s="3"/>
      <c r="J31" s="20">
        <f t="shared" si="3"/>
        <v>100000</v>
      </c>
      <c r="K31" s="112">
        <v>13902</v>
      </c>
      <c r="L31" s="3">
        <f t="shared" si="4"/>
        <v>86098</v>
      </c>
    </row>
    <row r="32" spans="1:12" x14ac:dyDescent="0.25">
      <c r="A32" s="258"/>
      <c r="B32" s="253"/>
      <c r="C32" s="6" t="s">
        <v>53</v>
      </c>
      <c r="D32" s="7">
        <f>SUM(D25:D31)</f>
        <v>39774992</v>
      </c>
      <c r="E32" s="7">
        <f t="shared" ref="E32:L32" si="5">SUM(E25:E31)</f>
        <v>39722745</v>
      </c>
      <c r="F32" s="7">
        <f t="shared" si="5"/>
        <v>0</v>
      </c>
      <c r="G32" s="7">
        <f t="shared" si="5"/>
        <v>0</v>
      </c>
      <c r="H32" s="7">
        <f t="shared" si="5"/>
        <v>0</v>
      </c>
      <c r="I32" s="7">
        <f t="shared" si="5"/>
        <v>0</v>
      </c>
      <c r="J32" s="7">
        <f t="shared" si="5"/>
        <v>39722745</v>
      </c>
      <c r="K32" s="114">
        <f t="shared" si="5"/>
        <v>26214360</v>
      </c>
      <c r="L32" s="7">
        <f t="shared" si="5"/>
        <v>13508385</v>
      </c>
    </row>
    <row r="33" spans="1:12" x14ac:dyDescent="0.25">
      <c r="A33" s="258"/>
      <c r="B33" s="253"/>
      <c r="C33" s="86" t="s">
        <v>31</v>
      </c>
      <c r="D33" s="87">
        <v>7793417</v>
      </c>
      <c r="E33" s="87">
        <v>7795732</v>
      </c>
      <c r="F33" s="87"/>
      <c r="G33" s="87"/>
      <c r="H33" s="87"/>
      <c r="I33" s="87"/>
      <c r="J33" s="88">
        <f t="shared" ref="J33:J47" si="6">E33+F33+G33+H33+I33</f>
        <v>7795732</v>
      </c>
      <c r="K33" s="115">
        <v>5285695</v>
      </c>
      <c r="L33" s="89">
        <f t="shared" ref="L33:L47" si="7">J33-K33</f>
        <v>2510037</v>
      </c>
    </row>
    <row r="34" spans="1:12" x14ac:dyDescent="0.25">
      <c r="A34" s="258"/>
      <c r="B34" s="253"/>
      <c r="C34" s="2" t="s">
        <v>32</v>
      </c>
      <c r="D34" s="3">
        <v>105000</v>
      </c>
      <c r="E34" s="3">
        <v>105000</v>
      </c>
      <c r="F34" s="3"/>
      <c r="G34" s="3"/>
      <c r="H34" s="3">
        <v>10000</v>
      </c>
      <c r="I34" s="3"/>
      <c r="J34" s="20">
        <f t="shared" si="6"/>
        <v>115000</v>
      </c>
      <c r="K34" s="112">
        <v>30568</v>
      </c>
      <c r="L34" s="3">
        <f t="shared" si="7"/>
        <v>84432</v>
      </c>
    </row>
    <row r="35" spans="1:12" x14ac:dyDescent="0.25">
      <c r="A35" s="258"/>
      <c r="B35" s="253"/>
      <c r="C35" s="2" t="s">
        <v>33</v>
      </c>
      <c r="D35" s="3">
        <v>500000</v>
      </c>
      <c r="E35" s="3">
        <v>500000</v>
      </c>
      <c r="F35" s="3"/>
      <c r="G35" s="3"/>
      <c r="H35" s="3"/>
      <c r="I35" s="3"/>
      <c r="J35" s="20">
        <f t="shared" si="6"/>
        <v>500000</v>
      </c>
      <c r="K35" s="112">
        <v>1922</v>
      </c>
      <c r="L35" s="3">
        <f t="shared" si="7"/>
        <v>498078</v>
      </c>
    </row>
    <row r="36" spans="1:12" x14ac:dyDescent="0.25">
      <c r="A36" s="258"/>
      <c r="B36" s="253"/>
      <c r="C36" s="2" t="s">
        <v>34</v>
      </c>
      <c r="D36" s="3">
        <v>213000</v>
      </c>
      <c r="E36" s="3">
        <v>213000</v>
      </c>
      <c r="F36" s="3"/>
      <c r="G36" s="3"/>
      <c r="H36" s="3"/>
      <c r="I36" s="3"/>
      <c r="J36" s="20">
        <f t="shared" si="6"/>
        <v>213000</v>
      </c>
      <c r="K36" s="112">
        <v>89492</v>
      </c>
      <c r="L36" s="3">
        <f t="shared" si="7"/>
        <v>123508</v>
      </c>
    </row>
    <row r="37" spans="1:12" x14ac:dyDescent="0.25">
      <c r="A37" s="258"/>
      <c r="B37" s="253"/>
      <c r="C37" s="2" t="s">
        <v>35</v>
      </c>
      <c r="D37" s="3">
        <v>162000</v>
      </c>
      <c r="E37" s="3">
        <v>162000</v>
      </c>
      <c r="F37" s="3"/>
      <c r="G37" s="3"/>
      <c r="H37" s="3"/>
      <c r="I37" s="3"/>
      <c r="J37" s="20">
        <f t="shared" si="6"/>
        <v>162000</v>
      </c>
      <c r="K37" s="112">
        <v>51013</v>
      </c>
      <c r="L37" s="3">
        <f t="shared" si="7"/>
        <v>110987</v>
      </c>
    </row>
    <row r="38" spans="1:12" x14ac:dyDescent="0.25">
      <c r="A38" s="258"/>
      <c r="B38" s="253"/>
      <c r="C38" s="2" t="s">
        <v>36</v>
      </c>
      <c r="D38" s="3">
        <v>569540</v>
      </c>
      <c r="E38" s="3">
        <v>569540</v>
      </c>
      <c r="F38" s="3"/>
      <c r="G38" s="3"/>
      <c r="H38" s="3"/>
      <c r="I38" s="3"/>
      <c r="J38" s="20">
        <f t="shared" si="6"/>
        <v>569540</v>
      </c>
      <c r="K38" s="112">
        <v>385613</v>
      </c>
      <c r="L38" s="3">
        <f t="shared" si="7"/>
        <v>183927</v>
      </c>
    </row>
    <row r="39" spans="1:12" x14ac:dyDescent="0.25">
      <c r="A39" s="258"/>
      <c r="B39" s="253"/>
      <c r="C39" s="2" t="s">
        <v>37</v>
      </c>
      <c r="D39" s="3">
        <v>3000</v>
      </c>
      <c r="E39" s="3">
        <v>3000</v>
      </c>
      <c r="F39" s="3"/>
      <c r="G39" s="3"/>
      <c r="H39" s="3"/>
      <c r="I39" s="3"/>
      <c r="J39" s="20">
        <f t="shared" si="6"/>
        <v>3000</v>
      </c>
      <c r="K39" s="112">
        <v>0</v>
      </c>
      <c r="L39" s="3">
        <f t="shared" si="7"/>
        <v>3000</v>
      </c>
    </row>
    <row r="40" spans="1:12" x14ac:dyDescent="0.25">
      <c r="A40" s="258"/>
      <c r="B40" s="253"/>
      <c r="C40" s="2" t="s">
        <v>38</v>
      </c>
      <c r="D40" s="3">
        <v>460000</v>
      </c>
      <c r="E40" s="3">
        <v>456500</v>
      </c>
      <c r="F40" s="3"/>
      <c r="G40" s="3"/>
      <c r="H40" s="3"/>
      <c r="I40" s="3"/>
      <c r="J40" s="20">
        <f t="shared" si="6"/>
        <v>456500</v>
      </c>
      <c r="K40" s="112">
        <v>189040</v>
      </c>
      <c r="L40" s="3">
        <f t="shared" si="7"/>
        <v>267460</v>
      </c>
    </row>
    <row r="41" spans="1:12" x14ac:dyDescent="0.25">
      <c r="A41" s="258"/>
      <c r="B41" s="253"/>
      <c r="C41" s="2" t="s">
        <v>39</v>
      </c>
      <c r="D41" s="3">
        <v>13200</v>
      </c>
      <c r="E41" s="3">
        <v>21926</v>
      </c>
      <c r="F41" s="3"/>
      <c r="G41" s="3"/>
      <c r="H41" s="3">
        <v>10000</v>
      </c>
      <c r="I41" s="3"/>
      <c r="J41" s="20">
        <f t="shared" si="6"/>
        <v>31926</v>
      </c>
      <c r="K41" s="112">
        <v>22999</v>
      </c>
      <c r="L41" s="60">
        <f t="shared" si="7"/>
        <v>8927</v>
      </c>
    </row>
    <row r="42" spans="1:12" x14ac:dyDescent="0.25">
      <c r="A42" s="258"/>
      <c r="B42" s="253"/>
      <c r="C42" s="2" t="s">
        <v>40</v>
      </c>
      <c r="D42" s="3">
        <v>137800</v>
      </c>
      <c r="E42" s="3">
        <v>137800</v>
      </c>
      <c r="F42" s="3">
        <v>-75000</v>
      </c>
      <c r="G42" s="3"/>
      <c r="H42" s="3"/>
      <c r="I42" s="3"/>
      <c r="J42" s="20">
        <f t="shared" si="6"/>
        <v>62800</v>
      </c>
      <c r="K42" s="112">
        <v>53500</v>
      </c>
      <c r="L42" s="3">
        <f t="shared" si="7"/>
        <v>9300</v>
      </c>
    </row>
    <row r="43" spans="1:12" x14ac:dyDescent="0.25">
      <c r="A43" s="258"/>
      <c r="B43" s="253"/>
      <c r="C43" s="2" t="s">
        <v>41</v>
      </c>
      <c r="D43" s="3">
        <v>582236</v>
      </c>
      <c r="E43" s="3">
        <v>578510</v>
      </c>
      <c r="F43" s="3"/>
      <c r="G43" s="3"/>
      <c r="H43" s="3"/>
      <c r="I43" s="3"/>
      <c r="J43" s="20">
        <f t="shared" si="6"/>
        <v>578510</v>
      </c>
      <c r="K43" s="112">
        <v>474495</v>
      </c>
      <c r="L43" s="3">
        <f t="shared" si="7"/>
        <v>104015</v>
      </c>
    </row>
    <row r="44" spans="1:12" x14ac:dyDescent="0.25">
      <c r="A44" s="258"/>
      <c r="B44" s="253"/>
      <c r="C44" s="2" t="s">
        <v>42</v>
      </c>
      <c r="D44" s="3">
        <v>552000</v>
      </c>
      <c r="E44" s="3">
        <v>534045</v>
      </c>
      <c r="F44" s="3"/>
      <c r="G44" s="3"/>
      <c r="H44" s="3"/>
      <c r="I44" s="3"/>
      <c r="J44" s="20">
        <f t="shared" si="6"/>
        <v>534045</v>
      </c>
      <c r="K44" s="112">
        <v>276385</v>
      </c>
      <c r="L44" s="3">
        <f t="shared" si="7"/>
        <v>257660</v>
      </c>
    </row>
    <row r="45" spans="1:12" x14ac:dyDescent="0.25">
      <c r="A45" s="258"/>
      <c r="B45" s="253"/>
      <c r="C45" s="2" t="s">
        <v>43</v>
      </c>
      <c r="D45" s="3">
        <v>30000</v>
      </c>
      <c r="E45" s="3">
        <v>30000</v>
      </c>
      <c r="F45" s="3"/>
      <c r="G45" s="3"/>
      <c r="H45" s="3"/>
      <c r="I45" s="3"/>
      <c r="J45" s="20">
        <f t="shared" si="6"/>
        <v>30000</v>
      </c>
      <c r="K45" s="112">
        <v>0</v>
      </c>
      <c r="L45" s="3">
        <f t="shared" si="7"/>
        <v>30000</v>
      </c>
    </row>
    <row r="46" spans="1:12" x14ac:dyDescent="0.25">
      <c r="A46" s="258"/>
      <c r="B46" s="253"/>
      <c r="C46" s="2" t="s">
        <v>44</v>
      </c>
      <c r="D46" s="3">
        <v>455834</v>
      </c>
      <c r="E46" s="3">
        <v>218435</v>
      </c>
      <c r="F46" s="3"/>
      <c r="G46" s="3"/>
      <c r="H46" s="3"/>
      <c r="I46" s="3"/>
      <c r="J46" s="20">
        <f t="shared" si="6"/>
        <v>218435</v>
      </c>
      <c r="K46" s="112">
        <v>130354</v>
      </c>
      <c r="L46" s="3">
        <f t="shared" si="7"/>
        <v>88081</v>
      </c>
    </row>
    <row r="47" spans="1:12" x14ac:dyDescent="0.25">
      <c r="A47" s="258"/>
      <c r="B47" s="253"/>
      <c r="C47" s="2" t="s">
        <v>45</v>
      </c>
      <c r="D47" s="3">
        <v>80000</v>
      </c>
      <c r="E47" s="3">
        <v>75764</v>
      </c>
      <c r="F47" s="3"/>
      <c r="G47" s="3"/>
      <c r="H47" s="3"/>
      <c r="I47" s="3"/>
      <c r="J47" s="20">
        <f t="shared" si="6"/>
        <v>75764</v>
      </c>
      <c r="K47" s="112">
        <v>48843</v>
      </c>
      <c r="L47" s="3">
        <f t="shared" si="7"/>
        <v>26921</v>
      </c>
    </row>
    <row r="48" spans="1:12" x14ac:dyDescent="0.25">
      <c r="A48" s="258"/>
      <c r="B48" s="253"/>
      <c r="C48" s="6" t="s">
        <v>49</v>
      </c>
      <c r="D48" s="7">
        <f>SUM(D34:D47)</f>
        <v>3863610</v>
      </c>
      <c r="E48" s="7">
        <f t="shared" ref="E48:L48" si="8">SUM(E34:E47)</f>
        <v>3605520</v>
      </c>
      <c r="F48" s="7">
        <f t="shared" si="8"/>
        <v>-75000</v>
      </c>
      <c r="G48" s="7">
        <f t="shared" si="8"/>
        <v>0</v>
      </c>
      <c r="H48" s="7">
        <f t="shared" si="8"/>
        <v>20000</v>
      </c>
      <c r="I48" s="7">
        <f t="shared" si="8"/>
        <v>0</v>
      </c>
      <c r="J48" s="7">
        <f t="shared" si="8"/>
        <v>3550520</v>
      </c>
      <c r="K48" s="114">
        <f t="shared" si="8"/>
        <v>1754224</v>
      </c>
      <c r="L48" s="7">
        <f t="shared" si="8"/>
        <v>1796296</v>
      </c>
    </row>
    <row r="49" spans="1:12" x14ac:dyDescent="0.25">
      <c r="A49" s="258"/>
      <c r="B49" s="253"/>
      <c r="C49" s="2" t="s">
        <v>50</v>
      </c>
      <c r="D49" s="3">
        <v>78740</v>
      </c>
      <c r="E49" s="3">
        <v>78740</v>
      </c>
      <c r="F49" s="3"/>
      <c r="G49" s="3"/>
      <c r="H49" s="3"/>
      <c r="I49" s="3"/>
      <c r="J49" s="20">
        <f t="shared" ref="J49:J50" si="9">E49+F49+G49+H49+I49</f>
        <v>78740</v>
      </c>
      <c r="K49" s="112">
        <v>0</v>
      </c>
      <c r="L49" s="3">
        <f t="shared" ref="L49:L50" si="10">J49-K49</f>
        <v>78740</v>
      </c>
    </row>
    <row r="50" spans="1:12" x14ac:dyDescent="0.25">
      <c r="A50" s="258"/>
      <c r="B50" s="253"/>
      <c r="C50" s="2" t="s">
        <v>51</v>
      </c>
      <c r="D50" s="3">
        <v>21260</v>
      </c>
      <c r="E50" s="3">
        <v>21260</v>
      </c>
      <c r="F50" s="3"/>
      <c r="G50" s="3"/>
      <c r="H50" s="3"/>
      <c r="I50" s="3"/>
      <c r="J50" s="20">
        <f t="shared" si="9"/>
        <v>21260</v>
      </c>
      <c r="K50" s="112">
        <v>0</v>
      </c>
      <c r="L50" s="3">
        <f t="shared" si="10"/>
        <v>21260</v>
      </c>
    </row>
    <row r="51" spans="1:12" x14ac:dyDescent="0.25">
      <c r="A51" s="258"/>
      <c r="B51" s="254"/>
      <c r="C51" s="6" t="s">
        <v>52</v>
      </c>
      <c r="D51" s="7">
        <f>SUM(D49:D50)</f>
        <v>100000</v>
      </c>
      <c r="E51" s="7">
        <v>100000</v>
      </c>
      <c r="F51" s="7">
        <f t="shared" ref="F51:L51" si="11">SUM(F49:F50)</f>
        <v>0</v>
      </c>
      <c r="G51" s="7">
        <f t="shared" si="11"/>
        <v>0</v>
      </c>
      <c r="H51" s="7">
        <f t="shared" si="11"/>
        <v>0</v>
      </c>
      <c r="I51" s="7">
        <f t="shared" si="11"/>
        <v>0</v>
      </c>
      <c r="J51" s="7">
        <f t="shared" si="11"/>
        <v>100000</v>
      </c>
      <c r="K51" s="114">
        <f t="shared" si="11"/>
        <v>0</v>
      </c>
      <c r="L51" s="7">
        <f t="shared" si="11"/>
        <v>100000</v>
      </c>
    </row>
    <row r="52" spans="1:12" x14ac:dyDescent="0.25">
      <c r="A52" s="258"/>
      <c r="B52" s="268" t="s">
        <v>46</v>
      </c>
      <c r="C52" s="2" t="s">
        <v>24</v>
      </c>
      <c r="D52" s="3">
        <v>25123345</v>
      </c>
      <c r="E52" s="3">
        <v>25143281</v>
      </c>
      <c r="F52" s="3"/>
      <c r="G52" s="3"/>
      <c r="H52" s="3"/>
      <c r="I52" s="3"/>
      <c r="J52" s="20">
        <f t="shared" ref="J52:J60" si="12">E52+F52+G52+H52+I52</f>
        <v>25143281</v>
      </c>
      <c r="K52" s="112">
        <v>16918561</v>
      </c>
      <c r="L52" s="3">
        <f t="shared" ref="L52:L60" si="13">J52-K52</f>
        <v>8224720</v>
      </c>
    </row>
    <row r="53" spans="1:12" x14ac:dyDescent="0.25">
      <c r="A53" s="258"/>
      <c r="B53" s="268"/>
      <c r="C53" s="2" t="s">
        <v>47</v>
      </c>
      <c r="D53" s="3">
        <v>2040480</v>
      </c>
      <c r="E53" s="3">
        <v>2040480</v>
      </c>
      <c r="F53" s="3"/>
      <c r="G53" s="3"/>
      <c r="H53" s="3"/>
      <c r="I53" s="3"/>
      <c r="J53" s="20">
        <f t="shared" si="12"/>
        <v>2040480</v>
      </c>
      <c r="K53" s="112">
        <v>1437961</v>
      </c>
      <c r="L53" s="3">
        <f t="shared" si="13"/>
        <v>602519</v>
      </c>
    </row>
    <row r="54" spans="1:12" x14ac:dyDescent="0.25">
      <c r="A54" s="258"/>
      <c r="B54" s="268"/>
      <c r="C54" s="2" t="s">
        <v>48</v>
      </c>
      <c r="D54" s="3">
        <v>0</v>
      </c>
      <c r="E54" s="3">
        <v>0</v>
      </c>
      <c r="F54" s="3"/>
      <c r="G54" s="3"/>
      <c r="H54" s="3"/>
      <c r="I54" s="3"/>
      <c r="J54" s="20">
        <f t="shared" si="12"/>
        <v>0</v>
      </c>
      <c r="K54" s="112">
        <v>0</v>
      </c>
      <c r="L54" s="3">
        <f t="shared" si="13"/>
        <v>0</v>
      </c>
    </row>
    <row r="55" spans="1:12" x14ac:dyDescent="0.25">
      <c r="A55" s="258"/>
      <c r="B55" s="268"/>
      <c r="C55" s="2" t="s">
        <v>25</v>
      </c>
      <c r="D55" s="3">
        <v>1025000</v>
      </c>
      <c r="E55" s="3">
        <v>1025000</v>
      </c>
      <c r="F55" s="3"/>
      <c r="G55" s="3"/>
      <c r="H55" s="3"/>
      <c r="I55" s="3"/>
      <c r="J55" s="20">
        <f t="shared" si="12"/>
        <v>1025000</v>
      </c>
      <c r="K55" s="112">
        <v>450000</v>
      </c>
      <c r="L55" s="3">
        <f t="shared" si="13"/>
        <v>575000</v>
      </c>
    </row>
    <row r="56" spans="1:12" x14ac:dyDescent="0.25">
      <c r="A56" s="258"/>
      <c r="B56" s="268"/>
      <c r="C56" s="2" t="s">
        <v>26</v>
      </c>
      <c r="D56" s="3">
        <v>60000</v>
      </c>
      <c r="E56" s="3">
        <v>60000</v>
      </c>
      <c r="F56" s="3"/>
      <c r="G56" s="3"/>
      <c r="H56" s="3"/>
      <c r="I56" s="3"/>
      <c r="J56" s="20">
        <f t="shared" si="12"/>
        <v>60000</v>
      </c>
      <c r="K56" s="112">
        <v>0</v>
      </c>
      <c r="L56" s="3">
        <f t="shared" si="13"/>
        <v>60000</v>
      </c>
    </row>
    <row r="57" spans="1:12" x14ac:dyDescent="0.25">
      <c r="A57" s="258"/>
      <c r="B57" s="268"/>
      <c r="C57" s="2" t="s">
        <v>27</v>
      </c>
      <c r="D57" s="3">
        <v>240000</v>
      </c>
      <c r="E57" s="3">
        <v>229902</v>
      </c>
      <c r="F57" s="3"/>
      <c r="G57" s="3"/>
      <c r="H57" s="3"/>
      <c r="I57" s="3"/>
      <c r="J57" s="20">
        <f t="shared" si="12"/>
        <v>229902</v>
      </c>
      <c r="K57" s="112">
        <v>116370</v>
      </c>
      <c r="L57" s="3">
        <f t="shared" si="13"/>
        <v>113532</v>
      </c>
    </row>
    <row r="58" spans="1:12" x14ac:dyDescent="0.25">
      <c r="A58" s="258"/>
      <c r="B58" s="268"/>
      <c r="C58" s="2" t="s">
        <v>28</v>
      </c>
      <c r="D58" s="3">
        <v>147000</v>
      </c>
      <c r="E58" s="3">
        <v>147000</v>
      </c>
      <c r="F58" s="3"/>
      <c r="G58" s="3"/>
      <c r="H58" s="3"/>
      <c r="I58" s="3"/>
      <c r="J58" s="20">
        <f t="shared" si="12"/>
        <v>147000</v>
      </c>
      <c r="K58" s="112">
        <v>57000</v>
      </c>
      <c r="L58" s="3">
        <f t="shared" si="13"/>
        <v>90000</v>
      </c>
    </row>
    <row r="59" spans="1:12" x14ac:dyDescent="0.25">
      <c r="A59" s="258"/>
      <c r="B59" s="268"/>
      <c r="C59" s="2" t="s">
        <v>29</v>
      </c>
      <c r="D59" s="3">
        <v>553500</v>
      </c>
      <c r="E59" s="3">
        <v>523080</v>
      </c>
      <c r="F59" s="3"/>
      <c r="G59" s="3"/>
      <c r="H59" s="3"/>
      <c r="I59" s="3"/>
      <c r="J59" s="20">
        <f t="shared" si="12"/>
        <v>523080</v>
      </c>
      <c r="K59" s="112">
        <v>484727</v>
      </c>
      <c r="L59" s="3">
        <f t="shared" si="13"/>
        <v>38353</v>
      </c>
    </row>
    <row r="60" spans="1:12" x14ac:dyDescent="0.25">
      <c r="A60" s="258"/>
      <c r="B60" s="268"/>
      <c r="C60" s="2" t="s">
        <v>30</v>
      </c>
      <c r="D60" s="3">
        <v>100000</v>
      </c>
      <c r="E60" s="3">
        <v>100000</v>
      </c>
      <c r="F60" s="3"/>
      <c r="G60" s="3"/>
      <c r="H60" s="3"/>
      <c r="I60" s="3"/>
      <c r="J60" s="20">
        <f t="shared" si="12"/>
        <v>100000</v>
      </c>
      <c r="K60" s="112">
        <v>13902</v>
      </c>
      <c r="L60" s="3">
        <f t="shared" si="13"/>
        <v>86098</v>
      </c>
    </row>
    <row r="61" spans="1:12" x14ac:dyDescent="0.25">
      <c r="A61" s="258"/>
      <c r="B61" s="268"/>
      <c r="C61" s="6" t="s">
        <v>53</v>
      </c>
      <c r="D61" s="7">
        <f>SUM(D52:D60)</f>
        <v>29289325</v>
      </c>
      <c r="E61" s="7">
        <v>29268743</v>
      </c>
      <c r="F61" s="7">
        <f t="shared" ref="F61:L61" si="14">SUM(F52:F60)</f>
        <v>0</v>
      </c>
      <c r="G61" s="7">
        <f t="shared" si="14"/>
        <v>0</v>
      </c>
      <c r="H61" s="7">
        <f t="shared" si="14"/>
        <v>0</v>
      </c>
      <c r="I61" s="7">
        <f t="shared" si="14"/>
        <v>0</v>
      </c>
      <c r="J61" s="7">
        <f t="shared" si="14"/>
        <v>29268743</v>
      </c>
      <c r="K61" s="114">
        <f t="shared" si="14"/>
        <v>19478521</v>
      </c>
      <c r="L61" s="7">
        <f t="shared" si="14"/>
        <v>9790222</v>
      </c>
    </row>
    <row r="62" spans="1:12" x14ac:dyDescent="0.25">
      <c r="A62" s="258"/>
      <c r="B62" s="268"/>
      <c r="C62" s="86" t="s">
        <v>31</v>
      </c>
      <c r="D62" s="87">
        <v>5849797</v>
      </c>
      <c r="E62" s="87">
        <v>5853685</v>
      </c>
      <c r="F62" s="87"/>
      <c r="G62" s="87"/>
      <c r="H62" s="87"/>
      <c r="I62" s="87"/>
      <c r="J62" s="88">
        <f t="shared" ref="J62:J75" si="15">E62+F62+G62+H62+I62</f>
        <v>5853685</v>
      </c>
      <c r="K62" s="115">
        <v>4039443</v>
      </c>
      <c r="L62" s="89">
        <f t="shared" ref="L62:L75" si="16">J62-K62</f>
        <v>1814242</v>
      </c>
    </row>
    <row r="63" spans="1:12" x14ac:dyDescent="0.25">
      <c r="A63" s="258"/>
      <c r="B63" s="268"/>
      <c r="C63" s="2" t="s">
        <v>32</v>
      </c>
      <c r="D63" s="3">
        <v>105000</v>
      </c>
      <c r="E63" s="3">
        <v>105000</v>
      </c>
      <c r="F63" s="3"/>
      <c r="G63" s="3"/>
      <c r="H63" s="3"/>
      <c r="I63" s="3"/>
      <c r="J63" s="20">
        <f t="shared" si="15"/>
        <v>105000</v>
      </c>
      <c r="K63" s="112">
        <v>44084</v>
      </c>
      <c r="L63" s="3">
        <f t="shared" si="16"/>
        <v>60916</v>
      </c>
    </row>
    <row r="64" spans="1:12" x14ac:dyDescent="0.25">
      <c r="A64" s="258"/>
      <c r="B64" s="268"/>
      <c r="C64" s="2" t="s">
        <v>33</v>
      </c>
      <c r="D64" s="3">
        <v>700000</v>
      </c>
      <c r="E64" s="3">
        <v>700000</v>
      </c>
      <c r="F64" s="3"/>
      <c r="G64" s="3"/>
      <c r="H64" s="3"/>
      <c r="I64" s="3"/>
      <c r="J64" s="20">
        <f t="shared" si="15"/>
        <v>700000</v>
      </c>
      <c r="K64" s="112">
        <v>43894</v>
      </c>
      <c r="L64" s="3">
        <f t="shared" si="16"/>
        <v>656106</v>
      </c>
    </row>
    <row r="65" spans="1:12" x14ac:dyDescent="0.25">
      <c r="A65" s="258"/>
      <c r="B65" s="268"/>
      <c r="C65" s="2" t="s">
        <v>34</v>
      </c>
      <c r="D65" s="3">
        <v>213000</v>
      </c>
      <c r="E65" s="3">
        <v>213000</v>
      </c>
      <c r="F65" s="3"/>
      <c r="G65" s="3"/>
      <c r="H65" s="3"/>
      <c r="I65" s="3"/>
      <c r="J65" s="20">
        <f t="shared" si="15"/>
        <v>213000</v>
      </c>
      <c r="K65" s="112">
        <v>81874</v>
      </c>
      <c r="L65" s="3">
        <f t="shared" si="16"/>
        <v>131126</v>
      </c>
    </row>
    <row r="66" spans="1:12" x14ac:dyDescent="0.25">
      <c r="A66" s="258"/>
      <c r="B66" s="268"/>
      <c r="C66" s="2" t="s">
        <v>35</v>
      </c>
      <c r="D66" s="3">
        <v>288000</v>
      </c>
      <c r="E66" s="3">
        <v>122200</v>
      </c>
      <c r="F66" s="3"/>
      <c r="G66" s="3"/>
      <c r="H66" s="3"/>
      <c r="I66" s="3"/>
      <c r="J66" s="20">
        <f t="shared" si="15"/>
        <v>122200</v>
      </c>
      <c r="K66" s="112">
        <v>85418</v>
      </c>
      <c r="L66" s="3">
        <f t="shared" si="16"/>
        <v>36782</v>
      </c>
    </row>
    <row r="67" spans="1:12" x14ac:dyDescent="0.25">
      <c r="A67" s="258"/>
      <c r="B67" s="268"/>
      <c r="C67" s="2" t="s">
        <v>36</v>
      </c>
      <c r="D67" s="3">
        <v>669540</v>
      </c>
      <c r="E67" s="3">
        <v>669540</v>
      </c>
      <c r="F67" s="3"/>
      <c r="G67" s="3"/>
      <c r="H67" s="3"/>
      <c r="I67" s="3"/>
      <c r="J67" s="20">
        <f t="shared" si="15"/>
        <v>669540</v>
      </c>
      <c r="K67" s="112">
        <v>465441</v>
      </c>
      <c r="L67" s="3">
        <f t="shared" si="16"/>
        <v>204099</v>
      </c>
    </row>
    <row r="68" spans="1:12" x14ac:dyDescent="0.25">
      <c r="A68" s="258"/>
      <c r="B68" s="268"/>
      <c r="C68" s="2" t="s">
        <v>37</v>
      </c>
      <c r="D68" s="3">
        <v>123000</v>
      </c>
      <c r="E68" s="3">
        <v>123000</v>
      </c>
      <c r="F68" s="3"/>
      <c r="G68" s="3"/>
      <c r="H68" s="3"/>
      <c r="I68" s="3"/>
      <c r="J68" s="20">
        <f t="shared" si="15"/>
        <v>123000</v>
      </c>
      <c r="K68" s="112">
        <v>0</v>
      </c>
      <c r="L68" s="3">
        <f t="shared" si="16"/>
        <v>123000</v>
      </c>
    </row>
    <row r="69" spans="1:12" x14ac:dyDescent="0.25">
      <c r="A69" s="258"/>
      <c r="B69" s="268"/>
      <c r="C69" s="2" t="s">
        <v>38</v>
      </c>
      <c r="D69" s="3">
        <v>460000</v>
      </c>
      <c r="E69" s="3">
        <v>460000</v>
      </c>
      <c r="F69" s="3"/>
      <c r="G69" s="3"/>
      <c r="H69" s="3"/>
      <c r="I69" s="3"/>
      <c r="J69" s="20">
        <f t="shared" si="15"/>
        <v>460000</v>
      </c>
      <c r="K69" s="112">
        <v>193540</v>
      </c>
      <c r="L69" s="3">
        <f t="shared" si="16"/>
        <v>266460</v>
      </c>
    </row>
    <row r="70" spans="1:12" x14ac:dyDescent="0.25">
      <c r="A70" s="258"/>
      <c r="B70" s="268"/>
      <c r="C70" s="2" t="s">
        <v>40</v>
      </c>
      <c r="D70" s="3">
        <v>1361904</v>
      </c>
      <c r="E70" s="3">
        <v>1361904</v>
      </c>
      <c r="F70" s="3"/>
      <c r="G70" s="3"/>
      <c r="H70" s="3"/>
      <c r="I70" s="3"/>
      <c r="J70" s="20">
        <f t="shared" si="15"/>
        <v>1361904</v>
      </c>
      <c r="K70" s="112">
        <v>544586</v>
      </c>
      <c r="L70" s="3">
        <f t="shared" si="16"/>
        <v>817318</v>
      </c>
    </row>
    <row r="71" spans="1:12" x14ac:dyDescent="0.25">
      <c r="A71" s="258"/>
      <c r="B71" s="268"/>
      <c r="C71" s="2" t="s">
        <v>41</v>
      </c>
      <c r="D71" s="3">
        <v>982236</v>
      </c>
      <c r="E71" s="3">
        <v>980551</v>
      </c>
      <c r="F71" s="3"/>
      <c r="G71" s="3"/>
      <c r="H71" s="3"/>
      <c r="I71" s="3"/>
      <c r="J71" s="20">
        <f t="shared" si="15"/>
        <v>980551</v>
      </c>
      <c r="K71" s="112">
        <v>808895</v>
      </c>
      <c r="L71" s="3">
        <f t="shared" si="16"/>
        <v>171656</v>
      </c>
    </row>
    <row r="72" spans="1:12" x14ac:dyDescent="0.25">
      <c r="A72" s="258"/>
      <c r="B72" s="268"/>
      <c r="C72" s="2" t="s">
        <v>42</v>
      </c>
      <c r="D72" s="3">
        <v>1200000</v>
      </c>
      <c r="E72" s="3">
        <v>1139045</v>
      </c>
      <c r="F72" s="3"/>
      <c r="G72" s="3"/>
      <c r="H72" s="3"/>
      <c r="I72" s="3"/>
      <c r="J72" s="20">
        <f t="shared" si="15"/>
        <v>1139045</v>
      </c>
      <c r="K72" s="112">
        <v>251310</v>
      </c>
      <c r="L72" s="3">
        <f t="shared" si="16"/>
        <v>887735</v>
      </c>
    </row>
    <row r="73" spans="1:12" x14ac:dyDescent="0.25">
      <c r="A73" s="258"/>
      <c r="B73" s="268"/>
      <c r="C73" s="2" t="s">
        <v>43</v>
      </c>
      <c r="D73" s="3">
        <v>30000</v>
      </c>
      <c r="E73" s="3">
        <v>30000</v>
      </c>
      <c r="F73" s="3"/>
      <c r="G73" s="3"/>
      <c r="H73" s="3"/>
      <c r="I73" s="3"/>
      <c r="J73" s="20">
        <f t="shared" si="15"/>
        <v>30000</v>
      </c>
      <c r="K73" s="112">
        <v>0</v>
      </c>
      <c r="L73" s="3">
        <f t="shared" si="16"/>
        <v>30000</v>
      </c>
    </row>
    <row r="74" spans="1:12" x14ac:dyDescent="0.25">
      <c r="A74" s="258"/>
      <c r="B74" s="268"/>
      <c r="C74" s="2" t="s">
        <v>44</v>
      </c>
      <c r="D74" s="3">
        <v>1041508</v>
      </c>
      <c r="E74" s="3">
        <v>980423</v>
      </c>
      <c r="F74" s="3"/>
      <c r="G74" s="3"/>
      <c r="H74" s="3"/>
      <c r="I74" s="3"/>
      <c r="J74" s="20">
        <f t="shared" si="15"/>
        <v>980423</v>
      </c>
      <c r="K74" s="112">
        <v>272889</v>
      </c>
      <c r="L74" s="3">
        <f t="shared" si="16"/>
        <v>707534</v>
      </c>
    </row>
    <row r="75" spans="1:12" x14ac:dyDescent="0.25">
      <c r="A75" s="258"/>
      <c r="B75" s="268"/>
      <c r="C75" s="2" t="s">
        <v>45</v>
      </c>
      <c r="D75" s="3">
        <v>433021</v>
      </c>
      <c r="E75" s="3">
        <v>134003</v>
      </c>
      <c r="F75" s="3"/>
      <c r="G75" s="3"/>
      <c r="H75" s="3"/>
      <c r="I75" s="3"/>
      <c r="J75" s="20">
        <f t="shared" si="15"/>
        <v>134003</v>
      </c>
      <c r="K75" s="112">
        <v>0</v>
      </c>
      <c r="L75" s="3">
        <f t="shared" si="16"/>
        <v>134003</v>
      </c>
    </row>
    <row r="76" spans="1:12" x14ac:dyDescent="0.25">
      <c r="A76" s="258"/>
      <c r="B76" s="268"/>
      <c r="C76" s="6" t="s">
        <v>49</v>
      </c>
      <c r="D76" s="7">
        <f>SUM(D63:D75)</f>
        <v>7607209</v>
      </c>
      <c r="E76" s="7">
        <v>7018666</v>
      </c>
      <c r="F76" s="7">
        <f t="shared" ref="F76:L76" si="17">SUM(F63:F75)</f>
        <v>0</v>
      </c>
      <c r="G76" s="7">
        <f t="shared" si="17"/>
        <v>0</v>
      </c>
      <c r="H76" s="7">
        <f t="shared" si="17"/>
        <v>0</v>
      </c>
      <c r="I76" s="7">
        <f t="shared" si="17"/>
        <v>0</v>
      </c>
      <c r="J76" s="7">
        <f t="shared" si="17"/>
        <v>7018666</v>
      </c>
      <c r="K76" s="114">
        <f t="shared" si="17"/>
        <v>2791931</v>
      </c>
      <c r="L76" s="7">
        <f t="shared" si="17"/>
        <v>4226735</v>
      </c>
    </row>
    <row r="77" spans="1:12" x14ac:dyDescent="0.25">
      <c r="A77" s="258"/>
      <c r="B77" s="268"/>
      <c r="C77" s="2" t="s">
        <v>50</v>
      </c>
      <c r="D77" s="3">
        <v>78740</v>
      </c>
      <c r="E77" s="3">
        <v>78740</v>
      </c>
      <c r="F77" s="3"/>
      <c r="G77" s="3"/>
      <c r="H77" s="3"/>
      <c r="I77" s="3"/>
      <c r="J77" s="20">
        <f t="shared" ref="J77:J78" si="18">E77+F77+G77+H77+I77</f>
        <v>78740</v>
      </c>
      <c r="K77" s="112">
        <v>0</v>
      </c>
      <c r="L77" s="3">
        <f t="shared" ref="L77:L78" si="19">J77-K77</f>
        <v>78740</v>
      </c>
    </row>
    <row r="78" spans="1:12" x14ac:dyDescent="0.25">
      <c r="A78" s="258"/>
      <c r="B78" s="268"/>
      <c r="C78" s="2" t="s">
        <v>51</v>
      </c>
      <c r="D78" s="3">
        <v>21260</v>
      </c>
      <c r="E78" s="3">
        <v>21260</v>
      </c>
      <c r="F78" s="3"/>
      <c r="G78" s="3"/>
      <c r="H78" s="3"/>
      <c r="I78" s="3"/>
      <c r="J78" s="20">
        <f t="shared" si="18"/>
        <v>21260</v>
      </c>
      <c r="K78" s="112">
        <v>0</v>
      </c>
      <c r="L78" s="3">
        <f t="shared" si="19"/>
        <v>21260</v>
      </c>
    </row>
    <row r="79" spans="1:12" x14ac:dyDescent="0.25">
      <c r="A79" s="258"/>
      <c r="B79" s="268"/>
      <c r="C79" s="6" t="s">
        <v>52</v>
      </c>
      <c r="D79" s="7">
        <f>SUM(D77:D78)</f>
        <v>100000</v>
      </c>
      <c r="E79" s="7">
        <v>100000</v>
      </c>
      <c r="F79" s="7">
        <f t="shared" ref="F79:L79" si="20">SUM(F77:F78)</f>
        <v>0</v>
      </c>
      <c r="G79" s="7">
        <f t="shared" si="20"/>
        <v>0</v>
      </c>
      <c r="H79" s="7">
        <f t="shared" si="20"/>
        <v>0</v>
      </c>
      <c r="I79" s="7">
        <f t="shared" si="20"/>
        <v>0</v>
      </c>
      <c r="J79" s="7">
        <f t="shared" si="20"/>
        <v>100000</v>
      </c>
      <c r="K79" s="114">
        <f t="shared" si="20"/>
        <v>0</v>
      </c>
      <c r="L79" s="7">
        <f t="shared" si="20"/>
        <v>100000</v>
      </c>
    </row>
    <row r="80" spans="1:12" x14ac:dyDescent="0.25">
      <c r="A80" s="259" t="s">
        <v>58</v>
      </c>
      <c r="B80" s="261" t="s">
        <v>46</v>
      </c>
      <c r="C80" s="15" t="s">
        <v>29</v>
      </c>
      <c r="D80" s="24">
        <v>410400</v>
      </c>
      <c r="E80" s="24">
        <v>410400</v>
      </c>
      <c r="F80" s="11"/>
      <c r="G80" s="11"/>
      <c r="H80" s="11"/>
      <c r="I80" s="11"/>
      <c r="J80" s="20">
        <f t="shared" ref="J80:J87" si="21">E80+F80+G80+H80+I80</f>
        <v>410400</v>
      </c>
      <c r="K80" s="112">
        <v>323000</v>
      </c>
      <c r="L80" s="3">
        <f t="shared" ref="L80:L87" si="22">J80-K80</f>
        <v>87400</v>
      </c>
    </row>
    <row r="81" spans="1:12" x14ac:dyDescent="0.25">
      <c r="A81" s="260"/>
      <c r="B81" s="262"/>
      <c r="C81" s="15" t="s">
        <v>31</v>
      </c>
      <c r="D81" s="24">
        <v>76266</v>
      </c>
      <c r="E81" s="24">
        <v>76266</v>
      </c>
      <c r="F81" s="11"/>
      <c r="G81" s="11"/>
      <c r="H81" s="11"/>
      <c r="I81" s="11"/>
      <c r="J81" s="20">
        <f t="shared" si="21"/>
        <v>76266</v>
      </c>
      <c r="K81" s="112">
        <v>61529</v>
      </c>
      <c r="L81" s="3">
        <f t="shared" si="22"/>
        <v>14737</v>
      </c>
    </row>
    <row r="82" spans="1:12" x14ac:dyDescent="0.25">
      <c r="A82" s="259" t="s">
        <v>59</v>
      </c>
      <c r="B82" s="261" t="s">
        <v>23</v>
      </c>
      <c r="C82" s="15" t="s">
        <v>29</v>
      </c>
      <c r="D82" s="24">
        <v>603600</v>
      </c>
      <c r="E82" s="24">
        <v>603600</v>
      </c>
      <c r="F82" s="11"/>
      <c r="G82" s="11"/>
      <c r="H82" s="11"/>
      <c r="I82" s="11"/>
      <c r="J82" s="20">
        <f t="shared" si="21"/>
        <v>603600</v>
      </c>
      <c r="K82" s="112">
        <v>262300</v>
      </c>
      <c r="L82" s="3">
        <f t="shared" si="22"/>
        <v>341300</v>
      </c>
    </row>
    <row r="83" spans="1:12" x14ac:dyDescent="0.25">
      <c r="A83" s="260"/>
      <c r="B83" s="262"/>
      <c r="C83" s="15" t="s">
        <v>31</v>
      </c>
      <c r="D83" s="24">
        <v>112169</v>
      </c>
      <c r="E83" s="24">
        <v>112169</v>
      </c>
      <c r="F83" s="11"/>
      <c r="G83" s="11"/>
      <c r="H83" s="11"/>
      <c r="I83" s="11"/>
      <c r="J83" s="20">
        <f t="shared" si="21"/>
        <v>112169</v>
      </c>
      <c r="K83" s="112">
        <v>50090</v>
      </c>
      <c r="L83" s="3">
        <f t="shared" si="22"/>
        <v>62079</v>
      </c>
    </row>
    <row r="84" spans="1:12" x14ac:dyDescent="0.25">
      <c r="A84" s="259" t="s">
        <v>60</v>
      </c>
      <c r="B84" s="261" t="s">
        <v>23</v>
      </c>
      <c r="C84" s="15" t="s">
        <v>24</v>
      </c>
      <c r="D84" s="24">
        <v>10676226</v>
      </c>
      <c r="E84" s="24">
        <v>10676226</v>
      </c>
      <c r="F84" s="11"/>
      <c r="G84" s="11"/>
      <c r="H84" s="11"/>
      <c r="I84" s="11"/>
      <c r="J84" s="20">
        <f t="shared" si="21"/>
        <v>10676226</v>
      </c>
      <c r="K84" s="112">
        <v>7753454</v>
      </c>
      <c r="L84" s="3">
        <f t="shared" si="22"/>
        <v>2922772</v>
      </c>
    </row>
    <row r="85" spans="1:12" x14ac:dyDescent="0.25">
      <c r="A85" s="260"/>
      <c r="B85" s="262"/>
      <c r="C85" s="15" t="s">
        <v>31</v>
      </c>
      <c r="D85" s="24">
        <v>1989265</v>
      </c>
      <c r="E85" s="24">
        <v>1989265</v>
      </c>
      <c r="F85" s="11"/>
      <c r="G85" s="11"/>
      <c r="H85" s="11"/>
      <c r="I85" s="11"/>
      <c r="J85" s="20">
        <f t="shared" si="21"/>
        <v>1989265</v>
      </c>
      <c r="K85" s="112">
        <v>1477086</v>
      </c>
      <c r="L85" s="3">
        <f t="shared" si="22"/>
        <v>512179</v>
      </c>
    </row>
    <row r="86" spans="1:12" x14ac:dyDescent="0.25">
      <c r="A86" s="259" t="s">
        <v>61</v>
      </c>
      <c r="B86" s="261" t="s">
        <v>46</v>
      </c>
      <c r="C86" s="15" t="s">
        <v>24</v>
      </c>
      <c r="D86" s="24">
        <v>8397674</v>
      </c>
      <c r="E86" s="24">
        <v>8397674</v>
      </c>
      <c r="F86" s="11"/>
      <c r="G86" s="11"/>
      <c r="H86" s="11"/>
      <c r="I86" s="11"/>
      <c r="J86" s="20">
        <f t="shared" si="21"/>
        <v>8397674</v>
      </c>
      <c r="K86" s="112">
        <v>5669741</v>
      </c>
      <c r="L86" s="3">
        <f t="shared" si="22"/>
        <v>2727933</v>
      </c>
    </row>
    <row r="87" spans="1:12" x14ac:dyDescent="0.25">
      <c r="A87" s="260"/>
      <c r="B87" s="262"/>
      <c r="C87" s="15" t="s">
        <v>31</v>
      </c>
      <c r="D87" s="24">
        <v>1563353</v>
      </c>
      <c r="E87" s="24">
        <v>1563353</v>
      </c>
      <c r="F87" s="11"/>
      <c r="G87" s="11"/>
      <c r="H87" s="11"/>
      <c r="I87" s="11"/>
      <c r="J87" s="20">
        <f t="shared" si="21"/>
        <v>1563353</v>
      </c>
      <c r="K87" s="112">
        <v>1080463</v>
      </c>
      <c r="L87" s="3">
        <f t="shared" si="22"/>
        <v>482890</v>
      </c>
    </row>
    <row r="88" spans="1:12" x14ac:dyDescent="0.25">
      <c r="A88" s="353" t="s">
        <v>76</v>
      </c>
      <c r="B88" s="354"/>
      <c r="C88" s="355"/>
      <c r="D88" s="126">
        <f t="shared" ref="D88" si="23">SUM(D32+D33+D48+D51+D61+D62+D76+D79+D80+D81+D82+D83+D84+D85+D86+D87)</f>
        <v>118207303</v>
      </c>
      <c r="E88" s="126">
        <f t="shared" ref="E88:L88" si="24">SUM(E32+E33+E48+E51+E61+E62+E76+E79+E80+E81+E82+E83+E84+E85+E86+E87)</f>
        <v>117294044</v>
      </c>
      <c r="F88" s="126">
        <f t="shared" si="24"/>
        <v>-75000</v>
      </c>
      <c r="G88" s="126">
        <f t="shared" si="24"/>
        <v>0</v>
      </c>
      <c r="H88" s="126">
        <f t="shared" si="24"/>
        <v>20000</v>
      </c>
      <c r="I88" s="126">
        <f t="shared" si="24"/>
        <v>0</v>
      </c>
      <c r="J88" s="126">
        <f t="shared" si="24"/>
        <v>117239044</v>
      </c>
      <c r="K88" s="126">
        <f t="shared" si="24"/>
        <v>76241837</v>
      </c>
      <c r="L88" s="126">
        <f t="shared" si="24"/>
        <v>40997207</v>
      </c>
    </row>
    <row r="89" spans="1:12" x14ac:dyDescent="0.25">
      <c r="A89" s="258" t="s">
        <v>12</v>
      </c>
      <c r="B89" s="268" t="s">
        <v>23</v>
      </c>
      <c r="C89" s="2" t="s">
        <v>24</v>
      </c>
      <c r="D89" s="3">
        <v>4811583</v>
      </c>
      <c r="E89" s="3">
        <v>4732868</v>
      </c>
      <c r="F89" s="3">
        <v>-100000</v>
      </c>
      <c r="G89" s="3">
        <v>269597</v>
      </c>
      <c r="H89" s="3"/>
      <c r="I89" s="3"/>
      <c r="J89" s="20">
        <f t="shared" ref="J89:J95" si="25">E89+F89+G89+H89+I89</f>
        <v>4902465</v>
      </c>
      <c r="K89" s="112">
        <v>3368552</v>
      </c>
      <c r="L89" s="3">
        <f t="shared" ref="L89:L95" si="26">J89-K89</f>
        <v>1533913</v>
      </c>
    </row>
    <row r="90" spans="1:12" x14ac:dyDescent="0.25">
      <c r="A90" s="258"/>
      <c r="B90" s="268"/>
      <c r="C90" s="2" t="s">
        <v>25</v>
      </c>
      <c r="D90" s="3">
        <v>200000</v>
      </c>
      <c r="E90" s="3">
        <v>200000</v>
      </c>
      <c r="F90" s="3"/>
      <c r="G90" s="3"/>
      <c r="H90" s="3"/>
      <c r="I90" s="3"/>
      <c r="J90" s="20">
        <f t="shared" si="25"/>
        <v>200000</v>
      </c>
      <c r="K90" s="112">
        <v>100000</v>
      </c>
      <c r="L90" s="3">
        <f t="shared" si="26"/>
        <v>100000</v>
      </c>
    </row>
    <row r="91" spans="1:12" x14ac:dyDescent="0.25">
      <c r="A91" s="258"/>
      <c r="B91" s="268"/>
      <c r="C91" s="2" t="s">
        <v>26</v>
      </c>
      <c r="D91" s="3">
        <v>10000</v>
      </c>
      <c r="E91" s="3">
        <v>10000</v>
      </c>
      <c r="F91" s="3"/>
      <c r="G91" s="3"/>
      <c r="H91" s="3"/>
      <c r="I91" s="3"/>
      <c r="J91" s="20">
        <f t="shared" si="25"/>
        <v>10000</v>
      </c>
      <c r="K91" s="112">
        <v>0</v>
      </c>
      <c r="L91" s="3">
        <f t="shared" si="26"/>
        <v>10000</v>
      </c>
    </row>
    <row r="92" spans="1:12" x14ac:dyDescent="0.25">
      <c r="A92" s="258"/>
      <c r="B92" s="268"/>
      <c r="C92" s="2" t="s">
        <v>27</v>
      </c>
      <c r="D92" s="3">
        <v>198000</v>
      </c>
      <c r="E92" s="3">
        <v>198000</v>
      </c>
      <c r="F92" s="3"/>
      <c r="G92" s="3"/>
      <c r="H92" s="3"/>
      <c r="I92" s="3"/>
      <c r="J92" s="20">
        <f t="shared" si="25"/>
        <v>198000</v>
      </c>
      <c r="K92" s="112">
        <v>105300</v>
      </c>
      <c r="L92" s="3">
        <f t="shared" si="26"/>
        <v>92700</v>
      </c>
    </row>
    <row r="93" spans="1:12" x14ac:dyDescent="0.25">
      <c r="A93" s="258"/>
      <c r="B93" s="268"/>
      <c r="C93" s="2" t="s">
        <v>28</v>
      </c>
      <c r="D93" s="3">
        <v>24000</v>
      </c>
      <c r="E93" s="3">
        <v>24000</v>
      </c>
      <c r="F93" s="3"/>
      <c r="G93" s="3"/>
      <c r="H93" s="3"/>
      <c r="I93" s="3"/>
      <c r="J93" s="20">
        <f t="shared" si="25"/>
        <v>24000</v>
      </c>
      <c r="K93" s="112">
        <v>12000</v>
      </c>
      <c r="L93" s="3">
        <f t="shared" si="26"/>
        <v>12000</v>
      </c>
    </row>
    <row r="94" spans="1:12" x14ac:dyDescent="0.25">
      <c r="A94" s="258"/>
      <c r="B94" s="268"/>
      <c r="C94" s="2" t="s">
        <v>29</v>
      </c>
      <c r="D94" s="3">
        <v>75000</v>
      </c>
      <c r="E94" s="3">
        <v>153715</v>
      </c>
      <c r="F94" s="3">
        <v>100000</v>
      </c>
      <c r="G94" s="3"/>
      <c r="H94" s="3"/>
      <c r="I94" s="3"/>
      <c r="J94" s="20">
        <f t="shared" si="25"/>
        <v>253715</v>
      </c>
      <c r="K94" s="112">
        <v>78715</v>
      </c>
      <c r="L94" s="3">
        <f t="shared" si="26"/>
        <v>175000</v>
      </c>
    </row>
    <row r="95" spans="1:12" x14ac:dyDescent="0.25">
      <c r="A95" s="258"/>
      <c r="B95" s="268"/>
      <c r="C95" s="2" t="s">
        <v>30</v>
      </c>
      <c r="D95" s="3">
        <v>0</v>
      </c>
      <c r="E95" s="3">
        <v>0</v>
      </c>
      <c r="F95" s="3"/>
      <c r="G95" s="3"/>
      <c r="H95" s="3"/>
      <c r="I95" s="3"/>
      <c r="J95" s="20">
        <f t="shared" si="25"/>
        <v>0</v>
      </c>
      <c r="K95" s="112">
        <v>0</v>
      </c>
      <c r="L95" s="3">
        <f t="shared" si="26"/>
        <v>0</v>
      </c>
    </row>
    <row r="96" spans="1:12" x14ac:dyDescent="0.25">
      <c r="A96" s="258"/>
      <c r="B96" s="268"/>
      <c r="C96" s="6" t="s">
        <v>53</v>
      </c>
      <c r="D96" s="7">
        <f>SUM(D89:D95)</f>
        <v>5318583</v>
      </c>
      <c r="E96" s="7">
        <v>5318583</v>
      </c>
      <c r="F96" s="7">
        <f t="shared" ref="F96:L96" si="27">SUM(F89:F95)</f>
        <v>0</v>
      </c>
      <c r="G96" s="7">
        <f t="shared" si="27"/>
        <v>269597</v>
      </c>
      <c r="H96" s="7">
        <f t="shared" si="27"/>
        <v>0</v>
      </c>
      <c r="I96" s="7">
        <f t="shared" si="27"/>
        <v>0</v>
      </c>
      <c r="J96" s="7">
        <f t="shared" si="27"/>
        <v>5588180</v>
      </c>
      <c r="K96" s="114">
        <f t="shared" si="27"/>
        <v>3664567</v>
      </c>
      <c r="L96" s="7">
        <f t="shared" si="27"/>
        <v>1923613</v>
      </c>
    </row>
    <row r="97" spans="1:12" x14ac:dyDescent="0.25">
      <c r="A97" s="258"/>
      <c r="B97" s="268"/>
      <c r="C97" s="86" t="s">
        <v>31</v>
      </c>
      <c r="D97" s="87">
        <v>1035556</v>
      </c>
      <c r="E97" s="87">
        <v>1035556</v>
      </c>
      <c r="F97" s="87"/>
      <c r="G97" s="87">
        <v>52571</v>
      </c>
      <c r="H97" s="87"/>
      <c r="I97" s="87"/>
      <c r="J97" s="88">
        <f t="shared" ref="J97:J107" si="28">E97+F97+G97+H97+I97</f>
        <v>1088127</v>
      </c>
      <c r="K97" s="115">
        <v>733326</v>
      </c>
      <c r="L97" s="89">
        <f t="shared" ref="L97:L107" si="29">J97-K97</f>
        <v>354801</v>
      </c>
    </row>
    <row r="98" spans="1:12" x14ac:dyDescent="0.25">
      <c r="A98" s="258"/>
      <c r="B98" s="268"/>
      <c r="C98" s="2" t="s">
        <v>32</v>
      </c>
      <c r="D98" s="3">
        <v>100000</v>
      </c>
      <c r="E98" s="3">
        <v>100000</v>
      </c>
      <c r="F98" s="3"/>
      <c r="G98" s="3"/>
      <c r="H98" s="3"/>
      <c r="I98" s="3"/>
      <c r="J98" s="20">
        <f t="shared" si="28"/>
        <v>100000</v>
      </c>
      <c r="K98" s="112">
        <v>0</v>
      </c>
      <c r="L98" s="3">
        <f t="shared" si="29"/>
        <v>100000</v>
      </c>
    </row>
    <row r="99" spans="1:12" x14ac:dyDescent="0.25">
      <c r="A99" s="258"/>
      <c r="B99" s="268"/>
      <c r="C99" s="2" t="s">
        <v>33</v>
      </c>
      <c r="D99" s="3">
        <v>100000</v>
      </c>
      <c r="E99" s="3">
        <v>100000</v>
      </c>
      <c r="F99" s="3">
        <v>-30000</v>
      </c>
      <c r="G99" s="3"/>
      <c r="H99" s="3"/>
      <c r="I99" s="3"/>
      <c r="J99" s="20">
        <f t="shared" si="28"/>
        <v>70000</v>
      </c>
      <c r="K99" s="112">
        <v>0</v>
      </c>
      <c r="L99" s="3">
        <f t="shared" si="29"/>
        <v>70000</v>
      </c>
    </row>
    <row r="100" spans="1:12" x14ac:dyDescent="0.25">
      <c r="A100" s="258"/>
      <c r="B100" s="268"/>
      <c r="C100" s="2" t="s">
        <v>34</v>
      </c>
      <c r="D100" s="3">
        <v>210000</v>
      </c>
      <c r="E100" s="3">
        <v>210000</v>
      </c>
      <c r="F100" s="3"/>
      <c r="G100" s="3"/>
      <c r="H100" s="3"/>
      <c r="I100" s="3"/>
      <c r="J100" s="20">
        <f t="shared" si="28"/>
        <v>210000</v>
      </c>
      <c r="K100" s="112">
        <v>0</v>
      </c>
      <c r="L100" s="3">
        <f t="shared" si="29"/>
        <v>210000</v>
      </c>
    </row>
    <row r="101" spans="1:12" x14ac:dyDescent="0.25">
      <c r="A101" s="258"/>
      <c r="B101" s="268"/>
      <c r="C101" s="2" t="s">
        <v>35</v>
      </c>
      <c r="D101" s="3">
        <v>110000</v>
      </c>
      <c r="E101" s="3">
        <v>110000</v>
      </c>
      <c r="F101" s="3"/>
      <c r="G101" s="3"/>
      <c r="H101" s="3"/>
      <c r="I101" s="3"/>
      <c r="J101" s="20">
        <f t="shared" si="28"/>
        <v>110000</v>
      </c>
      <c r="K101" s="112">
        <v>0</v>
      </c>
      <c r="L101" s="3">
        <f t="shared" si="29"/>
        <v>110000</v>
      </c>
    </row>
    <row r="102" spans="1:12" x14ac:dyDescent="0.25">
      <c r="A102" s="258"/>
      <c r="B102" s="268"/>
      <c r="C102" s="2" t="s">
        <v>36</v>
      </c>
      <c r="D102" s="3">
        <v>500000</v>
      </c>
      <c r="E102" s="3">
        <v>499100</v>
      </c>
      <c r="F102" s="3"/>
      <c r="G102" s="3"/>
      <c r="H102" s="3"/>
      <c r="I102" s="3"/>
      <c r="J102" s="20">
        <f t="shared" si="28"/>
        <v>499100</v>
      </c>
      <c r="K102" s="112">
        <v>353510</v>
      </c>
      <c r="L102" s="3">
        <f t="shared" si="29"/>
        <v>145590</v>
      </c>
    </row>
    <row r="103" spans="1:12" x14ac:dyDescent="0.25">
      <c r="A103" s="258"/>
      <c r="B103" s="268"/>
      <c r="C103" s="2" t="s">
        <v>38</v>
      </c>
      <c r="D103" s="3">
        <v>140000</v>
      </c>
      <c r="E103" s="3">
        <v>135380</v>
      </c>
      <c r="F103" s="3"/>
      <c r="G103" s="3"/>
      <c r="H103" s="3"/>
      <c r="I103" s="3"/>
      <c r="J103" s="20">
        <f t="shared" si="28"/>
        <v>135380</v>
      </c>
      <c r="K103" s="112">
        <v>0</v>
      </c>
      <c r="L103" s="3">
        <f t="shared" si="29"/>
        <v>135380</v>
      </c>
    </row>
    <row r="104" spans="1:12" x14ac:dyDescent="0.25">
      <c r="A104" s="258"/>
      <c r="B104" s="268"/>
      <c r="C104" s="2" t="s">
        <v>40</v>
      </c>
      <c r="D104" s="3">
        <v>16800</v>
      </c>
      <c r="E104" s="3">
        <v>20200</v>
      </c>
      <c r="F104" s="3"/>
      <c r="G104" s="3"/>
      <c r="H104" s="3"/>
      <c r="I104" s="3"/>
      <c r="J104" s="20">
        <f t="shared" si="28"/>
        <v>20200</v>
      </c>
      <c r="K104" s="112">
        <v>6800</v>
      </c>
      <c r="L104" s="3">
        <f t="shared" si="29"/>
        <v>13400</v>
      </c>
    </row>
    <row r="105" spans="1:12" x14ac:dyDescent="0.25">
      <c r="A105" s="258"/>
      <c r="B105" s="268"/>
      <c r="C105" s="2" t="s">
        <v>41</v>
      </c>
      <c r="D105" s="3">
        <v>80000</v>
      </c>
      <c r="E105" s="3">
        <v>87280</v>
      </c>
      <c r="F105" s="3">
        <v>30000</v>
      </c>
      <c r="G105" s="3"/>
      <c r="H105" s="3"/>
      <c r="I105" s="3"/>
      <c r="J105" s="20">
        <f t="shared" si="28"/>
        <v>117280</v>
      </c>
      <c r="K105" s="112">
        <v>86960</v>
      </c>
      <c r="L105" s="60">
        <f t="shared" si="29"/>
        <v>30320</v>
      </c>
    </row>
    <row r="106" spans="1:12" x14ac:dyDescent="0.25">
      <c r="A106" s="258"/>
      <c r="B106" s="268"/>
      <c r="C106" s="2" t="s">
        <v>42</v>
      </c>
      <c r="D106" s="3">
        <v>240000</v>
      </c>
      <c r="E106" s="3">
        <v>240000</v>
      </c>
      <c r="F106" s="3"/>
      <c r="G106" s="3"/>
      <c r="H106" s="3"/>
      <c r="I106" s="3"/>
      <c r="J106" s="20">
        <f t="shared" si="28"/>
        <v>240000</v>
      </c>
      <c r="K106" s="112">
        <v>121760</v>
      </c>
      <c r="L106" s="3">
        <f t="shared" si="29"/>
        <v>118240</v>
      </c>
    </row>
    <row r="107" spans="1:12" x14ac:dyDescent="0.25">
      <c r="A107" s="258"/>
      <c r="B107" s="268"/>
      <c r="C107" s="2" t="s">
        <v>44</v>
      </c>
      <c r="D107" s="3">
        <v>200600</v>
      </c>
      <c r="E107" s="3">
        <v>195440</v>
      </c>
      <c r="F107" s="3"/>
      <c r="G107" s="3"/>
      <c r="H107" s="3"/>
      <c r="I107" s="3"/>
      <c r="J107" s="20">
        <f t="shared" si="28"/>
        <v>195440</v>
      </c>
      <c r="K107" s="112">
        <v>28463</v>
      </c>
      <c r="L107" s="3">
        <f t="shared" si="29"/>
        <v>166977</v>
      </c>
    </row>
    <row r="108" spans="1:12" x14ac:dyDescent="0.25">
      <c r="A108" s="258"/>
      <c r="B108" s="268"/>
      <c r="C108" s="6" t="s">
        <v>49</v>
      </c>
      <c r="D108" s="7">
        <f>SUM(D98:D107)</f>
        <v>1697400</v>
      </c>
      <c r="E108" s="7">
        <v>1697400</v>
      </c>
      <c r="F108" s="7">
        <f t="shared" ref="F108:L108" si="30">SUM(F98:F107)</f>
        <v>0</v>
      </c>
      <c r="G108" s="7">
        <f t="shared" si="30"/>
        <v>0</v>
      </c>
      <c r="H108" s="7">
        <f t="shared" si="30"/>
        <v>0</v>
      </c>
      <c r="I108" s="7">
        <f t="shared" si="30"/>
        <v>0</v>
      </c>
      <c r="J108" s="7">
        <f t="shared" si="30"/>
        <v>1697400</v>
      </c>
      <c r="K108" s="114">
        <f t="shared" si="30"/>
        <v>597493</v>
      </c>
      <c r="L108" s="7">
        <f t="shared" si="30"/>
        <v>1099907</v>
      </c>
    </row>
    <row r="109" spans="1:12" x14ac:dyDescent="0.25">
      <c r="A109" s="255" t="s">
        <v>62</v>
      </c>
      <c r="B109" s="252" t="s">
        <v>23</v>
      </c>
      <c r="C109" s="15" t="s">
        <v>29</v>
      </c>
      <c r="D109" s="24">
        <v>111600</v>
      </c>
      <c r="E109" s="24">
        <v>111600</v>
      </c>
      <c r="F109" s="11"/>
      <c r="G109" s="11"/>
      <c r="H109" s="11"/>
      <c r="I109" s="11"/>
      <c r="J109" s="20">
        <f t="shared" ref="J109:J112" si="31">E109+F109+G109+H109+I109</f>
        <v>111600</v>
      </c>
      <c r="K109" s="112">
        <v>51700</v>
      </c>
      <c r="L109" s="3">
        <f t="shared" ref="L109:L112" si="32">J109-K109</f>
        <v>59900</v>
      </c>
    </row>
    <row r="110" spans="1:12" x14ac:dyDescent="0.25">
      <c r="A110" s="257"/>
      <c r="B110" s="254"/>
      <c r="C110" s="15" t="s">
        <v>31</v>
      </c>
      <c r="D110" s="24">
        <v>20739</v>
      </c>
      <c r="E110" s="24">
        <v>20739</v>
      </c>
      <c r="F110" s="11"/>
      <c r="G110" s="11"/>
      <c r="H110" s="11"/>
      <c r="I110" s="11"/>
      <c r="J110" s="20">
        <f t="shared" si="31"/>
        <v>20739</v>
      </c>
      <c r="K110" s="112">
        <v>9866</v>
      </c>
      <c r="L110" s="3">
        <f t="shared" si="32"/>
        <v>10873</v>
      </c>
    </row>
    <row r="111" spans="1:12" x14ac:dyDescent="0.25">
      <c r="A111" s="255" t="s">
        <v>63</v>
      </c>
      <c r="B111" s="252" t="s">
        <v>23</v>
      </c>
      <c r="C111" s="15" t="s">
        <v>24</v>
      </c>
      <c r="D111" s="24">
        <v>1460272</v>
      </c>
      <c r="E111" s="24">
        <v>1460272</v>
      </c>
      <c r="F111" s="11"/>
      <c r="G111" s="11"/>
      <c r="H111" s="11"/>
      <c r="I111" s="11"/>
      <c r="J111" s="20">
        <f t="shared" si="31"/>
        <v>1460272</v>
      </c>
      <c r="K111" s="112">
        <v>1126689</v>
      </c>
      <c r="L111" s="3">
        <f t="shared" si="32"/>
        <v>333583</v>
      </c>
    </row>
    <row r="112" spans="1:12" x14ac:dyDescent="0.25">
      <c r="A112" s="257"/>
      <c r="B112" s="254"/>
      <c r="C112" s="15" t="s">
        <v>31</v>
      </c>
      <c r="D112" s="24">
        <v>272168</v>
      </c>
      <c r="E112" s="24">
        <v>272168</v>
      </c>
      <c r="F112" s="11"/>
      <c r="G112" s="11"/>
      <c r="H112" s="11"/>
      <c r="I112" s="11"/>
      <c r="J112" s="20">
        <f t="shared" si="31"/>
        <v>272168</v>
      </c>
      <c r="K112" s="112">
        <v>214670</v>
      </c>
      <c r="L112" s="3">
        <f t="shared" si="32"/>
        <v>57498</v>
      </c>
    </row>
    <row r="113" spans="1:12" x14ac:dyDescent="0.25">
      <c r="A113" s="353" t="s">
        <v>77</v>
      </c>
      <c r="B113" s="354"/>
      <c r="C113" s="355"/>
      <c r="D113" s="126">
        <f>SUM(D96+D97+D108+D109+D110+D111+D112)</f>
        <v>9916318</v>
      </c>
      <c r="E113" s="126">
        <f t="shared" ref="E113:L113" si="33">SUM(E96+E97+E108+E109+E110+E111+E112)</f>
        <v>9916318</v>
      </c>
      <c r="F113" s="126">
        <f t="shared" si="33"/>
        <v>0</v>
      </c>
      <c r="G113" s="126">
        <f t="shared" si="33"/>
        <v>322168</v>
      </c>
      <c r="H113" s="126">
        <f t="shared" si="33"/>
        <v>0</v>
      </c>
      <c r="I113" s="126">
        <f t="shared" si="33"/>
        <v>0</v>
      </c>
      <c r="J113" s="126">
        <f t="shared" si="33"/>
        <v>10238486</v>
      </c>
      <c r="K113" s="128">
        <f t="shared" si="33"/>
        <v>6398311</v>
      </c>
      <c r="L113" s="126">
        <f t="shared" si="33"/>
        <v>3840175</v>
      </c>
    </row>
    <row r="114" spans="1:12" x14ac:dyDescent="0.25">
      <c r="A114" s="258" t="s">
        <v>13</v>
      </c>
      <c r="B114" s="268" t="s">
        <v>23</v>
      </c>
      <c r="C114" s="2" t="s">
        <v>24</v>
      </c>
      <c r="D114" s="3">
        <v>4871210</v>
      </c>
      <c r="E114" s="3">
        <v>4856627</v>
      </c>
      <c r="F114" s="3">
        <v>-30000</v>
      </c>
      <c r="G114" s="3">
        <v>173653</v>
      </c>
      <c r="H114" s="3"/>
      <c r="I114" s="3"/>
      <c r="J114" s="20">
        <f t="shared" ref="J114:J119" si="34">E114+F114+G114+H114+I114</f>
        <v>5000280</v>
      </c>
      <c r="K114" s="112">
        <v>3529900</v>
      </c>
      <c r="L114" s="3">
        <f t="shared" ref="L114:L119" si="35">J114-K114</f>
        <v>1470380</v>
      </c>
    </row>
    <row r="115" spans="1:12" x14ac:dyDescent="0.25">
      <c r="A115" s="258"/>
      <c r="B115" s="268"/>
      <c r="C115" s="2" t="s">
        <v>25</v>
      </c>
      <c r="D115" s="3">
        <v>200000</v>
      </c>
      <c r="E115" s="3">
        <v>200000</v>
      </c>
      <c r="F115" s="3"/>
      <c r="G115" s="3"/>
      <c r="H115" s="3"/>
      <c r="I115" s="3"/>
      <c r="J115" s="20">
        <f t="shared" si="34"/>
        <v>200000</v>
      </c>
      <c r="K115" s="112">
        <v>100000</v>
      </c>
      <c r="L115" s="3">
        <f t="shared" si="35"/>
        <v>100000</v>
      </c>
    </row>
    <row r="116" spans="1:12" x14ac:dyDescent="0.25">
      <c r="A116" s="258"/>
      <c r="B116" s="268"/>
      <c r="C116" s="2" t="s">
        <v>26</v>
      </c>
      <c r="D116" s="3">
        <v>10000</v>
      </c>
      <c r="E116" s="3">
        <v>10000</v>
      </c>
      <c r="F116" s="3"/>
      <c r="G116" s="3"/>
      <c r="H116" s="3"/>
      <c r="I116" s="3"/>
      <c r="J116" s="20">
        <f t="shared" si="34"/>
        <v>10000</v>
      </c>
      <c r="K116" s="112">
        <v>0</v>
      </c>
      <c r="L116" s="3">
        <f t="shared" si="35"/>
        <v>10000</v>
      </c>
    </row>
    <row r="117" spans="1:12" x14ac:dyDescent="0.25">
      <c r="A117" s="258"/>
      <c r="B117" s="268"/>
      <c r="C117" s="2" t="s">
        <v>28</v>
      </c>
      <c r="D117" s="3">
        <v>24000</v>
      </c>
      <c r="E117" s="3">
        <v>24000</v>
      </c>
      <c r="F117" s="3"/>
      <c r="G117" s="3"/>
      <c r="H117" s="3"/>
      <c r="I117" s="3"/>
      <c r="J117" s="20">
        <f t="shared" si="34"/>
        <v>24000</v>
      </c>
      <c r="K117" s="112">
        <v>12000</v>
      </c>
      <c r="L117" s="3">
        <f t="shared" si="35"/>
        <v>12000</v>
      </c>
    </row>
    <row r="118" spans="1:12" x14ac:dyDescent="0.25">
      <c r="A118" s="258"/>
      <c r="B118" s="268"/>
      <c r="C118" s="2" t="s">
        <v>29</v>
      </c>
      <c r="D118" s="3">
        <v>75000</v>
      </c>
      <c r="E118" s="3">
        <v>103601</v>
      </c>
      <c r="F118" s="3">
        <v>30000</v>
      </c>
      <c r="G118" s="3"/>
      <c r="H118" s="3"/>
      <c r="I118" s="3"/>
      <c r="J118" s="20">
        <f t="shared" si="34"/>
        <v>133601</v>
      </c>
      <c r="K118" s="112">
        <v>28601</v>
      </c>
      <c r="L118" s="3">
        <f t="shared" si="35"/>
        <v>105000</v>
      </c>
    </row>
    <row r="119" spans="1:12" x14ac:dyDescent="0.25">
      <c r="A119" s="258"/>
      <c r="B119" s="268"/>
      <c r="C119" s="2" t="s">
        <v>30</v>
      </c>
      <c r="D119" s="3">
        <v>0</v>
      </c>
      <c r="E119" s="3">
        <v>0</v>
      </c>
      <c r="F119" s="3"/>
      <c r="G119" s="3"/>
      <c r="H119" s="3"/>
      <c r="I119" s="3"/>
      <c r="J119" s="20">
        <f t="shared" si="34"/>
        <v>0</v>
      </c>
      <c r="K119" s="112">
        <v>0</v>
      </c>
      <c r="L119" s="3">
        <f t="shared" si="35"/>
        <v>0</v>
      </c>
    </row>
    <row r="120" spans="1:12" x14ac:dyDescent="0.25">
      <c r="A120" s="258"/>
      <c r="B120" s="268"/>
      <c r="C120" s="6" t="s">
        <v>53</v>
      </c>
      <c r="D120" s="7">
        <f>SUM(D114:D119)</f>
        <v>5180210</v>
      </c>
      <c r="E120" s="7">
        <v>5194228</v>
      </c>
      <c r="F120" s="7">
        <f t="shared" ref="F120:L120" si="36">SUM(F114:F119)</f>
        <v>0</v>
      </c>
      <c r="G120" s="7">
        <f t="shared" si="36"/>
        <v>173653</v>
      </c>
      <c r="H120" s="7">
        <f t="shared" si="36"/>
        <v>0</v>
      </c>
      <c r="I120" s="7">
        <f t="shared" si="36"/>
        <v>0</v>
      </c>
      <c r="J120" s="7">
        <f t="shared" si="36"/>
        <v>5367881</v>
      </c>
      <c r="K120" s="114">
        <f t="shared" si="36"/>
        <v>3670501</v>
      </c>
      <c r="L120" s="7">
        <f t="shared" si="36"/>
        <v>1697380</v>
      </c>
    </row>
    <row r="121" spans="1:12" x14ac:dyDescent="0.25">
      <c r="A121" s="258"/>
      <c r="B121" s="268"/>
      <c r="C121" s="86" t="s">
        <v>31</v>
      </c>
      <c r="D121" s="87">
        <v>1046402</v>
      </c>
      <c r="E121" s="87">
        <v>1049135</v>
      </c>
      <c r="F121" s="87"/>
      <c r="G121" s="87">
        <v>33862</v>
      </c>
      <c r="H121" s="87"/>
      <c r="I121" s="87"/>
      <c r="J121" s="88">
        <f t="shared" ref="J121:J129" si="37">E121+F121+G121+H121+I121</f>
        <v>1082997</v>
      </c>
      <c r="K121" s="115">
        <v>754736</v>
      </c>
      <c r="L121" s="89">
        <f t="shared" ref="L121:L129" si="38">J121-K121</f>
        <v>328261</v>
      </c>
    </row>
    <row r="122" spans="1:12" x14ac:dyDescent="0.25">
      <c r="A122" s="258"/>
      <c r="B122" s="268"/>
      <c r="C122" s="2" t="s">
        <v>32</v>
      </c>
      <c r="D122" s="3">
        <v>50000</v>
      </c>
      <c r="E122" s="3">
        <v>50000</v>
      </c>
      <c r="F122" s="3"/>
      <c r="G122" s="3"/>
      <c r="H122" s="3"/>
      <c r="I122" s="3"/>
      <c r="J122" s="20">
        <f t="shared" si="37"/>
        <v>50000</v>
      </c>
      <c r="K122" s="112">
        <v>0</v>
      </c>
      <c r="L122" s="3">
        <f t="shared" si="38"/>
        <v>50000</v>
      </c>
    </row>
    <row r="123" spans="1:12" x14ac:dyDescent="0.25">
      <c r="A123" s="258"/>
      <c r="B123" s="268"/>
      <c r="C123" s="2" t="s">
        <v>33</v>
      </c>
      <c r="D123" s="3">
        <v>100000</v>
      </c>
      <c r="E123" s="3">
        <v>100000</v>
      </c>
      <c r="F123" s="3">
        <v>-30000</v>
      </c>
      <c r="G123" s="3"/>
      <c r="H123" s="3"/>
      <c r="I123" s="3"/>
      <c r="J123" s="20">
        <f t="shared" si="37"/>
        <v>70000</v>
      </c>
      <c r="K123" s="112">
        <v>0</v>
      </c>
      <c r="L123" s="3">
        <f t="shared" si="38"/>
        <v>70000</v>
      </c>
    </row>
    <row r="124" spans="1:12" x14ac:dyDescent="0.25">
      <c r="A124" s="258"/>
      <c r="B124" s="268"/>
      <c r="C124" s="2" t="s">
        <v>34</v>
      </c>
      <c r="D124" s="3">
        <v>150000</v>
      </c>
      <c r="E124" s="3">
        <v>116000</v>
      </c>
      <c r="F124" s="3"/>
      <c r="G124" s="3"/>
      <c r="H124" s="3"/>
      <c r="I124" s="3"/>
      <c r="J124" s="20">
        <f t="shared" si="37"/>
        <v>116000</v>
      </c>
      <c r="K124" s="112">
        <v>0</v>
      </c>
      <c r="L124" s="3">
        <f t="shared" si="38"/>
        <v>116000</v>
      </c>
    </row>
    <row r="125" spans="1:12" x14ac:dyDescent="0.25">
      <c r="A125" s="258"/>
      <c r="B125" s="268"/>
      <c r="C125" s="2" t="s">
        <v>38</v>
      </c>
      <c r="D125" s="3">
        <v>50000</v>
      </c>
      <c r="E125" s="3">
        <v>46600</v>
      </c>
      <c r="F125" s="3"/>
      <c r="G125" s="3"/>
      <c r="H125" s="3"/>
      <c r="I125" s="3"/>
      <c r="J125" s="20">
        <f t="shared" si="37"/>
        <v>46600</v>
      </c>
      <c r="K125" s="112">
        <v>0</v>
      </c>
      <c r="L125" s="3">
        <f t="shared" si="38"/>
        <v>46600</v>
      </c>
    </row>
    <row r="126" spans="1:12" x14ac:dyDescent="0.25">
      <c r="A126" s="258"/>
      <c r="B126" s="268"/>
      <c r="C126" s="2" t="s">
        <v>40</v>
      </c>
      <c r="D126" s="3">
        <v>16800</v>
      </c>
      <c r="E126" s="3">
        <v>20200</v>
      </c>
      <c r="F126" s="3"/>
      <c r="G126" s="3"/>
      <c r="H126" s="3"/>
      <c r="I126" s="3"/>
      <c r="J126" s="20">
        <f t="shared" si="37"/>
        <v>20200</v>
      </c>
      <c r="K126" s="112">
        <v>6800</v>
      </c>
      <c r="L126" s="3">
        <f t="shared" si="38"/>
        <v>13400</v>
      </c>
    </row>
    <row r="127" spans="1:12" x14ac:dyDescent="0.25">
      <c r="A127" s="258"/>
      <c r="B127" s="268"/>
      <c r="C127" s="2" t="s">
        <v>41</v>
      </c>
      <c r="D127" s="3">
        <v>0</v>
      </c>
      <c r="E127" s="3">
        <v>40280</v>
      </c>
      <c r="F127" s="3">
        <v>30000</v>
      </c>
      <c r="G127" s="3"/>
      <c r="H127" s="3"/>
      <c r="I127" s="3"/>
      <c r="J127" s="20">
        <f t="shared" si="37"/>
        <v>70280</v>
      </c>
      <c r="K127" s="112">
        <v>39960</v>
      </c>
      <c r="L127" s="3">
        <f t="shared" si="38"/>
        <v>30320</v>
      </c>
    </row>
    <row r="128" spans="1:12" x14ac:dyDescent="0.25">
      <c r="A128" s="258"/>
      <c r="B128" s="268"/>
      <c r="C128" s="2" t="s">
        <v>42</v>
      </c>
      <c r="D128" s="3">
        <v>240000</v>
      </c>
      <c r="E128" s="3">
        <v>233720</v>
      </c>
      <c r="F128" s="3"/>
      <c r="G128" s="3"/>
      <c r="H128" s="3"/>
      <c r="I128" s="3"/>
      <c r="J128" s="20">
        <f t="shared" si="37"/>
        <v>233720</v>
      </c>
      <c r="K128" s="112">
        <v>101755</v>
      </c>
      <c r="L128" s="3">
        <f t="shared" si="38"/>
        <v>131965</v>
      </c>
    </row>
    <row r="129" spans="1:12" x14ac:dyDescent="0.25">
      <c r="A129" s="258"/>
      <c r="B129" s="268"/>
      <c r="C129" s="2" t="s">
        <v>44</v>
      </c>
      <c r="D129" s="3">
        <v>94500</v>
      </c>
      <c r="E129" s="3">
        <v>94500</v>
      </c>
      <c r="F129" s="3"/>
      <c r="G129" s="3"/>
      <c r="H129" s="3"/>
      <c r="I129" s="3"/>
      <c r="J129" s="20">
        <f t="shared" si="37"/>
        <v>94500</v>
      </c>
      <c r="K129" s="112">
        <v>10788</v>
      </c>
      <c r="L129" s="3">
        <f t="shared" si="38"/>
        <v>83712</v>
      </c>
    </row>
    <row r="130" spans="1:12" x14ac:dyDescent="0.25">
      <c r="A130" s="258"/>
      <c r="B130" s="268"/>
      <c r="C130" s="6" t="s">
        <v>49</v>
      </c>
      <c r="D130" s="7">
        <f>SUM(D122:D129)</f>
        <v>701300</v>
      </c>
      <c r="E130" s="7">
        <v>701300</v>
      </c>
      <c r="F130" s="7">
        <f t="shared" ref="F130:L130" si="39">SUM(F122:F129)</f>
        <v>0</v>
      </c>
      <c r="G130" s="7">
        <f t="shared" si="39"/>
        <v>0</v>
      </c>
      <c r="H130" s="7">
        <f t="shared" si="39"/>
        <v>0</v>
      </c>
      <c r="I130" s="7">
        <f t="shared" si="39"/>
        <v>0</v>
      </c>
      <c r="J130" s="7">
        <f t="shared" si="39"/>
        <v>701300</v>
      </c>
      <c r="K130" s="114">
        <f t="shared" si="39"/>
        <v>159303</v>
      </c>
      <c r="L130" s="7">
        <f t="shared" si="39"/>
        <v>541997</v>
      </c>
    </row>
    <row r="131" spans="1:12" x14ac:dyDescent="0.25">
      <c r="A131" s="255" t="s">
        <v>64</v>
      </c>
      <c r="B131" s="252" t="s">
        <v>23</v>
      </c>
      <c r="C131" s="15" t="s">
        <v>29</v>
      </c>
      <c r="D131" s="24">
        <v>39600</v>
      </c>
      <c r="E131" s="24">
        <v>39600</v>
      </c>
      <c r="F131" s="11"/>
      <c r="G131" s="11"/>
      <c r="H131" s="11"/>
      <c r="I131" s="11"/>
      <c r="J131" s="20">
        <f t="shared" ref="J131:J134" si="40">E131+F131+G131+H131+I131</f>
        <v>39600</v>
      </c>
      <c r="K131" s="112">
        <v>29700</v>
      </c>
      <c r="L131" s="3">
        <f t="shared" ref="L131:L134" si="41">J131-K131</f>
        <v>9900</v>
      </c>
    </row>
    <row r="132" spans="1:12" x14ac:dyDescent="0.25">
      <c r="A132" s="257"/>
      <c r="B132" s="254"/>
      <c r="C132" s="15" t="s">
        <v>31</v>
      </c>
      <c r="D132" s="24">
        <v>7359</v>
      </c>
      <c r="E132" s="24">
        <v>7359</v>
      </c>
      <c r="F132" s="11"/>
      <c r="G132" s="11"/>
      <c r="H132" s="11"/>
      <c r="I132" s="11"/>
      <c r="J132" s="20">
        <f t="shared" si="40"/>
        <v>7359</v>
      </c>
      <c r="K132" s="112">
        <v>5661</v>
      </c>
      <c r="L132" s="3">
        <f t="shared" si="41"/>
        <v>1698</v>
      </c>
    </row>
    <row r="133" spans="1:12" x14ac:dyDescent="0.25">
      <c r="A133" s="255" t="s">
        <v>65</v>
      </c>
      <c r="B133" s="252" t="s">
        <v>23</v>
      </c>
      <c r="C133" s="15" t="s">
        <v>24</v>
      </c>
      <c r="D133" s="24">
        <v>1357158</v>
      </c>
      <c r="E133" s="24">
        <v>1357158</v>
      </c>
      <c r="F133" s="11"/>
      <c r="G133" s="11"/>
      <c r="H133" s="11"/>
      <c r="I133" s="11"/>
      <c r="J133" s="20">
        <f t="shared" si="40"/>
        <v>1357158</v>
      </c>
      <c r="K133" s="112">
        <v>1018674</v>
      </c>
      <c r="L133" s="3">
        <f t="shared" si="41"/>
        <v>338484</v>
      </c>
    </row>
    <row r="134" spans="1:12" x14ac:dyDescent="0.25">
      <c r="A134" s="257"/>
      <c r="B134" s="254"/>
      <c r="C134" s="15" t="s">
        <v>31</v>
      </c>
      <c r="D134" s="24">
        <v>253327</v>
      </c>
      <c r="E134" s="24">
        <v>253327</v>
      </c>
      <c r="F134" s="11"/>
      <c r="G134" s="11"/>
      <c r="H134" s="11"/>
      <c r="I134" s="11"/>
      <c r="J134" s="20">
        <f t="shared" si="40"/>
        <v>253327</v>
      </c>
      <c r="K134" s="112">
        <v>194110</v>
      </c>
      <c r="L134" s="3">
        <f t="shared" si="41"/>
        <v>59217</v>
      </c>
    </row>
    <row r="135" spans="1:12" x14ac:dyDescent="0.25">
      <c r="A135" s="353" t="s">
        <v>78</v>
      </c>
      <c r="B135" s="354"/>
      <c r="C135" s="355"/>
      <c r="D135" s="126">
        <f>SUM(D120+D121+D130+D131+D132+D133+D134)</f>
        <v>8585356</v>
      </c>
      <c r="E135" s="126">
        <f t="shared" ref="E135:L135" si="42">SUM(E120+E121+E130+E131+E132+E133+E134)</f>
        <v>8602107</v>
      </c>
      <c r="F135" s="126">
        <f t="shared" si="42"/>
        <v>0</v>
      </c>
      <c r="G135" s="126">
        <f t="shared" si="42"/>
        <v>207515</v>
      </c>
      <c r="H135" s="126">
        <f t="shared" si="42"/>
        <v>0</v>
      </c>
      <c r="I135" s="126">
        <f t="shared" si="42"/>
        <v>0</v>
      </c>
      <c r="J135" s="126">
        <f t="shared" si="42"/>
        <v>8809622</v>
      </c>
      <c r="K135" s="128">
        <f t="shared" si="42"/>
        <v>5832685</v>
      </c>
      <c r="L135" s="126">
        <f t="shared" si="42"/>
        <v>2976937</v>
      </c>
    </row>
    <row r="136" spans="1:12" x14ac:dyDescent="0.25">
      <c r="A136" s="258" t="s">
        <v>14</v>
      </c>
      <c r="B136" s="268" t="s">
        <v>23</v>
      </c>
      <c r="C136" s="2" t="s">
        <v>24</v>
      </c>
      <c r="D136" s="3">
        <v>4756797</v>
      </c>
      <c r="E136" s="3">
        <v>4668070</v>
      </c>
      <c r="F136" s="3">
        <v>-30000</v>
      </c>
      <c r="G136" s="3">
        <v>319009</v>
      </c>
      <c r="H136" s="3"/>
      <c r="I136" s="3"/>
      <c r="J136" s="20">
        <f t="shared" ref="J136:J142" si="43">E136+F136+G136+H136+I136</f>
        <v>4957079</v>
      </c>
      <c r="K136" s="112">
        <v>3361578</v>
      </c>
      <c r="L136" s="3">
        <f t="shared" ref="L136:L142" si="44">J136-K136</f>
        <v>1595501</v>
      </c>
    </row>
    <row r="137" spans="1:12" x14ac:dyDescent="0.25">
      <c r="A137" s="258"/>
      <c r="B137" s="268"/>
      <c r="C137" s="2" t="s">
        <v>25</v>
      </c>
      <c r="D137" s="3">
        <v>200000</v>
      </c>
      <c r="E137" s="3">
        <v>200000</v>
      </c>
      <c r="F137" s="3"/>
      <c r="G137" s="3"/>
      <c r="H137" s="3"/>
      <c r="I137" s="3"/>
      <c r="J137" s="20">
        <f t="shared" si="43"/>
        <v>200000</v>
      </c>
      <c r="K137" s="112">
        <v>100000</v>
      </c>
      <c r="L137" s="3">
        <f t="shared" si="44"/>
        <v>100000</v>
      </c>
    </row>
    <row r="138" spans="1:12" x14ac:dyDescent="0.25">
      <c r="A138" s="258"/>
      <c r="B138" s="268"/>
      <c r="C138" s="2" t="s">
        <v>26</v>
      </c>
      <c r="D138" s="3">
        <v>10000</v>
      </c>
      <c r="E138" s="3">
        <v>10000</v>
      </c>
      <c r="F138" s="3"/>
      <c r="G138" s="3"/>
      <c r="H138" s="3"/>
      <c r="I138" s="3"/>
      <c r="J138" s="20">
        <f t="shared" si="43"/>
        <v>10000</v>
      </c>
      <c r="K138" s="112">
        <v>0</v>
      </c>
      <c r="L138" s="3">
        <f t="shared" si="44"/>
        <v>10000</v>
      </c>
    </row>
    <row r="139" spans="1:12" x14ac:dyDescent="0.25">
      <c r="A139" s="258"/>
      <c r="B139" s="268"/>
      <c r="C139" s="2" t="s">
        <v>27</v>
      </c>
      <c r="D139" s="3">
        <v>255000</v>
      </c>
      <c r="E139" s="3">
        <v>255000</v>
      </c>
      <c r="F139" s="3"/>
      <c r="G139" s="3"/>
      <c r="H139" s="3"/>
      <c r="I139" s="3"/>
      <c r="J139" s="20">
        <f t="shared" si="43"/>
        <v>255000</v>
      </c>
      <c r="K139" s="112">
        <v>149912</v>
      </c>
      <c r="L139" s="3">
        <f t="shared" si="44"/>
        <v>105088</v>
      </c>
    </row>
    <row r="140" spans="1:12" x14ac:dyDescent="0.25">
      <c r="A140" s="258"/>
      <c r="B140" s="268"/>
      <c r="C140" s="2" t="s">
        <v>28</v>
      </c>
      <c r="D140" s="3">
        <v>24000</v>
      </c>
      <c r="E140" s="3">
        <v>24000</v>
      </c>
      <c r="F140" s="3"/>
      <c r="G140" s="3"/>
      <c r="H140" s="3"/>
      <c r="I140" s="3"/>
      <c r="J140" s="20">
        <f t="shared" si="43"/>
        <v>24000</v>
      </c>
      <c r="K140" s="112">
        <v>12000</v>
      </c>
      <c r="L140" s="3">
        <f t="shared" si="44"/>
        <v>12000</v>
      </c>
    </row>
    <row r="141" spans="1:12" x14ac:dyDescent="0.25">
      <c r="A141" s="258"/>
      <c r="B141" s="268"/>
      <c r="C141" s="2" t="s">
        <v>29</v>
      </c>
      <c r="D141" s="3">
        <v>0</v>
      </c>
      <c r="E141" s="3">
        <v>98307</v>
      </c>
      <c r="F141" s="3">
        <v>30000</v>
      </c>
      <c r="G141" s="3"/>
      <c r="H141" s="3"/>
      <c r="I141" s="3"/>
      <c r="J141" s="20">
        <f t="shared" si="43"/>
        <v>128307</v>
      </c>
      <c r="K141" s="112">
        <v>98307</v>
      </c>
      <c r="L141" s="3">
        <f t="shared" si="44"/>
        <v>30000</v>
      </c>
    </row>
    <row r="142" spans="1:12" x14ac:dyDescent="0.25">
      <c r="A142" s="258"/>
      <c r="B142" s="268"/>
      <c r="C142" s="2" t="s">
        <v>30</v>
      </c>
      <c r="D142" s="3">
        <v>0</v>
      </c>
      <c r="E142" s="3">
        <v>0</v>
      </c>
      <c r="F142" s="3"/>
      <c r="G142" s="3"/>
      <c r="H142" s="3"/>
      <c r="I142" s="3"/>
      <c r="J142" s="20">
        <f t="shared" si="43"/>
        <v>0</v>
      </c>
      <c r="K142" s="112">
        <v>0</v>
      </c>
      <c r="L142" s="3">
        <f t="shared" si="44"/>
        <v>0</v>
      </c>
    </row>
    <row r="143" spans="1:12" x14ac:dyDescent="0.25">
      <c r="A143" s="258"/>
      <c r="B143" s="268"/>
      <c r="C143" s="6" t="s">
        <v>53</v>
      </c>
      <c r="D143" s="7">
        <f>SUM(D136:D142)</f>
        <v>5245797</v>
      </c>
      <c r="E143" s="7">
        <v>5255377</v>
      </c>
      <c r="F143" s="7">
        <f t="shared" ref="F143:L143" si="45">SUM(F136:F142)</f>
        <v>0</v>
      </c>
      <c r="G143" s="7">
        <f t="shared" si="45"/>
        <v>319009</v>
      </c>
      <c r="H143" s="7">
        <f t="shared" si="45"/>
        <v>0</v>
      </c>
      <c r="I143" s="7">
        <f t="shared" si="45"/>
        <v>0</v>
      </c>
      <c r="J143" s="7">
        <f t="shared" si="45"/>
        <v>5574386</v>
      </c>
      <c r="K143" s="114">
        <f t="shared" si="45"/>
        <v>3721797</v>
      </c>
      <c r="L143" s="7">
        <f t="shared" si="45"/>
        <v>1852589</v>
      </c>
    </row>
    <row r="144" spans="1:12" x14ac:dyDescent="0.25">
      <c r="A144" s="258"/>
      <c r="B144" s="268"/>
      <c r="C144" s="86" t="s">
        <v>31</v>
      </c>
      <c r="D144" s="87">
        <v>1025121</v>
      </c>
      <c r="E144" s="87">
        <v>1026989</v>
      </c>
      <c r="F144" s="87"/>
      <c r="G144" s="87">
        <v>62207</v>
      </c>
      <c r="H144" s="87"/>
      <c r="I144" s="87"/>
      <c r="J144" s="88">
        <f t="shared" ref="J144:J152" si="46">E144+F144+G144+H144+I144</f>
        <v>1089196</v>
      </c>
      <c r="K144" s="115">
        <v>735784</v>
      </c>
      <c r="L144" s="89">
        <f t="shared" ref="L144:L152" si="47">J144-K144</f>
        <v>353412</v>
      </c>
    </row>
    <row r="145" spans="1:12" x14ac:dyDescent="0.25">
      <c r="A145" s="258"/>
      <c r="B145" s="268"/>
      <c r="C145" s="2" t="s">
        <v>32</v>
      </c>
      <c r="D145" s="3">
        <v>80000</v>
      </c>
      <c r="E145" s="3">
        <v>80000</v>
      </c>
      <c r="F145" s="3"/>
      <c r="G145" s="3"/>
      <c r="H145" s="3"/>
      <c r="I145" s="3"/>
      <c r="J145" s="20">
        <f t="shared" si="46"/>
        <v>80000</v>
      </c>
      <c r="K145" s="112">
        <v>0</v>
      </c>
      <c r="L145" s="3">
        <f t="shared" si="47"/>
        <v>80000</v>
      </c>
    </row>
    <row r="146" spans="1:12" x14ac:dyDescent="0.25">
      <c r="A146" s="258"/>
      <c r="B146" s="268"/>
      <c r="C146" s="2" t="s">
        <v>33</v>
      </c>
      <c r="D146" s="3">
        <v>110000</v>
      </c>
      <c r="E146" s="3">
        <v>90000</v>
      </c>
      <c r="F146" s="3">
        <v>-40000</v>
      </c>
      <c r="G146" s="3"/>
      <c r="H146" s="3"/>
      <c r="I146" s="3"/>
      <c r="J146" s="20">
        <f t="shared" si="46"/>
        <v>50000</v>
      </c>
      <c r="K146" s="112">
        <v>0</v>
      </c>
      <c r="L146" s="3">
        <f t="shared" si="47"/>
        <v>50000</v>
      </c>
    </row>
    <row r="147" spans="1:12" x14ac:dyDescent="0.25">
      <c r="A147" s="258"/>
      <c r="B147" s="268"/>
      <c r="C147" s="2" t="s">
        <v>34</v>
      </c>
      <c r="D147" s="3">
        <v>150000</v>
      </c>
      <c r="E147" s="3">
        <v>136000</v>
      </c>
      <c r="F147" s="3"/>
      <c r="G147" s="3"/>
      <c r="H147" s="3"/>
      <c r="I147" s="3"/>
      <c r="J147" s="20">
        <f t="shared" si="46"/>
        <v>136000</v>
      </c>
      <c r="K147" s="112">
        <v>0</v>
      </c>
      <c r="L147" s="3">
        <f t="shared" si="47"/>
        <v>136000</v>
      </c>
    </row>
    <row r="148" spans="1:12" x14ac:dyDescent="0.25">
      <c r="A148" s="258"/>
      <c r="B148" s="268"/>
      <c r="C148" s="2" t="s">
        <v>38</v>
      </c>
      <c r="D148" s="3">
        <v>144000</v>
      </c>
      <c r="E148" s="3">
        <v>140600</v>
      </c>
      <c r="F148" s="3"/>
      <c r="G148" s="3"/>
      <c r="H148" s="3"/>
      <c r="I148" s="3"/>
      <c r="J148" s="20">
        <f t="shared" si="46"/>
        <v>140600</v>
      </c>
      <c r="K148" s="112">
        <v>0</v>
      </c>
      <c r="L148" s="3">
        <f t="shared" si="47"/>
        <v>140600</v>
      </c>
    </row>
    <row r="149" spans="1:12" x14ac:dyDescent="0.25">
      <c r="A149" s="258"/>
      <c r="B149" s="268"/>
      <c r="C149" s="2" t="s">
        <v>40</v>
      </c>
      <c r="D149" s="3">
        <v>16800</v>
      </c>
      <c r="E149" s="3">
        <v>20200</v>
      </c>
      <c r="F149" s="3"/>
      <c r="G149" s="3"/>
      <c r="H149" s="3"/>
      <c r="I149" s="3"/>
      <c r="J149" s="20">
        <f t="shared" si="46"/>
        <v>20200</v>
      </c>
      <c r="K149" s="112">
        <v>6800</v>
      </c>
      <c r="L149" s="3">
        <f t="shared" si="47"/>
        <v>13400</v>
      </c>
    </row>
    <row r="150" spans="1:12" x14ac:dyDescent="0.25">
      <c r="A150" s="258"/>
      <c r="B150" s="268"/>
      <c r="C150" s="2" t="s">
        <v>41</v>
      </c>
      <c r="D150" s="3">
        <v>40000</v>
      </c>
      <c r="E150" s="3">
        <v>80280</v>
      </c>
      <c r="F150" s="3">
        <v>40000</v>
      </c>
      <c r="G150" s="3"/>
      <c r="H150" s="3"/>
      <c r="I150" s="3"/>
      <c r="J150" s="20">
        <f t="shared" si="46"/>
        <v>120280</v>
      </c>
      <c r="K150" s="112">
        <v>79960</v>
      </c>
      <c r="L150" s="3">
        <f t="shared" si="47"/>
        <v>40320</v>
      </c>
    </row>
    <row r="151" spans="1:12" x14ac:dyDescent="0.25">
      <c r="A151" s="258"/>
      <c r="B151" s="268"/>
      <c r="C151" s="2" t="s">
        <v>42</v>
      </c>
      <c r="D151" s="3">
        <v>150000</v>
      </c>
      <c r="E151" s="3">
        <v>143720</v>
      </c>
      <c r="F151" s="3"/>
      <c r="G151" s="3"/>
      <c r="H151" s="3"/>
      <c r="I151" s="3"/>
      <c r="J151" s="20">
        <f t="shared" si="46"/>
        <v>143720</v>
      </c>
      <c r="K151" s="112">
        <v>78830</v>
      </c>
      <c r="L151" s="3">
        <f t="shared" si="47"/>
        <v>64890</v>
      </c>
    </row>
    <row r="152" spans="1:12" x14ac:dyDescent="0.25">
      <c r="A152" s="258"/>
      <c r="B152" s="268"/>
      <c r="C152" s="2" t="s">
        <v>44</v>
      </c>
      <c r="D152" s="3">
        <v>141480</v>
      </c>
      <c r="E152" s="3">
        <v>141480</v>
      </c>
      <c r="F152" s="3"/>
      <c r="G152" s="3"/>
      <c r="H152" s="3"/>
      <c r="I152" s="3"/>
      <c r="J152" s="20">
        <f t="shared" si="46"/>
        <v>141480</v>
      </c>
      <c r="K152" s="112">
        <v>10790</v>
      </c>
      <c r="L152" s="3">
        <f t="shared" si="47"/>
        <v>130690</v>
      </c>
    </row>
    <row r="153" spans="1:12" x14ac:dyDescent="0.25">
      <c r="A153" s="258"/>
      <c r="B153" s="268"/>
      <c r="C153" s="6" t="s">
        <v>49</v>
      </c>
      <c r="D153" s="7">
        <f>SUM(D145:D152)</f>
        <v>832280</v>
      </c>
      <c r="E153" s="7">
        <v>832280</v>
      </c>
      <c r="F153" s="7">
        <f t="shared" ref="F153:L153" si="48">SUM(F145:F152)</f>
        <v>0</v>
      </c>
      <c r="G153" s="7">
        <f t="shared" si="48"/>
        <v>0</v>
      </c>
      <c r="H153" s="7">
        <f t="shared" si="48"/>
        <v>0</v>
      </c>
      <c r="I153" s="7">
        <f t="shared" si="48"/>
        <v>0</v>
      </c>
      <c r="J153" s="7">
        <f t="shared" si="48"/>
        <v>832280</v>
      </c>
      <c r="K153" s="114">
        <f t="shared" si="48"/>
        <v>176380</v>
      </c>
      <c r="L153" s="7">
        <f t="shared" si="48"/>
        <v>655900</v>
      </c>
    </row>
    <row r="154" spans="1:12" x14ac:dyDescent="0.25">
      <c r="A154" s="255" t="s">
        <v>66</v>
      </c>
      <c r="B154" s="252" t="s">
        <v>23</v>
      </c>
      <c r="C154" s="15" t="s">
        <v>24</v>
      </c>
      <c r="D154" s="24">
        <v>832628</v>
      </c>
      <c r="E154" s="24">
        <v>832628</v>
      </c>
      <c r="F154" s="11"/>
      <c r="G154" s="11"/>
      <c r="H154" s="11"/>
      <c r="I154" s="11"/>
      <c r="J154" s="20">
        <f t="shared" ref="J154:J155" si="49">E154+F154+G154+H154+I154</f>
        <v>832628</v>
      </c>
      <c r="K154" s="112">
        <v>613496</v>
      </c>
      <c r="L154" s="3">
        <f t="shared" ref="L154:L155" si="50">J154-K154</f>
        <v>219132</v>
      </c>
    </row>
    <row r="155" spans="1:12" x14ac:dyDescent="0.25">
      <c r="A155" s="257"/>
      <c r="B155" s="254"/>
      <c r="C155" s="15" t="s">
        <v>31</v>
      </c>
      <c r="D155" s="24">
        <v>155410</v>
      </c>
      <c r="E155" s="24">
        <v>155410</v>
      </c>
      <c r="F155" s="11"/>
      <c r="G155" s="11"/>
      <c r="H155" s="11"/>
      <c r="I155" s="11"/>
      <c r="J155" s="20">
        <f t="shared" si="49"/>
        <v>155410</v>
      </c>
      <c r="K155" s="112">
        <v>116851</v>
      </c>
      <c r="L155" s="3">
        <f t="shared" si="50"/>
        <v>38559</v>
      </c>
    </row>
    <row r="156" spans="1:12" x14ac:dyDescent="0.25">
      <c r="A156" s="353" t="s">
        <v>79</v>
      </c>
      <c r="B156" s="354"/>
      <c r="C156" s="355"/>
      <c r="D156" s="126">
        <f>SUM(D143+D144+D153+D154+D155)</f>
        <v>8091236</v>
      </c>
      <c r="E156" s="126">
        <f t="shared" ref="E156:L156" si="51">SUM(E143+E144+E153+E154+E155)</f>
        <v>8102684</v>
      </c>
      <c r="F156" s="126">
        <f t="shared" si="51"/>
        <v>0</v>
      </c>
      <c r="G156" s="126">
        <f t="shared" si="51"/>
        <v>381216</v>
      </c>
      <c r="H156" s="126">
        <f t="shared" si="51"/>
        <v>0</v>
      </c>
      <c r="I156" s="126">
        <f t="shared" si="51"/>
        <v>0</v>
      </c>
      <c r="J156" s="126">
        <f t="shared" si="51"/>
        <v>8483900</v>
      </c>
      <c r="K156" s="128">
        <f t="shared" si="51"/>
        <v>5364308</v>
      </c>
      <c r="L156" s="126">
        <f t="shared" si="51"/>
        <v>3119592</v>
      </c>
    </row>
    <row r="157" spans="1:12" x14ac:dyDescent="0.25">
      <c r="A157" s="258" t="s">
        <v>55</v>
      </c>
      <c r="B157" s="268" t="s">
        <v>23</v>
      </c>
      <c r="C157" s="10" t="s">
        <v>24</v>
      </c>
      <c r="D157" s="24">
        <v>5055869</v>
      </c>
      <c r="E157" s="24">
        <v>5055869</v>
      </c>
      <c r="F157" s="11">
        <v>-50000</v>
      </c>
      <c r="G157" s="11">
        <v>269597</v>
      </c>
      <c r="H157" s="11"/>
      <c r="I157" s="11"/>
      <c r="J157" s="20">
        <f t="shared" ref="J157:J162" si="52">E157+F157+G157+H157+I157</f>
        <v>5275466</v>
      </c>
      <c r="K157" s="112">
        <v>3660996</v>
      </c>
      <c r="L157" s="3">
        <f t="shared" ref="L157:L162" si="53">J157-K157</f>
        <v>1614470</v>
      </c>
    </row>
    <row r="158" spans="1:12" x14ac:dyDescent="0.25">
      <c r="A158" s="258"/>
      <c r="B158" s="268"/>
      <c r="C158" s="10" t="s">
        <v>25</v>
      </c>
      <c r="D158" s="24">
        <v>425000</v>
      </c>
      <c r="E158" s="24">
        <v>425000</v>
      </c>
      <c r="F158" s="11"/>
      <c r="G158" s="11"/>
      <c r="H158" s="11"/>
      <c r="I158" s="11"/>
      <c r="J158" s="20">
        <f t="shared" si="52"/>
        <v>425000</v>
      </c>
      <c r="K158" s="112">
        <v>302500</v>
      </c>
      <c r="L158" s="3">
        <f t="shared" si="53"/>
        <v>122500</v>
      </c>
    </row>
    <row r="159" spans="1:12" x14ac:dyDescent="0.25">
      <c r="A159" s="258"/>
      <c r="B159" s="268"/>
      <c r="C159" s="10" t="s">
        <v>26</v>
      </c>
      <c r="D159" s="24">
        <v>10000</v>
      </c>
      <c r="E159" s="24">
        <v>10000</v>
      </c>
      <c r="F159" s="11"/>
      <c r="G159" s="11"/>
      <c r="H159" s="11"/>
      <c r="I159" s="11"/>
      <c r="J159" s="20">
        <f t="shared" si="52"/>
        <v>10000</v>
      </c>
      <c r="K159" s="112">
        <v>0</v>
      </c>
      <c r="L159" s="3">
        <f t="shared" si="53"/>
        <v>10000</v>
      </c>
    </row>
    <row r="160" spans="1:12" x14ac:dyDescent="0.25">
      <c r="A160" s="258"/>
      <c r="B160" s="268"/>
      <c r="C160" s="10" t="s">
        <v>28</v>
      </c>
      <c r="D160" s="24">
        <v>24000</v>
      </c>
      <c r="E160" s="24">
        <v>24000</v>
      </c>
      <c r="F160" s="11"/>
      <c r="G160" s="11"/>
      <c r="H160" s="11"/>
      <c r="I160" s="11"/>
      <c r="J160" s="20">
        <f t="shared" si="52"/>
        <v>24000</v>
      </c>
      <c r="K160" s="112">
        <v>12000</v>
      </c>
      <c r="L160" s="3">
        <f t="shared" si="53"/>
        <v>12000</v>
      </c>
    </row>
    <row r="161" spans="1:12" x14ac:dyDescent="0.25">
      <c r="A161" s="258"/>
      <c r="B161" s="268"/>
      <c r="C161" s="10" t="s">
        <v>29</v>
      </c>
      <c r="D161" s="24">
        <v>75000</v>
      </c>
      <c r="E161" s="24">
        <v>75000</v>
      </c>
      <c r="F161" s="11">
        <v>50000</v>
      </c>
      <c r="G161" s="11"/>
      <c r="H161" s="11"/>
      <c r="I161" s="11"/>
      <c r="J161" s="20">
        <f t="shared" si="52"/>
        <v>125000</v>
      </c>
      <c r="K161" s="112">
        <v>0</v>
      </c>
      <c r="L161" s="3">
        <f t="shared" si="53"/>
        <v>125000</v>
      </c>
    </row>
    <row r="162" spans="1:12" x14ac:dyDescent="0.25">
      <c r="A162" s="258"/>
      <c r="B162" s="268"/>
      <c r="C162" s="10" t="s">
        <v>30</v>
      </c>
      <c r="D162" s="24">
        <v>0</v>
      </c>
      <c r="E162" s="24">
        <v>0</v>
      </c>
      <c r="F162" s="11"/>
      <c r="G162" s="11"/>
      <c r="H162" s="11"/>
      <c r="I162" s="11"/>
      <c r="J162" s="20">
        <f t="shared" si="52"/>
        <v>0</v>
      </c>
      <c r="K162" s="112">
        <v>0</v>
      </c>
      <c r="L162" s="3">
        <f t="shared" si="53"/>
        <v>0</v>
      </c>
    </row>
    <row r="163" spans="1:12" x14ac:dyDescent="0.25">
      <c r="A163" s="258"/>
      <c r="B163" s="268"/>
      <c r="C163" s="6" t="s">
        <v>53</v>
      </c>
      <c r="D163" s="7">
        <f>SUM(D157:D162)</f>
        <v>5589869</v>
      </c>
      <c r="E163" s="7">
        <v>5589869</v>
      </c>
      <c r="F163" s="7">
        <f t="shared" ref="F163:L163" si="54">SUM(F157:F162)</f>
        <v>0</v>
      </c>
      <c r="G163" s="7">
        <f t="shared" si="54"/>
        <v>269597</v>
      </c>
      <c r="H163" s="7">
        <f t="shared" si="54"/>
        <v>0</v>
      </c>
      <c r="I163" s="7">
        <f t="shared" si="54"/>
        <v>0</v>
      </c>
      <c r="J163" s="7">
        <f t="shared" si="54"/>
        <v>5859466</v>
      </c>
      <c r="K163" s="114">
        <f t="shared" si="54"/>
        <v>3975496</v>
      </c>
      <c r="L163" s="7">
        <f t="shared" si="54"/>
        <v>1883970</v>
      </c>
    </row>
    <row r="164" spans="1:12" x14ac:dyDescent="0.25">
      <c r="A164" s="258"/>
      <c r="B164" s="268"/>
      <c r="C164" s="86" t="s">
        <v>31</v>
      </c>
      <c r="D164" s="87">
        <v>1124913</v>
      </c>
      <c r="E164" s="87">
        <v>1124913</v>
      </c>
      <c r="F164" s="87"/>
      <c r="G164" s="87">
        <v>52571</v>
      </c>
      <c r="H164" s="87"/>
      <c r="I164" s="87"/>
      <c r="J164" s="88">
        <f t="shared" ref="J164:J173" si="55">E164+F164+G164+H164+I164</f>
        <v>1177484</v>
      </c>
      <c r="K164" s="115">
        <v>811885</v>
      </c>
      <c r="L164" s="89">
        <f t="shared" ref="L164:L173" si="56">J164-K164</f>
        <v>365599</v>
      </c>
    </row>
    <row r="165" spans="1:12" x14ac:dyDescent="0.25">
      <c r="A165" s="258"/>
      <c r="B165" s="268"/>
      <c r="C165" s="10" t="s">
        <v>32</v>
      </c>
      <c r="D165" s="24">
        <v>100000</v>
      </c>
      <c r="E165" s="24">
        <v>100000</v>
      </c>
      <c r="F165" s="11">
        <v>-50000</v>
      </c>
      <c r="G165" s="11"/>
      <c r="H165" s="11"/>
      <c r="I165" s="11"/>
      <c r="J165" s="20">
        <f t="shared" si="55"/>
        <v>50000</v>
      </c>
      <c r="K165" s="112">
        <v>0</v>
      </c>
      <c r="L165" s="3">
        <f t="shared" si="56"/>
        <v>50000</v>
      </c>
    </row>
    <row r="166" spans="1:12" x14ac:dyDescent="0.25">
      <c r="A166" s="258"/>
      <c r="B166" s="268"/>
      <c r="C166" s="10" t="s">
        <v>33</v>
      </c>
      <c r="D166" s="24">
        <v>100000</v>
      </c>
      <c r="E166" s="24">
        <v>100000</v>
      </c>
      <c r="F166" s="11"/>
      <c r="G166" s="11"/>
      <c r="H166" s="11"/>
      <c r="I166" s="11"/>
      <c r="J166" s="20">
        <f t="shared" si="55"/>
        <v>100000</v>
      </c>
      <c r="K166" s="112">
        <v>4536</v>
      </c>
      <c r="L166" s="3">
        <f t="shared" si="56"/>
        <v>95464</v>
      </c>
    </row>
    <row r="167" spans="1:12" x14ac:dyDescent="0.25">
      <c r="A167" s="258"/>
      <c r="B167" s="268"/>
      <c r="C167" s="10" t="s">
        <v>34</v>
      </c>
      <c r="D167" s="24">
        <v>100000</v>
      </c>
      <c r="E167" s="24">
        <v>100000</v>
      </c>
      <c r="F167" s="11"/>
      <c r="G167" s="11"/>
      <c r="H167" s="11"/>
      <c r="I167" s="11"/>
      <c r="J167" s="20">
        <f t="shared" si="55"/>
        <v>100000</v>
      </c>
      <c r="K167" s="112">
        <v>0</v>
      </c>
      <c r="L167" s="3">
        <f t="shared" si="56"/>
        <v>100000</v>
      </c>
    </row>
    <row r="168" spans="1:12" x14ac:dyDescent="0.25">
      <c r="A168" s="258"/>
      <c r="B168" s="268"/>
      <c r="C168" s="10" t="s">
        <v>35</v>
      </c>
      <c r="D168" s="24">
        <v>50000</v>
      </c>
      <c r="E168" s="24">
        <v>50000</v>
      </c>
      <c r="F168" s="11"/>
      <c r="G168" s="11"/>
      <c r="H168" s="11"/>
      <c r="I168" s="11"/>
      <c r="J168" s="20">
        <f t="shared" si="55"/>
        <v>50000</v>
      </c>
      <c r="K168" s="112">
        <v>0</v>
      </c>
      <c r="L168" s="3">
        <f t="shared" si="56"/>
        <v>50000</v>
      </c>
    </row>
    <row r="169" spans="1:12" x14ac:dyDescent="0.25">
      <c r="A169" s="258"/>
      <c r="B169" s="268"/>
      <c r="C169" s="10" t="s">
        <v>38</v>
      </c>
      <c r="D169" s="24">
        <v>140000</v>
      </c>
      <c r="E169" s="24">
        <v>136600</v>
      </c>
      <c r="F169" s="139"/>
      <c r="G169" s="11"/>
      <c r="H169" s="11"/>
      <c r="I169" s="11"/>
      <c r="J169" s="20">
        <f t="shared" si="55"/>
        <v>136600</v>
      </c>
      <c r="K169" s="112">
        <v>30190</v>
      </c>
      <c r="L169" s="3">
        <f t="shared" si="56"/>
        <v>106410</v>
      </c>
    </row>
    <row r="170" spans="1:12" x14ac:dyDescent="0.25">
      <c r="A170" s="258"/>
      <c r="B170" s="268"/>
      <c r="C170" s="10" t="s">
        <v>40</v>
      </c>
      <c r="D170" s="24">
        <v>15000</v>
      </c>
      <c r="E170" s="24">
        <v>18400</v>
      </c>
      <c r="F170" s="139"/>
      <c r="G170" s="11"/>
      <c r="H170" s="11"/>
      <c r="I170" s="11"/>
      <c r="J170" s="20">
        <f t="shared" si="55"/>
        <v>18400</v>
      </c>
      <c r="K170" s="112">
        <v>6350</v>
      </c>
      <c r="L170" s="3">
        <f t="shared" si="56"/>
        <v>12050</v>
      </c>
    </row>
    <row r="171" spans="1:12" x14ac:dyDescent="0.25">
      <c r="A171" s="258"/>
      <c r="B171" s="268"/>
      <c r="C171" s="10" t="s">
        <v>41</v>
      </c>
      <c r="D171" s="24">
        <v>80000</v>
      </c>
      <c r="E171" s="24">
        <v>94188</v>
      </c>
      <c r="F171" s="11">
        <v>50000</v>
      </c>
      <c r="G171" s="11"/>
      <c r="H171" s="11"/>
      <c r="I171" s="11"/>
      <c r="J171" s="20">
        <f t="shared" si="55"/>
        <v>144188</v>
      </c>
      <c r="K171" s="112">
        <v>93868</v>
      </c>
      <c r="L171" s="3">
        <f t="shared" si="56"/>
        <v>50320</v>
      </c>
    </row>
    <row r="172" spans="1:12" x14ac:dyDescent="0.25">
      <c r="A172" s="258"/>
      <c r="B172" s="268"/>
      <c r="C172" s="10" t="s">
        <v>42</v>
      </c>
      <c r="D172" s="24">
        <v>240000</v>
      </c>
      <c r="E172" s="24">
        <v>240000</v>
      </c>
      <c r="F172" s="11"/>
      <c r="G172" s="11"/>
      <c r="H172" s="11"/>
      <c r="I172" s="11"/>
      <c r="J172" s="20">
        <f t="shared" si="55"/>
        <v>240000</v>
      </c>
      <c r="K172" s="112">
        <v>198795</v>
      </c>
      <c r="L172" s="3">
        <f t="shared" si="56"/>
        <v>41205</v>
      </c>
    </row>
    <row r="173" spans="1:12" x14ac:dyDescent="0.25">
      <c r="A173" s="258"/>
      <c r="B173" s="268"/>
      <c r="C173" s="10" t="s">
        <v>44</v>
      </c>
      <c r="D173" s="24">
        <v>142900</v>
      </c>
      <c r="E173" s="24">
        <v>128712</v>
      </c>
      <c r="F173" s="11"/>
      <c r="G173" s="11"/>
      <c r="H173" s="11"/>
      <c r="I173" s="11"/>
      <c r="J173" s="20">
        <f t="shared" si="55"/>
        <v>128712</v>
      </c>
      <c r="K173" s="112">
        <v>22031</v>
      </c>
      <c r="L173" s="3">
        <f t="shared" si="56"/>
        <v>106681</v>
      </c>
    </row>
    <row r="174" spans="1:12" x14ac:dyDescent="0.25">
      <c r="A174" s="258"/>
      <c r="B174" s="268"/>
      <c r="C174" s="6" t="s">
        <v>49</v>
      </c>
      <c r="D174" s="7">
        <f>SUM(D165:D173)</f>
        <v>967900</v>
      </c>
      <c r="E174" s="7">
        <v>967900</v>
      </c>
      <c r="F174" s="7">
        <f t="shared" ref="F174:L174" si="57">SUM(F165:F173)</f>
        <v>0</v>
      </c>
      <c r="G174" s="7">
        <f t="shared" si="57"/>
        <v>0</v>
      </c>
      <c r="H174" s="7">
        <f t="shared" si="57"/>
        <v>0</v>
      </c>
      <c r="I174" s="7">
        <f t="shared" si="57"/>
        <v>0</v>
      </c>
      <c r="J174" s="7">
        <f t="shared" si="57"/>
        <v>967900</v>
      </c>
      <c r="K174" s="114">
        <f t="shared" si="57"/>
        <v>355770</v>
      </c>
      <c r="L174" s="7">
        <f t="shared" si="57"/>
        <v>612130</v>
      </c>
    </row>
    <row r="175" spans="1:12" x14ac:dyDescent="0.25">
      <c r="A175" s="255" t="s">
        <v>67</v>
      </c>
      <c r="B175" s="252" t="s">
        <v>23</v>
      </c>
      <c r="C175" s="25" t="s">
        <v>29</v>
      </c>
      <c r="D175" s="24">
        <v>157200</v>
      </c>
      <c r="E175" s="24">
        <v>157200</v>
      </c>
      <c r="F175" s="11"/>
      <c r="G175" s="11"/>
      <c r="H175" s="11"/>
      <c r="I175" s="11"/>
      <c r="J175" s="20">
        <f t="shared" ref="J175:J191" si="58">E175+F175+G175+H175+I175</f>
        <v>157200</v>
      </c>
      <c r="K175" s="112">
        <v>55500</v>
      </c>
      <c r="L175" s="3">
        <f t="shared" ref="L175:L191" si="59">J175-K175</f>
        <v>101700</v>
      </c>
    </row>
    <row r="176" spans="1:12" x14ac:dyDescent="0.25">
      <c r="A176" s="257"/>
      <c r="B176" s="254"/>
      <c r="C176" s="25" t="s">
        <v>31</v>
      </c>
      <c r="D176" s="24">
        <v>29213</v>
      </c>
      <c r="E176" s="24">
        <v>29213</v>
      </c>
      <c r="F176" s="11"/>
      <c r="G176" s="11"/>
      <c r="H176" s="11"/>
      <c r="I176" s="11"/>
      <c r="J176" s="20">
        <f t="shared" si="58"/>
        <v>29213</v>
      </c>
      <c r="K176" s="112">
        <v>10612</v>
      </c>
      <c r="L176" s="3">
        <f t="shared" si="59"/>
        <v>18601</v>
      </c>
    </row>
    <row r="177" spans="1:12" x14ac:dyDescent="0.25">
      <c r="A177" s="255" t="s">
        <v>75</v>
      </c>
      <c r="B177" s="252" t="s">
        <v>23</v>
      </c>
      <c r="C177" s="15" t="s">
        <v>24</v>
      </c>
      <c r="D177" s="24">
        <v>1604509</v>
      </c>
      <c r="E177" s="24">
        <v>1604509</v>
      </c>
      <c r="F177" s="11"/>
      <c r="G177" s="11"/>
      <c r="H177" s="11"/>
      <c r="I177" s="11"/>
      <c r="J177" s="20">
        <f t="shared" si="58"/>
        <v>1604509</v>
      </c>
      <c r="K177" s="112">
        <v>1232252</v>
      </c>
      <c r="L177" s="3">
        <f t="shared" si="59"/>
        <v>372257</v>
      </c>
    </row>
    <row r="178" spans="1:12" x14ac:dyDescent="0.25">
      <c r="A178" s="257"/>
      <c r="B178" s="254"/>
      <c r="C178" s="15" t="s">
        <v>31</v>
      </c>
      <c r="D178" s="24">
        <v>299119</v>
      </c>
      <c r="E178" s="24">
        <v>299119</v>
      </c>
      <c r="F178" s="11"/>
      <c r="G178" s="11"/>
      <c r="H178" s="11"/>
      <c r="I178" s="11"/>
      <c r="J178" s="20">
        <f t="shared" si="58"/>
        <v>299119</v>
      </c>
      <c r="K178" s="112">
        <v>234787</v>
      </c>
      <c r="L178" s="3">
        <f t="shared" si="59"/>
        <v>64332</v>
      </c>
    </row>
    <row r="179" spans="1:12" x14ac:dyDescent="0.25">
      <c r="A179" s="356" t="s">
        <v>80</v>
      </c>
      <c r="B179" s="356"/>
      <c r="C179" s="356"/>
      <c r="D179" s="127">
        <f>SUM(D163+D164+D174+D175+D176+D177+D178)</f>
        <v>9772723</v>
      </c>
      <c r="E179" s="127">
        <f t="shared" ref="E179:L179" si="60">SUM(E163+E164+E174+E175+E176+E177+E178)</f>
        <v>9772723</v>
      </c>
      <c r="F179" s="127">
        <f t="shared" si="60"/>
        <v>0</v>
      </c>
      <c r="G179" s="127">
        <f t="shared" si="60"/>
        <v>322168</v>
      </c>
      <c r="H179" s="127">
        <f t="shared" si="60"/>
        <v>0</v>
      </c>
      <c r="I179" s="127">
        <f t="shared" si="60"/>
        <v>0</v>
      </c>
      <c r="J179" s="127">
        <f t="shared" si="60"/>
        <v>10094891</v>
      </c>
      <c r="K179" s="128">
        <f t="shared" si="60"/>
        <v>6676302</v>
      </c>
      <c r="L179" s="127">
        <f t="shared" si="60"/>
        <v>3418589</v>
      </c>
    </row>
    <row r="180" spans="1:12" x14ac:dyDescent="0.25">
      <c r="A180" s="258" t="s">
        <v>15</v>
      </c>
      <c r="B180" s="252" t="s">
        <v>23</v>
      </c>
      <c r="C180" s="43" t="s">
        <v>24</v>
      </c>
      <c r="D180" s="44">
        <v>11144060</v>
      </c>
      <c r="E180" s="44">
        <v>11144060</v>
      </c>
      <c r="F180" s="44"/>
      <c r="G180" s="44"/>
      <c r="H180" s="44"/>
      <c r="I180" s="44"/>
      <c r="J180" s="20">
        <f t="shared" si="58"/>
        <v>11144060</v>
      </c>
      <c r="K180" s="56">
        <v>8187749</v>
      </c>
      <c r="L180" s="3">
        <f t="shared" si="59"/>
        <v>2956311</v>
      </c>
    </row>
    <row r="181" spans="1:12" x14ac:dyDescent="0.25">
      <c r="A181" s="258"/>
      <c r="B181" s="253"/>
      <c r="C181" s="43" t="s">
        <v>30</v>
      </c>
      <c r="D181" s="44">
        <v>0</v>
      </c>
      <c r="E181" s="44">
        <v>0</v>
      </c>
      <c r="F181" s="44"/>
      <c r="G181" s="44"/>
      <c r="H181" s="44"/>
      <c r="I181" s="44"/>
      <c r="J181" s="20">
        <f t="shared" si="58"/>
        <v>0</v>
      </c>
      <c r="K181" s="56">
        <v>0</v>
      </c>
      <c r="L181" s="3">
        <f t="shared" si="59"/>
        <v>0</v>
      </c>
    </row>
    <row r="182" spans="1:12" x14ac:dyDescent="0.25">
      <c r="A182" s="258"/>
      <c r="B182" s="253"/>
      <c r="C182" s="6" t="s">
        <v>53</v>
      </c>
      <c r="D182" s="7">
        <f>D180+D181</f>
        <v>11144060</v>
      </c>
      <c r="E182" s="7">
        <v>11144060</v>
      </c>
      <c r="F182" s="7">
        <f t="shared" ref="F182:L182" si="61">F180+F181</f>
        <v>0</v>
      </c>
      <c r="G182" s="7">
        <f t="shared" si="61"/>
        <v>0</v>
      </c>
      <c r="H182" s="7">
        <f t="shared" si="61"/>
        <v>0</v>
      </c>
      <c r="I182" s="7">
        <f t="shared" si="61"/>
        <v>0</v>
      </c>
      <c r="J182" s="8">
        <f t="shared" si="58"/>
        <v>11144060</v>
      </c>
      <c r="K182" s="117">
        <f t="shared" si="61"/>
        <v>8187749</v>
      </c>
      <c r="L182" s="7">
        <f t="shared" si="61"/>
        <v>2956311</v>
      </c>
    </row>
    <row r="183" spans="1:12" x14ac:dyDescent="0.25">
      <c r="A183" s="258"/>
      <c r="B183" s="253"/>
      <c r="C183" s="86" t="s">
        <v>31</v>
      </c>
      <c r="D183" s="87">
        <v>2295657</v>
      </c>
      <c r="E183" s="87">
        <v>6570207</v>
      </c>
      <c r="F183" s="87"/>
      <c r="G183" s="87"/>
      <c r="H183" s="87"/>
      <c r="I183" s="87"/>
      <c r="J183" s="89">
        <f t="shared" si="58"/>
        <v>6570207</v>
      </c>
      <c r="K183" s="115">
        <v>4345532</v>
      </c>
      <c r="L183" s="89">
        <f t="shared" si="59"/>
        <v>2224675</v>
      </c>
    </row>
    <row r="184" spans="1:12" x14ac:dyDescent="0.25">
      <c r="A184" s="258"/>
      <c r="B184" s="253"/>
      <c r="C184" s="10" t="s">
        <v>33</v>
      </c>
      <c r="D184" s="3">
        <v>90000</v>
      </c>
      <c r="E184" s="3">
        <v>232959</v>
      </c>
      <c r="F184" s="3"/>
      <c r="G184" s="3"/>
      <c r="H184" s="3"/>
      <c r="I184" s="3"/>
      <c r="J184" s="3">
        <f t="shared" si="58"/>
        <v>232959</v>
      </c>
      <c r="K184" s="112">
        <v>232959</v>
      </c>
      <c r="L184" s="3">
        <f t="shared" si="59"/>
        <v>0</v>
      </c>
    </row>
    <row r="185" spans="1:12" x14ac:dyDescent="0.25">
      <c r="A185" s="258"/>
      <c r="B185" s="253"/>
      <c r="C185" s="10" t="s">
        <v>37</v>
      </c>
      <c r="D185" s="3">
        <v>230000</v>
      </c>
      <c r="E185" s="3">
        <v>230000</v>
      </c>
      <c r="F185" s="3"/>
      <c r="G185" s="3"/>
      <c r="H185" s="3"/>
      <c r="I185" s="3"/>
      <c r="J185" s="3">
        <f t="shared" si="58"/>
        <v>230000</v>
      </c>
      <c r="K185" s="112">
        <v>0</v>
      </c>
      <c r="L185" s="3">
        <f t="shared" si="59"/>
        <v>230000</v>
      </c>
    </row>
    <row r="186" spans="1:12" x14ac:dyDescent="0.25">
      <c r="A186" s="258"/>
      <c r="B186" s="253"/>
      <c r="C186" s="10" t="s">
        <v>40</v>
      </c>
      <c r="D186" s="3">
        <v>14850000</v>
      </c>
      <c r="E186" s="3">
        <v>14850000</v>
      </c>
      <c r="F186" s="3"/>
      <c r="G186" s="3"/>
      <c r="H186" s="3"/>
      <c r="I186" s="3"/>
      <c r="J186" s="3">
        <f t="shared" si="58"/>
        <v>14850000</v>
      </c>
      <c r="K186" s="112">
        <v>0</v>
      </c>
      <c r="L186" s="3">
        <f t="shared" si="59"/>
        <v>14850000</v>
      </c>
    </row>
    <row r="187" spans="1:12" x14ac:dyDescent="0.25">
      <c r="A187" s="258"/>
      <c r="B187" s="253"/>
      <c r="C187" s="10" t="s">
        <v>41</v>
      </c>
      <c r="D187" s="3">
        <v>25112271</v>
      </c>
      <c r="E187" s="3">
        <v>12427045</v>
      </c>
      <c r="F187" s="3"/>
      <c r="G187" s="3"/>
      <c r="H187" s="3"/>
      <c r="I187" s="3"/>
      <c r="J187" s="3">
        <f t="shared" si="58"/>
        <v>12427045</v>
      </c>
      <c r="K187" s="112">
        <v>5250010</v>
      </c>
      <c r="L187" s="3">
        <f t="shared" si="59"/>
        <v>7177035</v>
      </c>
    </row>
    <row r="188" spans="1:12" x14ac:dyDescent="0.25">
      <c r="A188" s="258"/>
      <c r="B188" s="253"/>
      <c r="C188" s="10" t="s">
        <v>42</v>
      </c>
      <c r="D188" s="3">
        <v>230000</v>
      </c>
      <c r="E188" s="3">
        <v>230000</v>
      </c>
      <c r="F188" s="3"/>
      <c r="G188" s="3"/>
      <c r="H188" s="3"/>
      <c r="I188" s="3"/>
      <c r="J188" s="3">
        <f t="shared" si="58"/>
        <v>230000</v>
      </c>
      <c r="K188" s="112">
        <v>38298</v>
      </c>
      <c r="L188" s="3">
        <f t="shared" si="59"/>
        <v>191702</v>
      </c>
    </row>
    <row r="189" spans="1:12" x14ac:dyDescent="0.25">
      <c r="A189" s="258"/>
      <c r="B189" s="253"/>
      <c r="C189" s="10" t="s">
        <v>43</v>
      </c>
      <c r="D189" s="3">
        <v>230000</v>
      </c>
      <c r="E189" s="3">
        <v>230000</v>
      </c>
      <c r="F189" s="3"/>
      <c r="G189" s="3"/>
      <c r="H189" s="3"/>
      <c r="I189" s="3"/>
      <c r="J189" s="3">
        <f t="shared" si="58"/>
        <v>230000</v>
      </c>
      <c r="K189" s="112">
        <v>0</v>
      </c>
      <c r="L189" s="3">
        <f t="shared" si="59"/>
        <v>230000</v>
      </c>
    </row>
    <row r="190" spans="1:12" x14ac:dyDescent="0.25">
      <c r="A190" s="258"/>
      <c r="B190" s="253"/>
      <c r="C190" s="10" t="s">
        <v>44</v>
      </c>
      <c r="D190" s="3">
        <v>5677830</v>
      </c>
      <c r="E190" s="3">
        <v>3445547</v>
      </c>
      <c r="F190" s="3"/>
      <c r="G190" s="3"/>
      <c r="H190" s="3"/>
      <c r="I190" s="3"/>
      <c r="J190" s="3">
        <f t="shared" si="58"/>
        <v>3445547</v>
      </c>
      <c r="K190" s="112">
        <v>1480399</v>
      </c>
      <c r="L190" s="3">
        <f t="shared" si="59"/>
        <v>1965148</v>
      </c>
    </row>
    <row r="191" spans="1:12" x14ac:dyDescent="0.25">
      <c r="A191" s="258"/>
      <c r="B191" s="253"/>
      <c r="C191" s="10" t="s">
        <v>45</v>
      </c>
      <c r="D191" s="3">
        <v>229990</v>
      </c>
      <c r="E191" s="3">
        <v>229990</v>
      </c>
      <c r="F191" s="3"/>
      <c r="G191" s="3"/>
      <c r="H191" s="3"/>
      <c r="I191" s="3"/>
      <c r="J191" s="3">
        <f t="shared" si="58"/>
        <v>229990</v>
      </c>
      <c r="K191" s="112">
        <v>0</v>
      </c>
      <c r="L191" s="3">
        <f t="shared" si="59"/>
        <v>229990</v>
      </c>
    </row>
    <row r="192" spans="1:12" x14ac:dyDescent="0.25">
      <c r="A192" s="258"/>
      <c r="B192" s="253"/>
      <c r="C192" s="6" t="s">
        <v>49</v>
      </c>
      <c r="D192" s="7">
        <f>SUM(D184:D191)</f>
        <v>46650091</v>
      </c>
      <c r="E192" s="7">
        <v>31875541</v>
      </c>
      <c r="F192" s="7">
        <f t="shared" ref="F192:L192" si="62">SUM(F184:F191)</f>
        <v>0</v>
      </c>
      <c r="G192" s="7">
        <f t="shared" si="62"/>
        <v>0</v>
      </c>
      <c r="H192" s="7">
        <f t="shared" si="62"/>
        <v>0</v>
      </c>
      <c r="I192" s="7">
        <f t="shared" si="62"/>
        <v>0</v>
      </c>
      <c r="J192" s="7">
        <f t="shared" si="62"/>
        <v>31875541</v>
      </c>
      <c r="K192" s="114">
        <f t="shared" si="62"/>
        <v>7001666</v>
      </c>
      <c r="L192" s="7">
        <f t="shared" si="62"/>
        <v>24873875</v>
      </c>
    </row>
    <row r="193" spans="1:12" x14ac:dyDescent="0.25">
      <c r="A193" s="258"/>
      <c r="B193" s="253"/>
      <c r="C193" s="10" t="s">
        <v>56</v>
      </c>
      <c r="D193" s="3">
        <v>0</v>
      </c>
      <c r="E193" s="3">
        <v>0</v>
      </c>
      <c r="F193" s="3"/>
      <c r="G193" s="3"/>
      <c r="H193" s="3"/>
      <c r="I193" s="3"/>
      <c r="J193" s="3">
        <f t="shared" ref="J193:J195" si="63">E193+F193+G193+H193+I193</f>
        <v>0</v>
      </c>
      <c r="K193" s="112">
        <v>0</v>
      </c>
      <c r="L193" s="3">
        <f t="shared" ref="L193:L195" si="64">J193-K193</f>
        <v>0</v>
      </c>
    </row>
    <row r="194" spans="1:12" x14ac:dyDescent="0.25">
      <c r="A194" s="258"/>
      <c r="B194" s="253"/>
      <c r="C194" s="10" t="s">
        <v>50</v>
      </c>
      <c r="D194" s="3">
        <v>3740</v>
      </c>
      <c r="E194" s="3">
        <v>3740</v>
      </c>
      <c r="F194" s="3"/>
      <c r="G194" s="3"/>
      <c r="H194" s="3"/>
      <c r="I194" s="3"/>
      <c r="J194" s="3">
        <f t="shared" si="63"/>
        <v>3740</v>
      </c>
      <c r="K194" s="112">
        <v>0</v>
      </c>
      <c r="L194" s="3">
        <f t="shared" si="64"/>
        <v>3740</v>
      </c>
    </row>
    <row r="195" spans="1:12" x14ac:dyDescent="0.25">
      <c r="A195" s="258"/>
      <c r="B195" s="253"/>
      <c r="C195" s="10" t="s">
        <v>51</v>
      </c>
      <c r="D195" s="3">
        <v>1010</v>
      </c>
      <c r="E195" s="3">
        <v>1010</v>
      </c>
      <c r="F195" s="3"/>
      <c r="G195" s="3"/>
      <c r="H195" s="3"/>
      <c r="I195" s="3"/>
      <c r="J195" s="3">
        <f t="shared" si="63"/>
        <v>1010</v>
      </c>
      <c r="K195" s="112">
        <v>0</v>
      </c>
      <c r="L195" s="3">
        <f t="shared" si="64"/>
        <v>1010</v>
      </c>
    </row>
    <row r="196" spans="1:12" x14ac:dyDescent="0.25">
      <c r="A196" s="258"/>
      <c r="B196" s="253"/>
      <c r="C196" s="6" t="s">
        <v>52</v>
      </c>
      <c r="D196" s="7">
        <f>SUM(D193:D195)</f>
        <v>4750</v>
      </c>
      <c r="E196" s="7">
        <v>4750</v>
      </c>
      <c r="F196" s="7">
        <f t="shared" ref="F196:L196" si="65">SUM(F193:F195)</f>
        <v>0</v>
      </c>
      <c r="G196" s="7">
        <f t="shared" si="65"/>
        <v>0</v>
      </c>
      <c r="H196" s="7">
        <f t="shared" si="65"/>
        <v>0</v>
      </c>
      <c r="I196" s="7">
        <f t="shared" si="65"/>
        <v>0</v>
      </c>
      <c r="J196" s="7">
        <f t="shared" si="65"/>
        <v>4750</v>
      </c>
      <c r="K196" s="114">
        <f t="shared" si="65"/>
        <v>0</v>
      </c>
      <c r="L196" s="7">
        <f t="shared" si="65"/>
        <v>4750</v>
      </c>
    </row>
    <row r="197" spans="1:12" x14ac:dyDescent="0.25">
      <c r="A197" s="258"/>
      <c r="B197" s="254"/>
      <c r="C197" s="10" t="s">
        <v>57</v>
      </c>
      <c r="D197" s="3">
        <v>0</v>
      </c>
      <c r="E197" s="3">
        <v>10500000</v>
      </c>
      <c r="F197" s="3"/>
      <c r="G197" s="3"/>
      <c r="H197" s="3"/>
      <c r="I197" s="3"/>
      <c r="J197" s="3">
        <f t="shared" ref="J197" si="66">E197+F197+G197+H197+I197</f>
        <v>10500000</v>
      </c>
      <c r="K197" s="112">
        <v>10500000</v>
      </c>
      <c r="L197" s="3">
        <f t="shared" ref="L197" si="67">J197-K197</f>
        <v>0</v>
      </c>
    </row>
    <row r="198" spans="1:12" x14ac:dyDescent="0.25">
      <c r="A198" s="353" t="s">
        <v>81</v>
      </c>
      <c r="B198" s="354"/>
      <c r="C198" s="355"/>
      <c r="D198" s="126">
        <f>SUM(D182+D183+D192+D196+D197)</f>
        <v>60094558</v>
      </c>
      <c r="E198" s="126">
        <f t="shared" ref="E198:L198" si="68">SUM(E182+E183+E192+E196+E197)</f>
        <v>60094558</v>
      </c>
      <c r="F198" s="126">
        <f t="shared" si="68"/>
        <v>0</v>
      </c>
      <c r="G198" s="126">
        <f t="shared" si="68"/>
        <v>0</v>
      </c>
      <c r="H198" s="126">
        <f t="shared" si="68"/>
        <v>0</v>
      </c>
      <c r="I198" s="126">
        <f t="shared" si="68"/>
        <v>0</v>
      </c>
      <c r="J198" s="126">
        <f t="shared" si="68"/>
        <v>60094558</v>
      </c>
      <c r="K198" s="128">
        <f t="shared" si="68"/>
        <v>30034947</v>
      </c>
      <c r="L198" s="126">
        <f t="shared" si="68"/>
        <v>30059611</v>
      </c>
    </row>
    <row r="199" spans="1:12" x14ac:dyDescent="0.25">
      <c r="A199" s="256" t="s">
        <v>85</v>
      </c>
      <c r="B199" s="252" t="s">
        <v>46</v>
      </c>
      <c r="C199" s="12" t="s">
        <v>24</v>
      </c>
      <c r="D199" s="3">
        <v>9880165</v>
      </c>
      <c r="E199" s="3">
        <v>9662762</v>
      </c>
      <c r="F199" s="3">
        <v>-100000</v>
      </c>
      <c r="G199" s="3"/>
      <c r="H199" s="3"/>
      <c r="I199" s="3"/>
      <c r="J199" s="20">
        <f t="shared" ref="J199:J204" si="69">E199+F199+G199+H199+I199</f>
        <v>9562762</v>
      </c>
      <c r="K199" s="112">
        <v>6754931</v>
      </c>
      <c r="L199" s="3">
        <f t="shared" ref="L199:L204" si="70">J199-K199</f>
        <v>2807831</v>
      </c>
    </row>
    <row r="200" spans="1:12" x14ac:dyDescent="0.25">
      <c r="A200" s="256"/>
      <c r="B200" s="253"/>
      <c r="C200" s="12" t="s">
        <v>25</v>
      </c>
      <c r="D200" s="3">
        <v>400000</v>
      </c>
      <c r="E200" s="3">
        <v>400000</v>
      </c>
      <c r="F200" s="3"/>
      <c r="G200" s="3"/>
      <c r="H200" s="3"/>
      <c r="I200" s="3"/>
      <c r="J200" s="20">
        <f t="shared" si="69"/>
        <v>400000</v>
      </c>
      <c r="K200" s="112">
        <v>200000</v>
      </c>
      <c r="L200" s="3">
        <f t="shared" si="70"/>
        <v>200000</v>
      </c>
    </row>
    <row r="201" spans="1:12" x14ac:dyDescent="0.25">
      <c r="A201" s="256"/>
      <c r="B201" s="253"/>
      <c r="C201" s="12" t="s">
        <v>26</v>
      </c>
      <c r="D201" s="3">
        <v>20000</v>
      </c>
      <c r="E201" s="3">
        <v>20000</v>
      </c>
      <c r="F201" s="3"/>
      <c r="G201" s="3"/>
      <c r="H201" s="3"/>
      <c r="I201" s="3"/>
      <c r="J201" s="20">
        <f t="shared" si="69"/>
        <v>20000</v>
      </c>
      <c r="K201" s="112">
        <v>0</v>
      </c>
      <c r="L201" s="3">
        <f t="shared" si="70"/>
        <v>20000</v>
      </c>
    </row>
    <row r="202" spans="1:12" x14ac:dyDescent="0.25">
      <c r="A202" s="256"/>
      <c r="B202" s="253"/>
      <c r="C202" s="2" t="s">
        <v>27</v>
      </c>
      <c r="D202" s="3">
        <v>75000</v>
      </c>
      <c r="E202" s="3">
        <v>90912</v>
      </c>
      <c r="F202" s="3"/>
      <c r="G202" s="3"/>
      <c r="H202" s="3"/>
      <c r="I202" s="3"/>
      <c r="J202" s="20">
        <f t="shared" si="69"/>
        <v>90912</v>
      </c>
      <c r="K202" s="112">
        <v>18666</v>
      </c>
      <c r="L202" s="3">
        <f t="shared" si="70"/>
        <v>72246</v>
      </c>
    </row>
    <row r="203" spans="1:12" x14ac:dyDescent="0.25">
      <c r="A203" s="256"/>
      <c r="B203" s="253"/>
      <c r="C203" s="2" t="s">
        <v>28</v>
      </c>
      <c r="D203" s="3">
        <v>48000</v>
      </c>
      <c r="E203" s="3">
        <v>48000</v>
      </c>
      <c r="F203" s="3"/>
      <c r="G203" s="3"/>
      <c r="H203" s="3"/>
      <c r="I203" s="3"/>
      <c r="J203" s="20">
        <f t="shared" si="69"/>
        <v>48000</v>
      </c>
      <c r="K203" s="112">
        <v>24000</v>
      </c>
      <c r="L203" s="3">
        <f t="shared" si="70"/>
        <v>24000</v>
      </c>
    </row>
    <row r="204" spans="1:12" x14ac:dyDescent="0.25">
      <c r="A204" s="256"/>
      <c r="B204" s="253"/>
      <c r="C204" s="2" t="s">
        <v>29</v>
      </c>
      <c r="D204" s="3">
        <v>264000</v>
      </c>
      <c r="E204" s="3">
        <v>570126</v>
      </c>
      <c r="F204" s="3">
        <v>100000</v>
      </c>
      <c r="G204" s="3"/>
      <c r="H204" s="3"/>
      <c r="I204" s="3"/>
      <c r="J204" s="20">
        <f t="shared" si="69"/>
        <v>670126</v>
      </c>
      <c r="K204" s="112">
        <v>478606</v>
      </c>
      <c r="L204" s="3">
        <f t="shared" si="70"/>
        <v>191520</v>
      </c>
    </row>
    <row r="205" spans="1:12" x14ac:dyDescent="0.25">
      <c r="A205" s="256"/>
      <c r="B205" s="253"/>
      <c r="C205" s="26" t="s">
        <v>53</v>
      </c>
      <c r="D205" s="7">
        <f>SUM(D199:D204)</f>
        <v>10687165</v>
      </c>
      <c r="E205" s="7">
        <v>10791800</v>
      </c>
      <c r="F205" s="7">
        <f t="shared" ref="F205:L205" si="71">SUM(F199:F204)</f>
        <v>0</v>
      </c>
      <c r="G205" s="7">
        <f t="shared" si="71"/>
        <v>0</v>
      </c>
      <c r="H205" s="7">
        <f t="shared" si="71"/>
        <v>0</v>
      </c>
      <c r="I205" s="7">
        <f t="shared" si="71"/>
        <v>0</v>
      </c>
      <c r="J205" s="7">
        <f t="shared" si="71"/>
        <v>10791800</v>
      </c>
      <c r="K205" s="114">
        <f t="shared" si="71"/>
        <v>7476203</v>
      </c>
      <c r="L205" s="7">
        <f t="shared" si="71"/>
        <v>3315597</v>
      </c>
    </row>
    <row r="206" spans="1:12" x14ac:dyDescent="0.25">
      <c r="A206" s="256"/>
      <c r="B206" s="253"/>
      <c r="C206" s="90" t="s">
        <v>31</v>
      </c>
      <c r="D206" s="91">
        <v>2120857</v>
      </c>
      <c r="E206" s="91">
        <v>2120857</v>
      </c>
      <c r="F206" s="92"/>
      <c r="G206" s="92"/>
      <c r="H206" s="92"/>
      <c r="I206" s="92"/>
      <c r="J206" s="88">
        <f t="shared" ref="J206:J213" si="72">E206+F206+G206+H206+I206</f>
        <v>2120857</v>
      </c>
      <c r="K206" s="115">
        <v>1460306</v>
      </c>
      <c r="L206" s="89">
        <f t="shared" ref="L206:L213" si="73">J206-K206</f>
        <v>660551</v>
      </c>
    </row>
    <row r="207" spans="1:12" x14ac:dyDescent="0.25">
      <c r="A207" s="256"/>
      <c r="B207" s="253"/>
      <c r="C207" s="103" t="s">
        <v>33</v>
      </c>
      <c r="D207" s="104">
        <v>0</v>
      </c>
      <c r="E207" s="104">
        <v>186928</v>
      </c>
      <c r="F207" s="104"/>
      <c r="G207" s="104"/>
      <c r="H207" s="104"/>
      <c r="I207" s="104"/>
      <c r="J207" s="20">
        <f t="shared" si="72"/>
        <v>186928</v>
      </c>
      <c r="K207" s="118">
        <v>30769</v>
      </c>
      <c r="L207" s="3">
        <f t="shared" si="73"/>
        <v>156159</v>
      </c>
    </row>
    <row r="208" spans="1:12" x14ac:dyDescent="0.25">
      <c r="A208" s="256"/>
      <c r="B208" s="253"/>
      <c r="C208" s="46" t="s">
        <v>35</v>
      </c>
      <c r="D208" s="47">
        <v>0</v>
      </c>
      <c r="E208" s="47">
        <v>172800</v>
      </c>
      <c r="F208" s="47"/>
      <c r="G208" s="47"/>
      <c r="H208" s="47"/>
      <c r="I208" s="47"/>
      <c r="J208" s="20">
        <f t="shared" si="72"/>
        <v>172800</v>
      </c>
      <c r="K208" s="118">
        <v>32902</v>
      </c>
      <c r="L208" s="3">
        <f t="shared" si="73"/>
        <v>139898</v>
      </c>
    </row>
    <row r="209" spans="1:12" x14ac:dyDescent="0.25">
      <c r="A209" s="256"/>
      <c r="B209" s="253"/>
      <c r="C209" s="102" t="s">
        <v>38</v>
      </c>
      <c r="D209" s="47">
        <v>0</v>
      </c>
      <c r="E209" s="47">
        <v>3500</v>
      </c>
      <c r="F209" s="47">
        <v>5000</v>
      </c>
      <c r="G209" s="47"/>
      <c r="H209" s="47"/>
      <c r="I209" s="47"/>
      <c r="J209" s="20">
        <f t="shared" si="72"/>
        <v>8500</v>
      </c>
      <c r="K209" s="118">
        <v>3500</v>
      </c>
      <c r="L209" s="3">
        <f t="shared" si="73"/>
        <v>5000</v>
      </c>
    </row>
    <row r="210" spans="1:12" x14ac:dyDescent="0.25">
      <c r="A210" s="256"/>
      <c r="B210" s="253"/>
      <c r="C210" s="135" t="s">
        <v>41</v>
      </c>
      <c r="D210" s="47">
        <v>0</v>
      </c>
      <c r="E210" s="47">
        <v>1685</v>
      </c>
      <c r="F210" s="47">
        <v>20000</v>
      </c>
      <c r="G210" s="47"/>
      <c r="H210" s="47"/>
      <c r="I210" s="47"/>
      <c r="J210" s="20">
        <f t="shared" si="72"/>
        <v>21685</v>
      </c>
      <c r="K210" s="118">
        <v>1685</v>
      </c>
      <c r="L210" s="3">
        <f t="shared" si="73"/>
        <v>20000</v>
      </c>
    </row>
    <row r="211" spans="1:12" x14ac:dyDescent="0.25">
      <c r="A211" s="256"/>
      <c r="B211" s="253"/>
      <c r="C211" s="46" t="s">
        <v>42</v>
      </c>
      <c r="D211" s="47">
        <v>0</v>
      </c>
      <c r="E211" s="47">
        <v>78910</v>
      </c>
      <c r="F211" s="47">
        <v>50000</v>
      </c>
      <c r="G211" s="47"/>
      <c r="H211" s="47"/>
      <c r="I211" s="47"/>
      <c r="J211" s="20">
        <f t="shared" si="72"/>
        <v>128910</v>
      </c>
      <c r="K211" s="118">
        <v>80460</v>
      </c>
      <c r="L211" s="3">
        <f t="shared" si="73"/>
        <v>48450</v>
      </c>
    </row>
    <row r="212" spans="1:12" x14ac:dyDescent="0.25">
      <c r="A212" s="256"/>
      <c r="B212" s="253"/>
      <c r="C212" s="46" t="s">
        <v>44</v>
      </c>
      <c r="D212" s="47">
        <v>0</v>
      </c>
      <c r="E212" s="47">
        <v>111556</v>
      </c>
      <c r="F212" s="47"/>
      <c r="G212" s="47"/>
      <c r="H212" s="47"/>
      <c r="I212" s="47"/>
      <c r="J212" s="20">
        <f t="shared" si="72"/>
        <v>111556</v>
      </c>
      <c r="K212" s="118">
        <v>37707</v>
      </c>
      <c r="L212" s="3">
        <f t="shared" si="73"/>
        <v>73849</v>
      </c>
    </row>
    <row r="213" spans="1:12" x14ac:dyDescent="0.25">
      <c r="A213" s="256"/>
      <c r="B213" s="253"/>
      <c r="C213" s="46" t="s">
        <v>45</v>
      </c>
      <c r="D213" s="47">
        <v>0</v>
      </c>
      <c r="E213" s="47">
        <v>303254</v>
      </c>
      <c r="F213" s="47"/>
      <c r="G213" s="47"/>
      <c r="H213" s="47"/>
      <c r="I213" s="47"/>
      <c r="J213" s="20">
        <f t="shared" si="72"/>
        <v>303254</v>
      </c>
      <c r="K213" s="118">
        <v>210879</v>
      </c>
      <c r="L213" s="60">
        <f t="shared" si="73"/>
        <v>92375</v>
      </c>
    </row>
    <row r="214" spans="1:12" x14ac:dyDescent="0.25">
      <c r="A214" s="257"/>
      <c r="B214" s="254"/>
      <c r="C214" s="49" t="s">
        <v>49</v>
      </c>
      <c r="D214" s="50">
        <f>SUM(D207:D213)</f>
        <v>0</v>
      </c>
      <c r="E214" s="50">
        <v>858633</v>
      </c>
      <c r="F214" s="50">
        <f t="shared" ref="F214:L214" si="74">SUM(F207:F213)</f>
        <v>75000</v>
      </c>
      <c r="G214" s="50">
        <f t="shared" si="74"/>
        <v>0</v>
      </c>
      <c r="H214" s="50">
        <f t="shared" si="74"/>
        <v>0</v>
      </c>
      <c r="I214" s="50">
        <f t="shared" si="74"/>
        <v>0</v>
      </c>
      <c r="J214" s="50">
        <f t="shared" si="74"/>
        <v>933633</v>
      </c>
      <c r="K214" s="119">
        <f>SUM(K207:K213)</f>
        <v>397902</v>
      </c>
      <c r="L214" s="50">
        <f t="shared" si="74"/>
        <v>535731</v>
      </c>
    </row>
    <row r="215" spans="1:12" x14ac:dyDescent="0.25">
      <c r="A215" s="258" t="s">
        <v>68</v>
      </c>
      <c r="B215" s="267" t="s">
        <v>46</v>
      </c>
      <c r="C215" s="16" t="s">
        <v>24</v>
      </c>
      <c r="D215" s="17">
        <v>2501556</v>
      </c>
      <c r="E215" s="17">
        <v>2501556</v>
      </c>
      <c r="F215" s="17"/>
      <c r="G215" s="17"/>
      <c r="H215" s="17"/>
      <c r="I215" s="17"/>
      <c r="J215" s="20">
        <f>E215+F215+G215+H215+I215</f>
        <v>2501556</v>
      </c>
      <c r="K215" s="112">
        <v>1897378</v>
      </c>
      <c r="L215" s="3">
        <f t="shared" ref="L215:L216" si="75">J215-K215</f>
        <v>604178</v>
      </c>
    </row>
    <row r="216" spans="1:12" x14ac:dyDescent="0.25">
      <c r="A216" s="255"/>
      <c r="B216" s="261"/>
      <c r="C216" s="18" t="s">
        <v>31</v>
      </c>
      <c r="D216" s="19">
        <v>466569</v>
      </c>
      <c r="E216" s="19">
        <v>466569</v>
      </c>
      <c r="F216" s="19"/>
      <c r="G216" s="19"/>
      <c r="H216" s="19"/>
      <c r="I216" s="19"/>
      <c r="J216" s="20">
        <f t="shared" ref="J216" si="76">E216+F216+G216+H216+I216</f>
        <v>466569</v>
      </c>
      <c r="K216" s="112">
        <v>361130</v>
      </c>
      <c r="L216" s="3">
        <f t="shared" si="75"/>
        <v>105439</v>
      </c>
    </row>
    <row r="217" spans="1:12" x14ac:dyDescent="0.25">
      <c r="A217" s="353" t="s">
        <v>82</v>
      </c>
      <c r="B217" s="354"/>
      <c r="C217" s="355"/>
      <c r="D217" s="129">
        <f>SUM(D205+D206+D215+D216+D214)</f>
        <v>15776147</v>
      </c>
      <c r="E217" s="129">
        <f t="shared" ref="E217:I217" si="77">SUM(E205+E206+E215+E216+E214)</f>
        <v>16739415</v>
      </c>
      <c r="F217" s="129">
        <f t="shared" si="77"/>
        <v>75000</v>
      </c>
      <c r="G217" s="129">
        <f t="shared" si="77"/>
        <v>0</v>
      </c>
      <c r="H217" s="129">
        <f t="shared" si="77"/>
        <v>0</v>
      </c>
      <c r="I217" s="129">
        <f t="shared" si="77"/>
        <v>0</v>
      </c>
      <c r="J217" s="129">
        <f>SUM(J205+J206+J215+J216+J214)</f>
        <v>16814415</v>
      </c>
      <c r="K217" s="130">
        <f>SUM(K205+K206+K215+K216+K214)</f>
        <v>11592919</v>
      </c>
      <c r="L217" s="131">
        <f>SUM(L205+L206+L215+L216+L214)</f>
        <v>5221496</v>
      </c>
    </row>
    <row r="218" spans="1:12" ht="30.75" customHeight="1" x14ac:dyDescent="0.25">
      <c r="A218" s="357" t="s">
        <v>74</v>
      </c>
      <c r="B218" s="358"/>
      <c r="C218" s="359"/>
      <c r="D218" s="132">
        <f t="shared" ref="D218:K218" si="78">SUM(D88+D113+D135+D156+D179+D198+D217)</f>
        <v>230443641</v>
      </c>
      <c r="E218" s="132">
        <f t="shared" si="78"/>
        <v>230521849</v>
      </c>
      <c r="F218" s="132">
        <f t="shared" si="78"/>
        <v>0</v>
      </c>
      <c r="G218" s="132">
        <f t="shared" si="78"/>
        <v>1233067</v>
      </c>
      <c r="H218" s="132">
        <f t="shared" si="78"/>
        <v>20000</v>
      </c>
      <c r="I218" s="132">
        <f t="shared" si="78"/>
        <v>0</v>
      </c>
      <c r="J218" s="132">
        <f t="shared" si="78"/>
        <v>231774916</v>
      </c>
      <c r="K218" s="133">
        <f t="shared" si="78"/>
        <v>142141309</v>
      </c>
      <c r="L218" s="132">
        <f>SUM(L88+L113+L135+L156+L179+L198+L217)</f>
        <v>89633607</v>
      </c>
    </row>
    <row r="219" spans="1:12" x14ac:dyDescent="0.25">
      <c r="B219" s="5"/>
      <c r="E219" s="4"/>
      <c r="F219" s="4"/>
      <c r="G219" s="4"/>
      <c r="H219" s="4"/>
      <c r="I219" s="4"/>
      <c r="J219" s="4"/>
      <c r="K219" s="111"/>
    </row>
    <row r="220" spans="1:12" x14ac:dyDescent="0.25">
      <c r="B220" s="5"/>
      <c r="E220" s="4"/>
      <c r="F220" s="4"/>
      <c r="G220" s="4"/>
      <c r="H220" s="4"/>
      <c r="I220" s="4"/>
      <c r="J220" s="4"/>
      <c r="K220" s="111"/>
    </row>
    <row r="221" spans="1:12" x14ac:dyDescent="0.25">
      <c r="B221" s="5"/>
      <c r="E221" s="4"/>
      <c r="F221" s="4"/>
      <c r="G221" s="4"/>
      <c r="H221" s="4"/>
      <c r="I221" s="4"/>
      <c r="J221" s="4"/>
      <c r="K221" s="111"/>
    </row>
    <row r="222" spans="1:12" x14ac:dyDescent="0.25">
      <c r="B222" s="5"/>
      <c r="E222" s="4"/>
      <c r="F222" s="4"/>
      <c r="G222" s="4"/>
      <c r="H222" s="4"/>
      <c r="I222" s="4"/>
      <c r="J222" s="4"/>
      <c r="K222" s="111"/>
    </row>
    <row r="223" spans="1:12" x14ac:dyDescent="0.25">
      <c r="B223" s="5"/>
      <c r="E223" s="4"/>
      <c r="F223" s="4"/>
      <c r="G223" s="4"/>
      <c r="H223" s="4"/>
      <c r="I223" s="4"/>
      <c r="J223" s="4"/>
      <c r="K223" s="111"/>
    </row>
    <row r="224" spans="1:12" ht="15.75" thickBot="1" x14ac:dyDescent="0.3">
      <c r="B224" s="5"/>
      <c r="E224" s="4"/>
      <c r="F224" s="4"/>
      <c r="G224" s="134">
        <v>43738</v>
      </c>
      <c r="H224" s="4"/>
      <c r="I224" s="4"/>
      <c r="J224" s="4"/>
      <c r="K224" s="111"/>
    </row>
    <row r="225" spans="1:11" ht="15.75" thickTop="1" x14ac:dyDescent="0.25">
      <c r="A225" s="250" t="s">
        <v>83</v>
      </c>
      <c r="B225" s="250"/>
      <c r="C225" s="250"/>
      <c r="D225" s="250"/>
      <c r="E225" s="250"/>
      <c r="F225" s="250"/>
      <c r="G225" s="250"/>
      <c r="H225" s="250"/>
      <c r="I225" s="250"/>
      <c r="J225" s="250"/>
      <c r="K225" s="250"/>
    </row>
    <row r="226" spans="1:11" s="79" customFormat="1" ht="33.75" customHeight="1" x14ac:dyDescent="0.25">
      <c r="A226" s="298" t="s">
        <v>0</v>
      </c>
      <c r="B226" s="299"/>
      <c r="C226" s="75" t="s">
        <v>3</v>
      </c>
      <c r="D226" s="75" t="s">
        <v>4</v>
      </c>
      <c r="E226" s="77" t="s">
        <v>111</v>
      </c>
      <c r="F226" s="76" t="s">
        <v>70</v>
      </c>
      <c r="G226" s="109" t="s">
        <v>71</v>
      </c>
      <c r="H226" s="110" t="s">
        <v>71</v>
      </c>
      <c r="I226" s="77" t="s">
        <v>71</v>
      </c>
      <c r="J226" s="77" t="s">
        <v>115</v>
      </c>
      <c r="K226" s="78" t="s">
        <v>118</v>
      </c>
    </row>
    <row r="227" spans="1:11" x14ac:dyDescent="0.25">
      <c r="A227" s="300"/>
      <c r="B227" s="301"/>
      <c r="C227" s="33" t="s">
        <v>16</v>
      </c>
      <c r="D227" s="61">
        <f t="shared" ref="D227:K228" si="79">D5+D14+D16+D18+D20+D22</f>
        <v>117230959</v>
      </c>
      <c r="E227" s="61">
        <f t="shared" si="79"/>
        <v>117297167</v>
      </c>
      <c r="F227" s="61">
        <f t="shared" si="79"/>
        <v>0</v>
      </c>
      <c r="G227" s="61">
        <f t="shared" si="79"/>
        <v>-2110933</v>
      </c>
      <c r="H227" s="61">
        <f t="shared" si="79"/>
        <v>0</v>
      </c>
      <c r="I227" s="61">
        <f t="shared" si="79"/>
        <v>0</v>
      </c>
      <c r="J227" s="61">
        <f t="shared" si="79"/>
        <v>115186234</v>
      </c>
      <c r="K227" s="61">
        <f t="shared" si="79"/>
        <v>61522761</v>
      </c>
    </row>
    <row r="228" spans="1:11" x14ac:dyDescent="0.25">
      <c r="A228" s="300"/>
      <c r="B228" s="301"/>
      <c r="C228" s="33" t="s">
        <v>17</v>
      </c>
      <c r="D228" s="61">
        <f t="shared" si="79"/>
        <v>16012810</v>
      </c>
      <c r="E228" s="61">
        <f t="shared" si="79"/>
        <v>16012810</v>
      </c>
      <c r="F228" s="61">
        <f t="shared" si="79"/>
        <v>0</v>
      </c>
      <c r="G228" s="61">
        <f t="shared" si="79"/>
        <v>0</v>
      </c>
      <c r="H228" s="61">
        <f t="shared" si="79"/>
        <v>0</v>
      </c>
      <c r="I228" s="61">
        <f t="shared" si="79"/>
        <v>0</v>
      </c>
      <c r="J228" s="61">
        <f t="shared" si="79"/>
        <v>16012810</v>
      </c>
      <c r="K228" s="61">
        <f t="shared" si="79"/>
        <v>16012810</v>
      </c>
    </row>
    <row r="229" spans="1:11" x14ac:dyDescent="0.25">
      <c r="A229" s="300"/>
      <c r="B229" s="301"/>
      <c r="C229" s="33" t="s">
        <v>18</v>
      </c>
      <c r="D229" s="61">
        <f t="shared" ref="D229:K231" si="80">D7</f>
        <v>96985672</v>
      </c>
      <c r="E229" s="61">
        <f t="shared" si="80"/>
        <v>96985672</v>
      </c>
      <c r="F229" s="61">
        <f t="shared" si="80"/>
        <v>0</v>
      </c>
      <c r="G229" s="61">
        <f t="shared" si="80"/>
        <v>3344000</v>
      </c>
      <c r="H229" s="61">
        <f t="shared" si="80"/>
        <v>0</v>
      </c>
      <c r="I229" s="61">
        <f t="shared" si="80"/>
        <v>0</v>
      </c>
      <c r="J229" s="61">
        <f t="shared" si="80"/>
        <v>100329672</v>
      </c>
      <c r="K229" s="61">
        <f t="shared" si="80"/>
        <v>69204503</v>
      </c>
    </row>
    <row r="230" spans="1:11" x14ac:dyDescent="0.25">
      <c r="A230" s="300"/>
      <c r="B230" s="301"/>
      <c r="C230" s="35" t="s">
        <v>22</v>
      </c>
      <c r="D230" s="61">
        <f t="shared" si="80"/>
        <v>200000</v>
      </c>
      <c r="E230" s="61">
        <f t="shared" si="80"/>
        <v>200000</v>
      </c>
      <c r="F230" s="61">
        <f t="shared" si="80"/>
        <v>0</v>
      </c>
      <c r="G230" s="61">
        <f t="shared" si="80"/>
        <v>0</v>
      </c>
      <c r="H230" s="61">
        <f t="shared" si="80"/>
        <v>0</v>
      </c>
      <c r="I230" s="61">
        <f t="shared" si="80"/>
        <v>0</v>
      </c>
      <c r="J230" s="61">
        <f t="shared" si="80"/>
        <v>200000</v>
      </c>
      <c r="K230" s="61">
        <f t="shared" si="80"/>
        <v>0</v>
      </c>
    </row>
    <row r="231" spans="1:11" x14ac:dyDescent="0.25">
      <c r="A231" s="300"/>
      <c r="B231" s="301"/>
      <c r="C231" s="35" t="s">
        <v>19</v>
      </c>
      <c r="D231" s="61">
        <f t="shared" si="80"/>
        <v>13200</v>
      </c>
      <c r="E231" s="61">
        <f t="shared" si="80"/>
        <v>21926</v>
      </c>
      <c r="F231" s="61">
        <f t="shared" si="80"/>
        <v>0</v>
      </c>
      <c r="G231" s="61">
        <f t="shared" si="80"/>
        <v>0</v>
      </c>
      <c r="H231" s="61">
        <f t="shared" si="80"/>
        <v>10000</v>
      </c>
      <c r="I231" s="61">
        <f t="shared" si="80"/>
        <v>0</v>
      </c>
      <c r="J231" s="61">
        <f t="shared" si="80"/>
        <v>31926</v>
      </c>
      <c r="K231" s="61">
        <f t="shared" si="80"/>
        <v>21926</v>
      </c>
    </row>
    <row r="232" spans="1:11" x14ac:dyDescent="0.25">
      <c r="A232" s="300"/>
      <c r="B232" s="301"/>
      <c r="C232" s="35" t="s">
        <v>84</v>
      </c>
      <c r="D232" s="61">
        <f>D13+D11</f>
        <v>0</v>
      </c>
      <c r="E232" s="61">
        <f>E13+E11</f>
        <v>3949</v>
      </c>
      <c r="F232" s="61">
        <f t="shared" ref="F232:K232" si="81">F13+F11</f>
        <v>-1000</v>
      </c>
      <c r="G232" s="61">
        <f t="shared" si="81"/>
        <v>0</v>
      </c>
      <c r="H232" s="61">
        <f t="shared" si="81"/>
        <v>10000</v>
      </c>
      <c r="I232" s="61">
        <f t="shared" si="81"/>
        <v>0</v>
      </c>
      <c r="J232" s="61">
        <f>J13+J11</f>
        <v>12949</v>
      </c>
      <c r="K232" s="61">
        <f t="shared" si="81"/>
        <v>3835</v>
      </c>
    </row>
    <row r="233" spans="1:11" x14ac:dyDescent="0.25">
      <c r="A233" s="300"/>
      <c r="B233" s="301"/>
      <c r="C233" s="33" t="s">
        <v>20</v>
      </c>
      <c r="D233" s="61">
        <f>D10+D12</f>
        <v>1000</v>
      </c>
      <c r="E233" s="61">
        <f>E10+E12</f>
        <v>325</v>
      </c>
      <c r="F233" s="61">
        <f t="shared" ref="F233:K233" si="82">F10+F12</f>
        <v>1000</v>
      </c>
      <c r="G233" s="61">
        <f t="shared" si="82"/>
        <v>0</v>
      </c>
      <c r="H233" s="61">
        <f t="shared" si="82"/>
        <v>0</v>
      </c>
      <c r="I233" s="61">
        <f t="shared" si="82"/>
        <v>0</v>
      </c>
      <c r="J233" s="61">
        <f t="shared" si="82"/>
        <v>1325</v>
      </c>
      <c r="K233" s="61">
        <f t="shared" si="82"/>
        <v>314</v>
      </c>
    </row>
    <row r="234" spans="1:11" x14ac:dyDescent="0.25">
      <c r="A234" s="300"/>
      <c r="B234" s="301"/>
      <c r="C234" s="65" t="s">
        <v>86</v>
      </c>
      <c r="D234" s="66">
        <f>D13+D12+D11+D10+D9</f>
        <v>14200</v>
      </c>
      <c r="E234" s="66">
        <f>E13+E12+E11+E10+E9</f>
        <v>26200</v>
      </c>
      <c r="F234" s="66">
        <f t="shared" ref="F234:K234" si="83">F13+F12+F11+F10+F9</f>
        <v>0</v>
      </c>
      <c r="G234" s="66">
        <f t="shared" si="83"/>
        <v>0</v>
      </c>
      <c r="H234" s="66">
        <f t="shared" si="83"/>
        <v>20000</v>
      </c>
      <c r="I234" s="66">
        <f t="shared" si="83"/>
        <v>0</v>
      </c>
      <c r="J234" s="66">
        <f t="shared" si="83"/>
        <v>46200</v>
      </c>
      <c r="K234" s="66">
        <f t="shared" si="83"/>
        <v>26075</v>
      </c>
    </row>
    <row r="235" spans="1:11" x14ac:dyDescent="0.25">
      <c r="A235" s="300"/>
      <c r="B235" s="301"/>
      <c r="C235" s="65" t="s">
        <v>87</v>
      </c>
      <c r="D235" s="66">
        <f>D23+D21+D19+D17+D15+D7+D6</f>
        <v>112998482</v>
      </c>
      <c r="E235" s="66">
        <f>E23+E21+E19+E17+E15+E7+E6</f>
        <v>112998482</v>
      </c>
      <c r="F235" s="66">
        <f t="shared" ref="F235:K235" si="84">F23+F21+F19+F17+F15+F7+F6</f>
        <v>0</v>
      </c>
      <c r="G235" s="66">
        <f t="shared" si="84"/>
        <v>3344000</v>
      </c>
      <c r="H235" s="66">
        <f t="shared" si="84"/>
        <v>0</v>
      </c>
      <c r="I235" s="66">
        <f t="shared" si="84"/>
        <v>0</v>
      </c>
      <c r="J235" s="66">
        <f t="shared" si="84"/>
        <v>116342482</v>
      </c>
      <c r="K235" s="66">
        <f t="shared" si="84"/>
        <v>85217313</v>
      </c>
    </row>
    <row r="236" spans="1:11" x14ac:dyDescent="0.25">
      <c r="A236" s="300"/>
      <c r="B236" s="301"/>
      <c r="C236" s="65" t="s">
        <v>94</v>
      </c>
      <c r="D236" s="66">
        <f>D24</f>
        <v>230443641</v>
      </c>
      <c r="E236" s="66">
        <f>E24</f>
        <v>230521849</v>
      </c>
      <c r="F236" s="66">
        <f t="shared" ref="F236:K236" si="85">F24</f>
        <v>0</v>
      </c>
      <c r="G236" s="66">
        <f t="shared" si="85"/>
        <v>1233067</v>
      </c>
      <c r="H236" s="66">
        <f t="shared" si="85"/>
        <v>20000</v>
      </c>
      <c r="I236" s="66">
        <f t="shared" si="85"/>
        <v>0</v>
      </c>
      <c r="J236" s="66">
        <f t="shared" si="85"/>
        <v>231774916</v>
      </c>
      <c r="K236" s="66">
        <f t="shared" si="85"/>
        <v>146766149</v>
      </c>
    </row>
    <row r="237" spans="1:11" x14ac:dyDescent="0.25">
      <c r="A237" s="300"/>
      <c r="B237" s="301"/>
      <c r="C237" s="33" t="s">
        <v>24</v>
      </c>
      <c r="D237" s="34">
        <f>D89+D111+D114+D133+D136+D154+D157+D177+D199+D215+D180+D86+D84+D52+D25</f>
        <v>128356144</v>
      </c>
      <c r="E237" s="34">
        <f>E89+E111+E114+E133+E136+E154+E157+E177+E199+E215+E180+E86+E84+E52+E25</f>
        <v>127632540</v>
      </c>
      <c r="F237" s="34">
        <f>F89+F111+F114+F133+F136+F154+F157+F177+F199+F215+F180+F86+F84+F52+F25</f>
        <v>-410000</v>
      </c>
      <c r="G237" s="34">
        <f t="shared" ref="G237:I237" si="86">G89+G111+G114+G133+G136+G154+G157+G177+G199+G215+G180+G86+G84+G52+G25</f>
        <v>1031856</v>
      </c>
      <c r="H237" s="34">
        <f t="shared" si="86"/>
        <v>0</v>
      </c>
      <c r="I237" s="34">
        <f t="shared" si="86"/>
        <v>0</v>
      </c>
      <c r="J237" s="61">
        <f>J215+J199+J180+J177+J157+J154+J136+J133+J114+J111+J89+J86+J84+J52+J25</f>
        <v>128254396</v>
      </c>
      <c r="K237" s="61">
        <f>K215+K199+K180+K177+K157+K154+K136+K133+K114+K111+K89+K86+K84+K52+K25</f>
        <v>89395499</v>
      </c>
    </row>
    <row r="238" spans="1:11" x14ac:dyDescent="0.25">
      <c r="A238" s="300"/>
      <c r="B238" s="301"/>
      <c r="C238" s="33" t="s">
        <v>47</v>
      </c>
      <c r="D238" s="34">
        <f t="shared" ref="D238:K239" si="87">D53</f>
        <v>2040480</v>
      </c>
      <c r="E238" s="34">
        <f t="shared" si="87"/>
        <v>2040480</v>
      </c>
      <c r="F238" s="34">
        <f t="shared" si="87"/>
        <v>0</v>
      </c>
      <c r="G238" s="34">
        <f t="shared" si="87"/>
        <v>0</v>
      </c>
      <c r="H238" s="34">
        <f t="shared" si="87"/>
        <v>0</v>
      </c>
      <c r="I238" s="34">
        <f t="shared" si="87"/>
        <v>0</v>
      </c>
      <c r="J238" s="34">
        <f t="shared" si="87"/>
        <v>2040480</v>
      </c>
      <c r="K238" s="41">
        <f t="shared" si="87"/>
        <v>1437961</v>
      </c>
    </row>
    <row r="239" spans="1:11" x14ac:dyDescent="0.25">
      <c r="A239" s="300"/>
      <c r="B239" s="301"/>
      <c r="C239" s="33" t="s">
        <v>48</v>
      </c>
      <c r="D239" s="34">
        <f t="shared" si="87"/>
        <v>0</v>
      </c>
      <c r="E239" s="34">
        <f t="shared" si="87"/>
        <v>0</v>
      </c>
      <c r="F239" s="34">
        <f t="shared" si="87"/>
        <v>0</v>
      </c>
      <c r="G239" s="34">
        <f t="shared" si="87"/>
        <v>0</v>
      </c>
      <c r="H239" s="34">
        <f t="shared" si="87"/>
        <v>0</v>
      </c>
      <c r="I239" s="34">
        <f t="shared" si="87"/>
        <v>0</v>
      </c>
      <c r="J239" s="34">
        <f t="shared" si="87"/>
        <v>0</v>
      </c>
      <c r="K239" s="34">
        <f t="shared" si="87"/>
        <v>0</v>
      </c>
    </row>
    <row r="240" spans="1:11" x14ac:dyDescent="0.25">
      <c r="A240" s="300"/>
      <c r="B240" s="301"/>
      <c r="C240" s="35" t="s">
        <v>25</v>
      </c>
      <c r="D240" s="34">
        <f t="shared" ref="D240:K241" si="88">D200+D158+D137+D115+D90+D55+D26</f>
        <v>3992000</v>
      </c>
      <c r="E240" s="34">
        <f t="shared" si="88"/>
        <v>3992000</v>
      </c>
      <c r="F240" s="34">
        <f t="shared" si="88"/>
        <v>0</v>
      </c>
      <c r="G240" s="34">
        <f t="shared" si="88"/>
        <v>0</v>
      </c>
      <c r="H240" s="34">
        <f t="shared" si="88"/>
        <v>0</v>
      </c>
      <c r="I240" s="34">
        <f t="shared" si="88"/>
        <v>0</v>
      </c>
      <c r="J240" s="34">
        <f t="shared" si="88"/>
        <v>3992000</v>
      </c>
      <c r="K240" s="34">
        <f t="shared" si="88"/>
        <v>1977500</v>
      </c>
    </row>
    <row r="241" spans="1:12" x14ac:dyDescent="0.25">
      <c r="A241" s="300"/>
      <c r="B241" s="301"/>
      <c r="C241" s="35" t="s">
        <v>26</v>
      </c>
      <c r="D241" s="34">
        <f t="shared" si="88"/>
        <v>200000</v>
      </c>
      <c r="E241" s="34">
        <f t="shared" si="88"/>
        <v>200000</v>
      </c>
      <c r="F241" s="34">
        <f t="shared" si="88"/>
        <v>0</v>
      </c>
      <c r="G241" s="34">
        <f t="shared" si="88"/>
        <v>0</v>
      </c>
      <c r="H241" s="34">
        <f t="shared" si="88"/>
        <v>0</v>
      </c>
      <c r="I241" s="34">
        <f t="shared" si="88"/>
        <v>0</v>
      </c>
      <c r="J241" s="34">
        <f t="shared" si="88"/>
        <v>200000</v>
      </c>
      <c r="K241" s="34">
        <f t="shared" si="88"/>
        <v>0</v>
      </c>
    </row>
    <row r="242" spans="1:12" x14ac:dyDescent="0.25">
      <c r="A242" s="300"/>
      <c r="B242" s="301"/>
      <c r="C242" s="33" t="s">
        <v>27</v>
      </c>
      <c r="D242" s="34">
        <f>D202+D139+D92+D57+D28</f>
        <v>1661400</v>
      </c>
      <c r="E242" s="34">
        <f>E202+E139+E92+E57+E28</f>
        <v>1661400</v>
      </c>
      <c r="F242" s="34">
        <f t="shared" ref="F242:J242" si="89">F202+F139+F92+F57+F28</f>
        <v>0</v>
      </c>
      <c r="G242" s="34">
        <f t="shared" si="89"/>
        <v>0</v>
      </c>
      <c r="H242" s="34">
        <f t="shared" si="89"/>
        <v>0</v>
      </c>
      <c r="I242" s="34">
        <f t="shared" si="89"/>
        <v>0</v>
      </c>
      <c r="J242" s="34">
        <f t="shared" si="89"/>
        <v>1661400</v>
      </c>
      <c r="K242" s="34">
        <f>K202+K139+K92+K57+K28</f>
        <v>905844</v>
      </c>
    </row>
    <row r="243" spans="1:12" x14ac:dyDescent="0.25">
      <c r="A243" s="300"/>
      <c r="B243" s="301"/>
      <c r="C243" s="35" t="s">
        <v>28</v>
      </c>
      <c r="D243" s="34">
        <f>D203+D160+D140+D117+D58+D29+D93</f>
        <v>481000</v>
      </c>
      <c r="E243" s="34">
        <f>E203+E160+E140+E117+E58+E29+E93</f>
        <v>481000</v>
      </c>
      <c r="F243" s="34">
        <f t="shared" ref="F243:J243" si="90">F203+F160+F140+F117+F58+F29+F93</f>
        <v>0</v>
      </c>
      <c r="G243" s="34">
        <f t="shared" si="90"/>
        <v>0</v>
      </c>
      <c r="H243" s="34">
        <f t="shared" si="90"/>
        <v>0</v>
      </c>
      <c r="I243" s="34">
        <f t="shared" si="90"/>
        <v>0</v>
      </c>
      <c r="J243" s="34">
        <f t="shared" si="90"/>
        <v>481000</v>
      </c>
      <c r="K243" s="34">
        <f>K203+K160+K140+K117+K58+K29+K93</f>
        <v>222000</v>
      </c>
    </row>
    <row r="244" spans="1:12" x14ac:dyDescent="0.25">
      <c r="A244" s="300"/>
      <c r="B244" s="301"/>
      <c r="C244" s="33" t="s">
        <v>29</v>
      </c>
      <c r="D244" s="34">
        <f>D204+D175+D161+D141+D118+D109+D94+D82+D80+D59+D30+D131</f>
        <v>3451400</v>
      </c>
      <c r="E244" s="34">
        <f>E204+E175+E161+E141+E118+E109+E94+E82+E80+E59+E30+E131</f>
        <v>4230408</v>
      </c>
      <c r="F244" s="34">
        <f>F204+F175+F161+F141+F118+F109+F94+F82+F80+F59+F30+F131</f>
        <v>410000</v>
      </c>
      <c r="G244" s="34">
        <f t="shared" ref="G244:J244" si="91">G204+G175+G161+G141+G118+G109+G94+G82+G80+G59+G30+G131</f>
        <v>0</v>
      </c>
      <c r="H244" s="34">
        <f t="shared" si="91"/>
        <v>0</v>
      </c>
      <c r="I244" s="34">
        <f t="shared" si="91"/>
        <v>0</v>
      </c>
      <c r="J244" s="34">
        <f t="shared" si="91"/>
        <v>4640408</v>
      </c>
      <c r="K244" s="34">
        <f>K204+K175+K161+K141+K118+K109+K94+K82+K80+K59+K30+K131</f>
        <v>2456470</v>
      </c>
    </row>
    <row r="245" spans="1:12" x14ac:dyDescent="0.25">
      <c r="A245" s="300"/>
      <c r="B245" s="301"/>
      <c r="C245" s="35" t="s">
        <v>30</v>
      </c>
      <c r="D245" s="34">
        <f>D162+D142+D119+D60+D31+D181</f>
        <v>200000</v>
      </c>
      <c r="E245" s="34">
        <f t="shared" ref="E245:K245" si="92">E162+E142+E119+E60+E31+E181</f>
        <v>200000</v>
      </c>
      <c r="F245" s="34">
        <f t="shared" si="92"/>
        <v>0</v>
      </c>
      <c r="G245" s="34">
        <f t="shared" si="92"/>
        <v>0</v>
      </c>
      <c r="H245" s="34">
        <f t="shared" si="92"/>
        <v>0</v>
      </c>
      <c r="I245" s="34">
        <f t="shared" si="92"/>
        <v>0</v>
      </c>
      <c r="J245" s="34">
        <f t="shared" si="92"/>
        <v>200000</v>
      </c>
      <c r="K245" s="34">
        <f t="shared" si="92"/>
        <v>27804</v>
      </c>
    </row>
    <row r="246" spans="1:12" x14ac:dyDescent="0.25">
      <c r="A246" s="300"/>
      <c r="B246" s="301"/>
      <c r="C246" s="65" t="s">
        <v>53</v>
      </c>
      <c r="D246" s="66">
        <f>D205+D182+D163+D143+D215+D177+D154+D133+D131+D175+D120+D111+D109+D96+D86+D84+D82+D80+D61+D32</f>
        <v>140382424</v>
      </c>
      <c r="E246" s="66">
        <f t="shared" ref="E246:K246" si="93">E205+E182+E163+E143+E215+E177+E154+E133+E131+E175+E120+E111+E109+E96+E86+E84+E82+E80+E61+E32</f>
        <v>140437828</v>
      </c>
      <c r="F246" s="66">
        <f t="shared" si="93"/>
        <v>0</v>
      </c>
      <c r="G246" s="66">
        <f t="shared" si="93"/>
        <v>1031856</v>
      </c>
      <c r="H246" s="66">
        <f t="shared" si="93"/>
        <v>0</v>
      </c>
      <c r="I246" s="66">
        <f t="shared" si="93"/>
        <v>0</v>
      </c>
      <c r="J246" s="66">
        <f t="shared" si="93"/>
        <v>141469684</v>
      </c>
      <c r="K246" s="66">
        <f t="shared" si="93"/>
        <v>96423078</v>
      </c>
    </row>
    <row r="247" spans="1:12" x14ac:dyDescent="0.25">
      <c r="A247" s="300"/>
      <c r="B247" s="301"/>
      <c r="C247" s="67" t="s">
        <v>31</v>
      </c>
      <c r="D247" s="66">
        <f>D206+D183+D178+D176+D216+D164+D155+D144+D134+D132+D121+D112+D110+D97+D87+D85+D83+D81+D62+D33</f>
        <v>27536677</v>
      </c>
      <c r="E247" s="66">
        <f>E206+E183+E178+E176+E216+E164+E155+E144+E134+E132+E121+E112+E110+E97+E87+E85+E83+E81+E62+E33</f>
        <v>31822031</v>
      </c>
      <c r="F247" s="66">
        <f t="shared" ref="F247:K247" si="94">F206+F183+F178+F176+F216+F164+F155+F144+F134+F132+F121+F112+F110+F97+F87+F85+F83+F81+F62+F33</f>
        <v>0</v>
      </c>
      <c r="G247" s="66">
        <f t="shared" si="94"/>
        <v>201211</v>
      </c>
      <c r="H247" s="66">
        <f t="shared" si="94"/>
        <v>0</v>
      </c>
      <c r="I247" s="66">
        <f t="shared" si="94"/>
        <v>0</v>
      </c>
      <c r="J247" s="66">
        <f t="shared" si="94"/>
        <v>32023242</v>
      </c>
      <c r="K247" s="66">
        <f t="shared" si="94"/>
        <v>21983562</v>
      </c>
    </row>
    <row r="248" spans="1:12" x14ac:dyDescent="0.25">
      <c r="A248" s="300"/>
      <c r="B248" s="301"/>
      <c r="C248" s="33" t="s">
        <v>32</v>
      </c>
      <c r="D248" s="34">
        <f>D165+D145+D122+D98+D63+D34</f>
        <v>540000</v>
      </c>
      <c r="E248" s="34">
        <f>E165+E145+E122+E98+E63+E34</f>
        <v>540000</v>
      </c>
      <c r="F248" s="34">
        <f t="shared" ref="F248:K248" si="95">F165+F145+F122+F98+F63+F34</f>
        <v>-50000</v>
      </c>
      <c r="G248" s="34">
        <f t="shared" si="95"/>
        <v>0</v>
      </c>
      <c r="H248" s="34">
        <f t="shared" si="95"/>
        <v>10000</v>
      </c>
      <c r="I248" s="34">
        <f t="shared" si="95"/>
        <v>0</v>
      </c>
      <c r="J248" s="34">
        <f t="shared" si="95"/>
        <v>500000</v>
      </c>
      <c r="K248" s="34">
        <f t="shared" si="95"/>
        <v>74652</v>
      </c>
    </row>
    <row r="249" spans="1:12" x14ac:dyDescent="0.25">
      <c r="A249" s="300"/>
      <c r="B249" s="301"/>
      <c r="C249" s="35" t="s">
        <v>33</v>
      </c>
      <c r="D249" s="34">
        <f>D184+D166+D146+D123+D99+D64+D35+D207</f>
        <v>1700000</v>
      </c>
      <c r="E249" s="34">
        <f t="shared" ref="E249:K249" si="96">E184+E166+E146+E123+E99+E64+E35+E207</f>
        <v>2009887</v>
      </c>
      <c r="F249" s="34">
        <f t="shared" si="96"/>
        <v>-100000</v>
      </c>
      <c r="G249" s="34">
        <f t="shared" si="96"/>
        <v>0</v>
      </c>
      <c r="H249" s="34">
        <f t="shared" si="96"/>
        <v>0</v>
      </c>
      <c r="I249" s="34">
        <f t="shared" si="96"/>
        <v>0</v>
      </c>
      <c r="J249" s="34">
        <f t="shared" si="96"/>
        <v>1909887</v>
      </c>
      <c r="K249" s="34">
        <f t="shared" si="96"/>
        <v>314080</v>
      </c>
    </row>
    <row r="250" spans="1:12" x14ac:dyDescent="0.25">
      <c r="A250" s="300"/>
      <c r="B250" s="301"/>
      <c r="C250" s="33" t="s">
        <v>34</v>
      </c>
      <c r="D250" s="34">
        <f>D167+D147+D124+D100+D65+D36</f>
        <v>1036000</v>
      </c>
      <c r="E250" s="34">
        <f>E167+E147+E124+E100+E65+E36</f>
        <v>988000</v>
      </c>
      <c r="F250" s="34">
        <f t="shared" ref="F250:K250" si="97">F167+F147+F124+F100+F65+F36</f>
        <v>0</v>
      </c>
      <c r="G250" s="34">
        <f t="shared" si="97"/>
        <v>0</v>
      </c>
      <c r="H250" s="34">
        <f t="shared" si="97"/>
        <v>0</v>
      </c>
      <c r="I250" s="34">
        <f t="shared" si="97"/>
        <v>0</v>
      </c>
      <c r="J250" s="34">
        <f t="shared" si="97"/>
        <v>988000</v>
      </c>
      <c r="K250" s="34">
        <f t="shared" si="97"/>
        <v>171366</v>
      </c>
    </row>
    <row r="251" spans="1:12" x14ac:dyDescent="0.25">
      <c r="A251" s="300"/>
      <c r="B251" s="301"/>
      <c r="C251" s="33" t="s">
        <v>35</v>
      </c>
      <c r="D251" s="34">
        <f>D208+D168+D101+D66+D37</f>
        <v>610000</v>
      </c>
      <c r="E251" s="34">
        <f>E208+E168+E101+E66+E37</f>
        <v>617000</v>
      </c>
      <c r="F251" s="34">
        <f t="shared" ref="F251:K251" si="98">F208+F168+F101+F66+F37</f>
        <v>0</v>
      </c>
      <c r="G251" s="34">
        <f t="shared" si="98"/>
        <v>0</v>
      </c>
      <c r="H251" s="34">
        <f t="shared" si="98"/>
        <v>0</v>
      </c>
      <c r="I251" s="34">
        <f t="shared" si="98"/>
        <v>0</v>
      </c>
      <c r="J251" s="34">
        <f t="shared" si="98"/>
        <v>617000</v>
      </c>
      <c r="K251" s="34">
        <f t="shared" si="98"/>
        <v>169333</v>
      </c>
    </row>
    <row r="252" spans="1:12" x14ac:dyDescent="0.25">
      <c r="A252" s="300"/>
      <c r="B252" s="301"/>
      <c r="C252" s="33" t="s">
        <v>36</v>
      </c>
      <c r="D252" s="34">
        <f>D102+D67+D38</f>
        <v>1739080</v>
      </c>
      <c r="E252" s="34">
        <f>E102+E67+E38</f>
        <v>1738180</v>
      </c>
      <c r="F252" s="34">
        <f t="shared" ref="F252:K252" si="99">F102+F67+F38</f>
        <v>0</v>
      </c>
      <c r="G252" s="34">
        <f t="shared" si="99"/>
        <v>0</v>
      </c>
      <c r="H252" s="34">
        <f t="shared" si="99"/>
        <v>0</v>
      </c>
      <c r="I252" s="34">
        <f t="shared" si="99"/>
        <v>0</v>
      </c>
      <c r="J252" s="34">
        <f t="shared" si="99"/>
        <v>1738180</v>
      </c>
      <c r="K252" s="34">
        <f t="shared" si="99"/>
        <v>1204564</v>
      </c>
    </row>
    <row r="253" spans="1:12" x14ac:dyDescent="0.25">
      <c r="A253" s="300"/>
      <c r="B253" s="301"/>
      <c r="C253" s="73" t="s">
        <v>37</v>
      </c>
      <c r="D253" s="61">
        <f>D185+D68+D39</f>
        <v>356000</v>
      </c>
      <c r="E253" s="61">
        <f>E185+E68+E39</f>
        <v>356000</v>
      </c>
      <c r="F253" s="61">
        <f t="shared" ref="F253:J253" si="100">F185+F68+F39</f>
        <v>0</v>
      </c>
      <c r="G253" s="61">
        <f t="shared" si="100"/>
        <v>0</v>
      </c>
      <c r="H253" s="61">
        <f t="shared" si="100"/>
        <v>0</v>
      </c>
      <c r="I253" s="61">
        <f t="shared" si="100"/>
        <v>0</v>
      </c>
      <c r="J253" s="61">
        <f t="shared" si="100"/>
        <v>356000</v>
      </c>
      <c r="K253" s="61">
        <f>K185+K68+K39</f>
        <v>0</v>
      </c>
      <c r="L253" s="74"/>
    </row>
    <row r="254" spans="1:12" x14ac:dyDescent="0.25">
      <c r="A254" s="300"/>
      <c r="B254" s="301"/>
      <c r="C254" s="33" t="s">
        <v>38</v>
      </c>
      <c r="D254" s="34">
        <f>D169+D148+D125+D103+D69+D40+D209</f>
        <v>1394000</v>
      </c>
      <c r="E254" s="34">
        <f>E169+E148+E125+E103+E69+E40+E209</f>
        <v>1379180</v>
      </c>
      <c r="F254" s="34">
        <f t="shared" ref="F254:K254" si="101">F169+F148+F125+F103+F69+F40+F209</f>
        <v>5000</v>
      </c>
      <c r="G254" s="34">
        <f t="shared" si="101"/>
        <v>0</v>
      </c>
      <c r="H254" s="34">
        <f t="shared" si="101"/>
        <v>0</v>
      </c>
      <c r="I254" s="34">
        <f t="shared" si="101"/>
        <v>0</v>
      </c>
      <c r="J254" s="61">
        <f t="shared" si="101"/>
        <v>1384180</v>
      </c>
      <c r="K254" s="34">
        <f t="shared" si="101"/>
        <v>416270</v>
      </c>
    </row>
    <row r="255" spans="1:12" x14ac:dyDescent="0.25">
      <c r="A255" s="300"/>
      <c r="B255" s="301"/>
      <c r="C255" s="33" t="s">
        <v>39</v>
      </c>
      <c r="D255" s="34">
        <f>D41</f>
        <v>13200</v>
      </c>
      <c r="E255" s="34">
        <f>E41</f>
        <v>21926</v>
      </c>
      <c r="F255" s="34">
        <f t="shared" ref="F255:K255" si="102">F41</f>
        <v>0</v>
      </c>
      <c r="G255" s="34">
        <f t="shared" si="102"/>
        <v>0</v>
      </c>
      <c r="H255" s="34">
        <f t="shared" si="102"/>
        <v>10000</v>
      </c>
      <c r="I255" s="34">
        <f t="shared" si="102"/>
        <v>0</v>
      </c>
      <c r="J255" s="61">
        <f t="shared" si="102"/>
        <v>31926</v>
      </c>
      <c r="K255" s="34">
        <f t="shared" si="102"/>
        <v>22999</v>
      </c>
    </row>
    <row r="256" spans="1:12" x14ac:dyDescent="0.25">
      <c r="A256" s="300"/>
      <c r="B256" s="301"/>
      <c r="C256" s="36" t="s">
        <v>40</v>
      </c>
      <c r="D256" s="34">
        <f t="shared" ref="D256:K256" si="103">D186+D170+D149+D126+D104+D70+D42</f>
        <v>16415104</v>
      </c>
      <c r="E256" s="34">
        <f t="shared" si="103"/>
        <v>16428704</v>
      </c>
      <c r="F256" s="34">
        <f t="shared" si="103"/>
        <v>-75000</v>
      </c>
      <c r="G256" s="34">
        <f t="shared" si="103"/>
        <v>0</v>
      </c>
      <c r="H256" s="34">
        <f t="shared" si="103"/>
        <v>0</v>
      </c>
      <c r="I256" s="34">
        <f t="shared" si="103"/>
        <v>0</v>
      </c>
      <c r="J256" s="61">
        <f t="shared" si="103"/>
        <v>16353704</v>
      </c>
      <c r="K256" s="34">
        <f t="shared" si="103"/>
        <v>624836</v>
      </c>
    </row>
    <row r="257" spans="1:11" x14ac:dyDescent="0.25">
      <c r="A257" s="300"/>
      <c r="B257" s="301"/>
      <c r="C257" s="33" t="s">
        <v>41</v>
      </c>
      <c r="D257" s="34">
        <f>D187+D171+D150+D127+D105+D71+D43+D210</f>
        <v>26876743</v>
      </c>
      <c r="E257" s="34">
        <f t="shared" ref="E257:K257" si="104">E187+E171+E150+E127+E105+E71+E43+E210</f>
        <v>14289819</v>
      </c>
      <c r="F257" s="34">
        <f t="shared" si="104"/>
        <v>170000</v>
      </c>
      <c r="G257" s="34">
        <f t="shared" si="104"/>
        <v>0</v>
      </c>
      <c r="H257" s="34">
        <f t="shared" si="104"/>
        <v>0</v>
      </c>
      <c r="I257" s="34">
        <f t="shared" si="104"/>
        <v>0</v>
      </c>
      <c r="J257" s="61">
        <f>J187+J171+J150+J127+J105+J71+J43+J210</f>
        <v>14459819</v>
      </c>
      <c r="K257" s="34">
        <f t="shared" si="104"/>
        <v>6835833</v>
      </c>
    </row>
    <row r="258" spans="1:11" x14ac:dyDescent="0.25">
      <c r="A258" s="300"/>
      <c r="B258" s="301"/>
      <c r="C258" s="35" t="s">
        <v>42</v>
      </c>
      <c r="D258" s="34">
        <f>D211+D188+D172+D151+D128+D106+D72+D44</f>
        <v>2852000</v>
      </c>
      <c r="E258" s="34">
        <f>E211+E188+E172+E151+E128+E106+E72+E44</f>
        <v>2839440</v>
      </c>
      <c r="F258" s="34">
        <f t="shared" ref="F258:K258" si="105">F211+F188+F172+F151+F128+F106+F72+F44</f>
        <v>50000</v>
      </c>
      <c r="G258" s="34">
        <f t="shared" si="105"/>
        <v>0</v>
      </c>
      <c r="H258" s="34">
        <f t="shared" si="105"/>
        <v>0</v>
      </c>
      <c r="I258" s="34">
        <f t="shared" si="105"/>
        <v>0</v>
      </c>
      <c r="J258" s="34">
        <f t="shared" si="105"/>
        <v>2889440</v>
      </c>
      <c r="K258" s="34">
        <f t="shared" si="105"/>
        <v>1147593</v>
      </c>
    </row>
    <row r="259" spans="1:11" x14ac:dyDescent="0.25">
      <c r="A259" s="300"/>
      <c r="B259" s="301"/>
      <c r="C259" s="35" t="s">
        <v>43</v>
      </c>
      <c r="D259" s="34">
        <f>D45+D73+D189</f>
        <v>290000</v>
      </c>
      <c r="E259" s="34">
        <f>E45+E73+E189</f>
        <v>290000</v>
      </c>
      <c r="F259" s="34">
        <f t="shared" ref="F259:K259" si="106">F45+F73+F189</f>
        <v>0</v>
      </c>
      <c r="G259" s="34">
        <f t="shared" si="106"/>
        <v>0</v>
      </c>
      <c r="H259" s="34">
        <f t="shared" si="106"/>
        <v>0</v>
      </c>
      <c r="I259" s="34">
        <f t="shared" si="106"/>
        <v>0</v>
      </c>
      <c r="J259" s="34">
        <f t="shared" si="106"/>
        <v>290000</v>
      </c>
      <c r="K259" s="34">
        <f t="shared" si="106"/>
        <v>0</v>
      </c>
    </row>
    <row r="260" spans="1:11" x14ac:dyDescent="0.25">
      <c r="A260" s="300"/>
      <c r="B260" s="301"/>
      <c r="C260" s="33" t="s">
        <v>44</v>
      </c>
      <c r="D260" s="34">
        <f>D212+D190+D173+D152+D129+D107+D74+D46</f>
        <v>7754652</v>
      </c>
      <c r="E260" s="34">
        <f>E212+E190+E173+E152+E129+E107+E74+E46</f>
        <v>5316093</v>
      </c>
      <c r="F260" s="34">
        <f t="shared" ref="F260:K260" si="107">F212+F190+F173+F152+F129+F107+F74+F46</f>
        <v>0</v>
      </c>
      <c r="G260" s="34">
        <f t="shared" si="107"/>
        <v>0</v>
      </c>
      <c r="H260" s="34">
        <f t="shared" si="107"/>
        <v>0</v>
      </c>
      <c r="I260" s="34">
        <f t="shared" si="107"/>
        <v>0</v>
      </c>
      <c r="J260" s="34">
        <f t="shared" si="107"/>
        <v>5316093</v>
      </c>
      <c r="K260" s="34">
        <f t="shared" si="107"/>
        <v>1993421</v>
      </c>
    </row>
    <row r="261" spans="1:11" x14ac:dyDescent="0.25">
      <c r="A261" s="300"/>
      <c r="B261" s="301"/>
      <c r="C261" s="37" t="s">
        <v>45</v>
      </c>
      <c r="D261" s="34">
        <f>D213+D191+D75+D47</f>
        <v>743011</v>
      </c>
      <c r="E261" s="34">
        <f>E213+E191+E75+E47</f>
        <v>743011</v>
      </c>
      <c r="F261" s="34">
        <f t="shared" ref="F261:K261" si="108">F213+F191+F75+F47</f>
        <v>0</v>
      </c>
      <c r="G261" s="34">
        <f t="shared" si="108"/>
        <v>0</v>
      </c>
      <c r="H261" s="34">
        <f t="shared" si="108"/>
        <v>0</v>
      </c>
      <c r="I261" s="34">
        <f t="shared" si="108"/>
        <v>0</v>
      </c>
      <c r="J261" s="34">
        <f t="shared" si="108"/>
        <v>743011</v>
      </c>
      <c r="K261" s="34">
        <f t="shared" si="108"/>
        <v>259722</v>
      </c>
    </row>
    <row r="262" spans="1:11" x14ac:dyDescent="0.25">
      <c r="A262" s="300"/>
      <c r="B262" s="301"/>
      <c r="C262" s="65" t="s">
        <v>49</v>
      </c>
      <c r="D262" s="66">
        <f>D214+D192+D174+D153+D130+D108+D76+D48</f>
        <v>62319790</v>
      </c>
      <c r="E262" s="66">
        <f>E214+E192+E174+E153+E130+E108+E76+E48</f>
        <v>47557240</v>
      </c>
      <c r="F262" s="66">
        <f t="shared" ref="F262:K262" si="109">F214+F192+F174+F153+F130+F108+F76+F48</f>
        <v>0</v>
      </c>
      <c r="G262" s="66">
        <f t="shared" si="109"/>
        <v>0</v>
      </c>
      <c r="H262" s="66">
        <f t="shared" si="109"/>
        <v>20000</v>
      </c>
      <c r="I262" s="66">
        <f t="shared" si="109"/>
        <v>0</v>
      </c>
      <c r="J262" s="66">
        <f t="shared" si="109"/>
        <v>47577240</v>
      </c>
      <c r="K262" s="66">
        <f t="shared" si="109"/>
        <v>13234669</v>
      </c>
    </row>
    <row r="263" spans="1:11" x14ac:dyDescent="0.25">
      <c r="A263" s="300"/>
      <c r="B263" s="301"/>
      <c r="C263" s="65" t="s">
        <v>100</v>
      </c>
      <c r="D263" s="66">
        <f>D197</f>
        <v>0</v>
      </c>
      <c r="E263" s="66">
        <f t="shared" ref="E263:K263" si="110">E197</f>
        <v>10500000</v>
      </c>
      <c r="F263" s="66">
        <f t="shared" si="110"/>
        <v>0</v>
      </c>
      <c r="G263" s="66">
        <f t="shared" si="110"/>
        <v>0</v>
      </c>
      <c r="H263" s="66">
        <f t="shared" si="110"/>
        <v>0</v>
      </c>
      <c r="I263" s="66">
        <f t="shared" si="110"/>
        <v>0</v>
      </c>
      <c r="J263" s="66">
        <f t="shared" si="110"/>
        <v>10500000</v>
      </c>
      <c r="K263" s="66">
        <f t="shared" si="110"/>
        <v>10500000</v>
      </c>
    </row>
    <row r="264" spans="1:11" x14ac:dyDescent="0.25">
      <c r="A264" s="300"/>
      <c r="B264" s="301"/>
      <c r="C264" s="38" t="s">
        <v>50</v>
      </c>
      <c r="D264" s="34">
        <f t="shared" ref="D264:K266" si="111">D194+D77+D49</f>
        <v>161220</v>
      </c>
      <c r="E264" s="34">
        <f t="shared" si="111"/>
        <v>161220</v>
      </c>
      <c r="F264" s="34">
        <f t="shared" si="111"/>
        <v>0</v>
      </c>
      <c r="G264" s="34">
        <f t="shared" si="111"/>
        <v>0</v>
      </c>
      <c r="H264" s="34">
        <f t="shared" si="111"/>
        <v>0</v>
      </c>
      <c r="I264" s="34">
        <f t="shared" si="111"/>
        <v>0</v>
      </c>
      <c r="J264" s="34">
        <f t="shared" si="111"/>
        <v>161220</v>
      </c>
      <c r="K264" s="34">
        <f t="shared" si="111"/>
        <v>0</v>
      </c>
    </row>
    <row r="265" spans="1:11" x14ac:dyDescent="0.25">
      <c r="A265" s="300"/>
      <c r="B265" s="301"/>
      <c r="C265" s="37" t="s">
        <v>51</v>
      </c>
      <c r="D265" s="34">
        <f t="shared" si="111"/>
        <v>43530</v>
      </c>
      <c r="E265" s="34">
        <f t="shared" si="111"/>
        <v>43530</v>
      </c>
      <c r="F265" s="34">
        <f t="shared" si="111"/>
        <v>0</v>
      </c>
      <c r="G265" s="34">
        <f t="shared" si="111"/>
        <v>0</v>
      </c>
      <c r="H265" s="34">
        <f t="shared" si="111"/>
        <v>0</v>
      </c>
      <c r="I265" s="34">
        <f t="shared" si="111"/>
        <v>0</v>
      </c>
      <c r="J265" s="34">
        <f t="shared" si="111"/>
        <v>43530</v>
      </c>
      <c r="K265" s="34">
        <f t="shared" si="111"/>
        <v>0</v>
      </c>
    </row>
    <row r="266" spans="1:11" x14ac:dyDescent="0.25">
      <c r="A266" s="300"/>
      <c r="B266" s="301"/>
      <c r="C266" s="65" t="s">
        <v>52</v>
      </c>
      <c r="D266" s="68">
        <f t="shared" si="111"/>
        <v>204750</v>
      </c>
      <c r="E266" s="68">
        <f t="shared" si="111"/>
        <v>204750</v>
      </c>
      <c r="F266" s="68">
        <f t="shared" si="111"/>
        <v>0</v>
      </c>
      <c r="G266" s="68">
        <f t="shared" si="111"/>
        <v>0</v>
      </c>
      <c r="H266" s="68">
        <f t="shared" si="111"/>
        <v>0</v>
      </c>
      <c r="I266" s="68">
        <f t="shared" si="111"/>
        <v>0</v>
      </c>
      <c r="J266" s="68">
        <f t="shared" si="111"/>
        <v>204750</v>
      </c>
      <c r="K266" s="66">
        <f t="shared" si="111"/>
        <v>0</v>
      </c>
    </row>
    <row r="267" spans="1:11" x14ac:dyDescent="0.25">
      <c r="A267" s="302"/>
      <c r="B267" s="303"/>
      <c r="C267" s="69" t="s">
        <v>88</v>
      </c>
      <c r="D267" s="70">
        <f>D218</f>
        <v>230443641</v>
      </c>
      <c r="E267" s="70">
        <f>E218</f>
        <v>230521849</v>
      </c>
      <c r="F267" s="70">
        <f t="shared" ref="F267:K267" si="112">F218</f>
        <v>0</v>
      </c>
      <c r="G267" s="70">
        <f t="shared" si="112"/>
        <v>1233067</v>
      </c>
      <c r="H267" s="70">
        <f t="shared" si="112"/>
        <v>20000</v>
      </c>
      <c r="I267" s="70">
        <f t="shared" si="112"/>
        <v>0</v>
      </c>
      <c r="J267" s="70">
        <f t="shared" si="112"/>
        <v>231774916</v>
      </c>
      <c r="K267" s="70">
        <f t="shared" si="112"/>
        <v>142141309</v>
      </c>
    </row>
    <row r="268" spans="1:11" x14ac:dyDescent="0.25">
      <c r="B268" s="5"/>
      <c r="E268" s="4"/>
      <c r="F268" s="4"/>
      <c r="G268" s="4"/>
      <c r="H268" s="4"/>
      <c r="I268" s="4"/>
      <c r="J268" s="4"/>
      <c r="K268" s="111"/>
    </row>
    <row r="269" spans="1:11" x14ac:dyDescent="0.25">
      <c r="B269" s="5"/>
      <c r="E269" s="4"/>
      <c r="F269" s="4"/>
      <c r="G269" s="4"/>
      <c r="H269" s="4"/>
      <c r="I269" s="4"/>
      <c r="J269" s="4"/>
      <c r="K269" s="111"/>
    </row>
  </sheetData>
  <autoFilter ref="A4:L4" xr:uid="{00000000-0009-0000-0000-000008000000}"/>
  <mergeCells count="74">
    <mergeCell ref="A1:L1"/>
    <mergeCell ref="A3:A4"/>
    <mergeCell ref="B3:B4"/>
    <mergeCell ref="C3:C4"/>
    <mergeCell ref="D3:D4"/>
    <mergeCell ref="E3:E4"/>
    <mergeCell ref="F3:I3"/>
    <mergeCell ref="J3:J4"/>
    <mergeCell ref="K3:K4"/>
    <mergeCell ref="L3:L4"/>
    <mergeCell ref="A5:A13"/>
    <mergeCell ref="B5:B7"/>
    <mergeCell ref="B8:B11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C24"/>
    <mergeCell ref="A25:A79"/>
    <mergeCell ref="B25:B51"/>
    <mergeCell ref="B52:B79"/>
    <mergeCell ref="A80:A81"/>
    <mergeCell ref="B80:B81"/>
    <mergeCell ref="A82:A83"/>
    <mergeCell ref="B82:B83"/>
    <mergeCell ref="A84:A85"/>
    <mergeCell ref="B84:B85"/>
    <mergeCell ref="A131:A132"/>
    <mergeCell ref="B131:B132"/>
    <mergeCell ref="A86:A87"/>
    <mergeCell ref="B86:B87"/>
    <mergeCell ref="A88:C88"/>
    <mergeCell ref="A89:A108"/>
    <mergeCell ref="B89:B108"/>
    <mergeCell ref="A109:A110"/>
    <mergeCell ref="B109:B110"/>
    <mergeCell ref="A111:A112"/>
    <mergeCell ref="B111:B112"/>
    <mergeCell ref="A113:C113"/>
    <mergeCell ref="A114:A130"/>
    <mergeCell ref="B114:B130"/>
    <mergeCell ref="A177:A178"/>
    <mergeCell ref="B177:B178"/>
    <mergeCell ref="A133:A134"/>
    <mergeCell ref="B133:B134"/>
    <mergeCell ref="A135:C135"/>
    <mergeCell ref="A136:A153"/>
    <mergeCell ref="B136:B153"/>
    <mergeCell ref="A154:A155"/>
    <mergeCell ref="B154:B155"/>
    <mergeCell ref="A156:C156"/>
    <mergeCell ref="A157:A174"/>
    <mergeCell ref="B157:B174"/>
    <mergeCell ref="A175:A176"/>
    <mergeCell ref="B175:B176"/>
    <mergeCell ref="A226:B267"/>
    <mergeCell ref="A179:C179"/>
    <mergeCell ref="A180:A197"/>
    <mergeCell ref="B180:B197"/>
    <mergeCell ref="A198:C198"/>
    <mergeCell ref="A199:A214"/>
    <mergeCell ref="B199:B214"/>
    <mergeCell ref="A215:A216"/>
    <mergeCell ref="B215:B216"/>
    <mergeCell ref="A217:C217"/>
    <mergeCell ref="A218:C218"/>
    <mergeCell ref="A225:K225"/>
  </mergeCells>
  <pageMargins left="0.7" right="0.7" top="0.75" bottom="0.75" header="0.3" footer="0.3"/>
  <pageSetup paperSize="9" scale="50" orientation="portrait" r:id="rId1"/>
  <rowBreaks count="2" manualBreakCount="2">
    <brk id="88" max="16383" man="1"/>
    <brk id="17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14</vt:i4>
      </vt:variant>
      <vt:variant>
        <vt:lpstr>Névvel ellátott tartományok</vt:lpstr>
      </vt:variant>
      <vt:variant>
        <vt:i4>11</vt:i4>
      </vt:variant>
    </vt:vector>
  </HeadingPairs>
  <TitlesOfParts>
    <vt:vector size="25" baseType="lpstr">
      <vt:lpstr>2019.03.31.</vt:lpstr>
      <vt:lpstr>2019.04.30.</vt:lpstr>
      <vt:lpstr>2019.05.31.</vt:lpstr>
      <vt:lpstr>Előterjesztés-06.20.</vt:lpstr>
      <vt:lpstr>2019.06.30.</vt:lpstr>
      <vt:lpstr>2019.07.31.</vt:lpstr>
      <vt:lpstr>2019.08.31.</vt:lpstr>
      <vt:lpstr>Előterjesztés 09.26.</vt:lpstr>
      <vt:lpstr>2019.09.30.</vt:lpstr>
      <vt:lpstr>2019.10.31.</vt:lpstr>
      <vt:lpstr>Előterjesztés 12.12.</vt:lpstr>
      <vt:lpstr>2019.11.30.</vt:lpstr>
      <vt:lpstr>2019.12.31.</vt:lpstr>
      <vt:lpstr>2020</vt:lpstr>
      <vt:lpstr>'2019.04.30.'!Nyomtatási_cím</vt:lpstr>
      <vt:lpstr>'2019.05.31.'!Nyomtatási_cím</vt:lpstr>
      <vt:lpstr>'2019.11.30.'!Nyomtatási_cím</vt:lpstr>
      <vt:lpstr>'2019.12.31.'!Nyomtatási_cím</vt:lpstr>
      <vt:lpstr>'2020'!Nyomtatási_cím</vt:lpstr>
      <vt:lpstr>'Előterjesztés 12.12.'!Nyomtatási_cím</vt:lpstr>
      <vt:lpstr>'Előterjesztés-06.20.'!Nyomtatási_cím</vt:lpstr>
      <vt:lpstr>'2019.08.31.'!Nyomtatási_terület</vt:lpstr>
      <vt:lpstr>'Előterjesztés 09.26.'!Nyomtatási_terület</vt:lpstr>
      <vt:lpstr>'Előterjesztés 12.12.'!Nyomtatási_terület</vt:lpstr>
      <vt:lpstr>'Előterjesztés-06.20.'!Nyomtatási_terület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2020-09-16T07:59:15Z</dcterms:modified>
</cp:coreProperties>
</file>