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435"/>
  </bookViews>
  <sheets>
    <sheet name="2021.08.31" sheetId="14" r:id="rId1"/>
  </sheets>
  <definedNames>
    <definedName name="_xlnm._FilterDatabase" localSheetId="0" hidden="1">'2021.08.31'!$A$4:$W$831</definedName>
    <definedName name="_xlnm.Print_Titles" localSheetId="0">'2021.08.31'!$3:$4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968" i="14" l="1"/>
  <c r="Q954" i="14"/>
  <c r="Q964" i="14"/>
  <c r="Q963" i="14"/>
  <c r="Q962" i="14"/>
  <c r="Q946" i="14"/>
  <c r="Q934" i="14"/>
  <c r="Q898" i="14"/>
  <c r="Q912" i="14"/>
  <c r="Q908" i="14"/>
  <c r="Q907" i="14"/>
  <c r="Q906" i="14"/>
  <c r="Q890" i="14"/>
  <c r="N83" i="14" l="1"/>
  <c r="N81" i="14"/>
  <c r="N180" i="14"/>
  <c r="N238" i="14"/>
  <c r="N221" i="14"/>
  <c r="N182" i="14"/>
  <c r="N198" i="14"/>
  <c r="N213" i="14"/>
  <c r="U361" i="14"/>
  <c r="U355" i="14"/>
  <c r="U184" i="14"/>
  <c r="U178" i="14"/>
  <c r="U173" i="14"/>
  <c r="U167" i="14"/>
  <c r="U163" i="14"/>
  <c r="U156" i="14"/>
  <c r="U137" i="14"/>
  <c r="U132" i="14"/>
  <c r="U104" i="14"/>
  <c r="U24" i="14"/>
  <c r="U22" i="14"/>
  <c r="U19" i="14"/>
  <c r="U16" i="14"/>
  <c r="U15" i="14"/>
  <c r="U12" i="14"/>
  <c r="O871" i="14" l="1"/>
  <c r="P871" i="14"/>
  <c r="Q871" i="14"/>
  <c r="R871" i="14"/>
  <c r="S871" i="14"/>
  <c r="U871" i="14"/>
  <c r="N871" i="14"/>
  <c r="N329" i="14"/>
  <c r="T326" i="14"/>
  <c r="V326" i="14" s="1"/>
  <c r="O851" i="14"/>
  <c r="P851" i="14"/>
  <c r="Q851" i="14"/>
  <c r="R851" i="14"/>
  <c r="S851" i="14"/>
  <c r="O847" i="14"/>
  <c r="P847" i="14"/>
  <c r="Q847" i="14"/>
  <c r="R847" i="14"/>
  <c r="S847" i="14"/>
  <c r="O843" i="14"/>
  <c r="P843" i="14"/>
  <c r="Q843" i="14"/>
  <c r="R843" i="14"/>
  <c r="S843" i="14"/>
  <c r="O841" i="14"/>
  <c r="P841" i="14"/>
  <c r="Q841" i="14"/>
  <c r="R841" i="14"/>
  <c r="S841" i="14"/>
  <c r="U841" i="14"/>
  <c r="N843" i="14"/>
  <c r="N841" i="14"/>
  <c r="T33" i="14"/>
  <c r="V33" i="14" s="1"/>
  <c r="T34" i="14"/>
  <c r="V34" i="14" s="1"/>
  <c r="N842" i="14"/>
  <c r="N847" i="14"/>
  <c r="N161" i="14"/>
  <c r="N149" i="14"/>
  <c r="N741" i="14"/>
  <c r="U847" i="14"/>
  <c r="U843" i="14"/>
  <c r="N883" i="14"/>
  <c r="O873" i="14"/>
  <c r="P873" i="14"/>
  <c r="Q873" i="14"/>
  <c r="R873" i="14"/>
  <c r="S873" i="14"/>
  <c r="O870" i="14"/>
  <c r="P870" i="14"/>
  <c r="Q870" i="14"/>
  <c r="R870" i="14"/>
  <c r="S870" i="14"/>
  <c r="N866" i="14"/>
  <c r="O866" i="14"/>
  <c r="P866" i="14"/>
  <c r="Q866" i="14"/>
  <c r="R866" i="14"/>
  <c r="S866" i="14"/>
  <c r="N677" i="14"/>
  <c r="N682" i="14"/>
  <c r="N680" i="14"/>
  <c r="N870" i="14" s="1"/>
  <c r="N851" i="14" l="1"/>
  <c r="U851" i="14"/>
  <c r="N873" i="14"/>
  <c r="N864" i="14"/>
  <c r="N824" i="14"/>
  <c r="O824" i="14"/>
  <c r="P824" i="14"/>
  <c r="Q824" i="14"/>
  <c r="N813" i="14"/>
  <c r="O813" i="14"/>
  <c r="O830" i="14" s="1"/>
  <c r="P813" i="14"/>
  <c r="Q813" i="14"/>
  <c r="R806" i="14"/>
  <c r="S806" i="14"/>
  <c r="N803" i="14"/>
  <c r="O803" i="14"/>
  <c r="P803" i="14"/>
  <c r="Q803" i="14"/>
  <c r="N793" i="14"/>
  <c r="O793" i="14"/>
  <c r="P793" i="14"/>
  <c r="Q793" i="14"/>
  <c r="N790" i="14"/>
  <c r="O790" i="14"/>
  <c r="P790" i="14"/>
  <c r="Q790" i="14"/>
  <c r="N777" i="14"/>
  <c r="O777" i="14"/>
  <c r="P777" i="14"/>
  <c r="Q777" i="14"/>
  <c r="N769" i="14"/>
  <c r="N806" i="14" s="1"/>
  <c r="O769" i="14"/>
  <c r="P769" i="14"/>
  <c r="P806" i="14" s="1"/>
  <c r="Q769" i="14"/>
  <c r="Q806" i="14" s="1"/>
  <c r="N761" i="14"/>
  <c r="O761" i="14"/>
  <c r="P761" i="14"/>
  <c r="Q761" i="14"/>
  <c r="R761" i="14"/>
  <c r="S761" i="14"/>
  <c r="N755" i="14"/>
  <c r="O755" i="14"/>
  <c r="P755" i="14"/>
  <c r="Q755" i="14"/>
  <c r="Q752" i="14"/>
  <c r="N752" i="14"/>
  <c r="O752" i="14"/>
  <c r="P752" i="14"/>
  <c r="N738" i="14"/>
  <c r="O738" i="14"/>
  <c r="P738" i="14"/>
  <c r="Q738" i="14"/>
  <c r="N731" i="14"/>
  <c r="O731" i="14"/>
  <c r="P731" i="14"/>
  <c r="Q731" i="14"/>
  <c r="R731" i="14"/>
  <c r="S731" i="14"/>
  <c r="N725" i="14"/>
  <c r="O725" i="14"/>
  <c r="P725" i="14"/>
  <c r="Q725" i="14"/>
  <c r="N718" i="14"/>
  <c r="O718" i="14"/>
  <c r="P718" i="14"/>
  <c r="Q718" i="14"/>
  <c r="N707" i="14"/>
  <c r="O707" i="14"/>
  <c r="P707" i="14"/>
  <c r="Q707" i="14"/>
  <c r="N705" i="14"/>
  <c r="O705" i="14"/>
  <c r="P705" i="14"/>
  <c r="Q705" i="14"/>
  <c r="N700" i="14"/>
  <c r="O700" i="14"/>
  <c r="O721" i="14" s="1"/>
  <c r="P700" i="14"/>
  <c r="P721" i="14" s="1"/>
  <c r="Q700" i="14"/>
  <c r="Q721" i="14" s="1"/>
  <c r="N691" i="14"/>
  <c r="O691" i="14"/>
  <c r="P691" i="14"/>
  <c r="Q691" i="14"/>
  <c r="N685" i="14"/>
  <c r="O685" i="14"/>
  <c r="P685" i="14"/>
  <c r="Q685" i="14"/>
  <c r="N674" i="14"/>
  <c r="O674" i="14"/>
  <c r="P674" i="14"/>
  <c r="Q674" i="14"/>
  <c r="N667" i="14"/>
  <c r="O667" i="14"/>
  <c r="P667" i="14"/>
  <c r="Q667" i="14"/>
  <c r="N661" i="14"/>
  <c r="O661" i="14"/>
  <c r="P661" i="14"/>
  <c r="P694" i="14" s="1"/>
  <c r="Q661" i="14"/>
  <c r="Q694" i="14" s="1"/>
  <c r="N654" i="14"/>
  <c r="O654" i="14"/>
  <c r="P654" i="14"/>
  <c r="Q654" i="14"/>
  <c r="N649" i="14"/>
  <c r="O649" i="14"/>
  <c r="P649" i="14"/>
  <c r="Q649" i="14"/>
  <c r="N637" i="14"/>
  <c r="O637" i="14"/>
  <c r="P637" i="14"/>
  <c r="Q637" i="14"/>
  <c r="N629" i="14"/>
  <c r="O629" i="14"/>
  <c r="P629" i="14"/>
  <c r="Q629" i="14"/>
  <c r="N625" i="14"/>
  <c r="N852" i="14" s="1"/>
  <c r="O625" i="14"/>
  <c r="O657" i="14" s="1"/>
  <c r="P625" i="14"/>
  <c r="P657" i="14" s="1"/>
  <c r="Q625" i="14"/>
  <c r="Q852" i="14" s="1"/>
  <c r="N620" i="14"/>
  <c r="O620" i="14"/>
  <c r="P620" i="14"/>
  <c r="Q620" i="14"/>
  <c r="N607" i="14"/>
  <c r="O607" i="14"/>
  <c r="P607" i="14"/>
  <c r="Q607" i="14"/>
  <c r="N599" i="14"/>
  <c r="O599" i="14"/>
  <c r="P599" i="14"/>
  <c r="Q599" i="14"/>
  <c r="N593" i="14"/>
  <c r="N623" i="14" s="1"/>
  <c r="O593" i="14"/>
  <c r="O623" i="14" s="1"/>
  <c r="P593" i="14"/>
  <c r="P623" i="14" s="1"/>
  <c r="Q593" i="14"/>
  <c r="Q623" i="14" s="1"/>
  <c r="N584" i="14"/>
  <c r="O584" i="14"/>
  <c r="P584" i="14"/>
  <c r="Q584" i="14"/>
  <c r="N579" i="14"/>
  <c r="O579" i="14"/>
  <c r="P579" i="14"/>
  <c r="Q579" i="14"/>
  <c r="N576" i="14"/>
  <c r="O576" i="14"/>
  <c r="P576" i="14"/>
  <c r="Q576" i="14"/>
  <c r="N563" i="14"/>
  <c r="O563" i="14"/>
  <c r="P563" i="14"/>
  <c r="Q563" i="14"/>
  <c r="N555" i="14"/>
  <c r="O555" i="14"/>
  <c r="O589" i="14" s="1"/>
  <c r="P555" i="14"/>
  <c r="P589" i="14" s="1"/>
  <c r="Q555" i="14"/>
  <c r="N546" i="14"/>
  <c r="O546" i="14"/>
  <c r="P546" i="14"/>
  <c r="Q546" i="14"/>
  <c r="N540" i="14"/>
  <c r="O540" i="14"/>
  <c r="P540" i="14"/>
  <c r="Q540" i="14"/>
  <c r="N537" i="14"/>
  <c r="O537" i="14"/>
  <c r="P537" i="14"/>
  <c r="Q537" i="14"/>
  <c r="N524" i="14"/>
  <c r="O524" i="14"/>
  <c r="P524" i="14"/>
  <c r="Q524" i="14"/>
  <c r="N514" i="14"/>
  <c r="O514" i="14"/>
  <c r="P514" i="14"/>
  <c r="Q514" i="14"/>
  <c r="N502" i="14"/>
  <c r="O502" i="14"/>
  <c r="O517" i="14" s="1"/>
  <c r="P502" i="14"/>
  <c r="P517" i="14" s="1"/>
  <c r="Q502" i="14"/>
  <c r="Q517" i="14" s="1"/>
  <c r="N490" i="14"/>
  <c r="O490" i="14"/>
  <c r="P490" i="14"/>
  <c r="Q490" i="14"/>
  <c r="N479" i="14"/>
  <c r="O479" i="14"/>
  <c r="P479" i="14"/>
  <c r="Q479" i="14"/>
  <c r="N472" i="14"/>
  <c r="O472" i="14"/>
  <c r="P472" i="14"/>
  <c r="Q472" i="14"/>
  <c r="N467" i="14"/>
  <c r="N495" i="14" s="1"/>
  <c r="O467" i="14"/>
  <c r="O495" i="14" s="1"/>
  <c r="P467" i="14"/>
  <c r="P495" i="14" s="1"/>
  <c r="Q467" i="14"/>
  <c r="N460" i="14"/>
  <c r="O460" i="14"/>
  <c r="P460" i="14"/>
  <c r="Q460" i="14"/>
  <c r="N447" i="14"/>
  <c r="O447" i="14"/>
  <c r="P447" i="14"/>
  <c r="Q447" i="14"/>
  <c r="N440" i="14"/>
  <c r="O440" i="14"/>
  <c r="P440" i="14"/>
  <c r="Q440" i="14"/>
  <c r="N434" i="14"/>
  <c r="N463" i="14" s="1"/>
  <c r="O434" i="14"/>
  <c r="P434" i="14"/>
  <c r="Q434" i="14"/>
  <c r="N427" i="14"/>
  <c r="O427" i="14"/>
  <c r="P427" i="14"/>
  <c r="Q427" i="14"/>
  <c r="N424" i="14"/>
  <c r="O424" i="14"/>
  <c r="P424" i="14"/>
  <c r="Q424" i="14"/>
  <c r="R424" i="14"/>
  <c r="S424" i="14"/>
  <c r="N411" i="14"/>
  <c r="O411" i="14"/>
  <c r="P411" i="14"/>
  <c r="Q411" i="14"/>
  <c r="N405" i="14"/>
  <c r="O405" i="14"/>
  <c r="P405" i="14"/>
  <c r="Q405" i="14"/>
  <c r="N399" i="14"/>
  <c r="O399" i="14"/>
  <c r="P399" i="14"/>
  <c r="Q399" i="14"/>
  <c r="N388" i="14"/>
  <c r="O388" i="14"/>
  <c r="P388" i="14"/>
  <c r="Q388" i="14"/>
  <c r="N382" i="14"/>
  <c r="O382" i="14"/>
  <c r="P382" i="14"/>
  <c r="Q382" i="14"/>
  <c r="N379" i="14"/>
  <c r="O379" i="14"/>
  <c r="P379" i="14"/>
  <c r="Q379" i="14"/>
  <c r="N369" i="14"/>
  <c r="O369" i="14"/>
  <c r="P369" i="14"/>
  <c r="Q369" i="14"/>
  <c r="N363" i="14"/>
  <c r="O363" i="14"/>
  <c r="P363" i="14"/>
  <c r="Q363" i="14"/>
  <c r="N349" i="14"/>
  <c r="O349" i="14"/>
  <c r="P349" i="14"/>
  <c r="Q349" i="14"/>
  <c r="N340" i="14"/>
  <c r="O340" i="14"/>
  <c r="P340" i="14"/>
  <c r="Q340" i="14"/>
  <c r="N335" i="14"/>
  <c r="O335" i="14"/>
  <c r="O395" i="14" s="1"/>
  <c r="P335" i="14"/>
  <c r="P395" i="14" s="1"/>
  <c r="Q335" i="14"/>
  <c r="Q395" i="14" s="1"/>
  <c r="O329" i="14"/>
  <c r="P329" i="14"/>
  <c r="Q329" i="14"/>
  <c r="N323" i="14"/>
  <c r="O323" i="14"/>
  <c r="P323" i="14"/>
  <c r="Q323" i="14"/>
  <c r="N320" i="14"/>
  <c r="O320" i="14"/>
  <c r="P320" i="14"/>
  <c r="Q320" i="14"/>
  <c r="N310" i="14"/>
  <c r="O310" i="14"/>
  <c r="P310" i="14"/>
  <c r="Q310" i="14"/>
  <c r="N304" i="14"/>
  <c r="O304" i="14"/>
  <c r="P304" i="14"/>
  <c r="Q304" i="14"/>
  <c r="N300" i="14"/>
  <c r="O300" i="14"/>
  <c r="O332" i="14" s="1"/>
  <c r="P300" i="14"/>
  <c r="P332" i="14" s="1"/>
  <c r="Q300" i="14"/>
  <c r="Q332" i="14" s="1"/>
  <c r="N293" i="14"/>
  <c r="O293" i="14"/>
  <c r="P293" i="14"/>
  <c r="Q293" i="14"/>
  <c r="N281" i="14"/>
  <c r="O281" i="14"/>
  <c r="P281" i="14"/>
  <c r="Q281" i="14"/>
  <c r="N274" i="14"/>
  <c r="O274" i="14"/>
  <c r="P274" i="14"/>
  <c r="Q274" i="14"/>
  <c r="N268" i="14"/>
  <c r="N296" i="14" s="1"/>
  <c r="O268" i="14"/>
  <c r="O296" i="14" s="1"/>
  <c r="P268" i="14"/>
  <c r="P296" i="14" s="1"/>
  <c r="Q268" i="14"/>
  <c r="Q296" i="14" s="1"/>
  <c r="N232" i="14"/>
  <c r="O232" i="14"/>
  <c r="P232" i="14"/>
  <c r="Q232" i="14"/>
  <c r="N229" i="14"/>
  <c r="O229" i="14"/>
  <c r="P229" i="14"/>
  <c r="Q229" i="14"/>
  <c r="N225" i="14"/>
  <c r="O225" i="14"/>
  <c r="P225" i="14"/>
  <c r="Q225" i="14"/>
  <c r="N210" i="14"/>
  <c r="O210" i="14"/>
  <c r="P210" i="14"/>
  <c r="Q210" i="14"/>
  <c r="R210" i="14"/>
  <c r="R861" i="14" s="1"/>
  <c r="S210" i="14"/>
  <c r="N201" i="14"/>
  <c r="O201" i="14"/>
  <c r="P201" i="14"/>
  <c r="Q201" i="14"/>
  <c r="N192" i="14"/>
  <c r="O192" i="14"/>
  <c r="P192" i="14"/>
  <c r="Q192" i="14"/>
  <c r="N186" i="14"/>
  <c r="O186" i="14"/>
  <c r="P186" i="14"/>
  <c r="Q186" i="14"/>
  <c r="N172" i="14"/>
  <c r="O172" i="14"/>
  <c r="P172" i="14"/>
  <c r="Q172" i="14"/>
  <c r="N165" i="14"/>
  <c r="O165" i="14"/>
  <c r="P165" i="14"/>
  <c r="Q165" i="14"/>
  <c r="N150" i="14"/>
  <c r="O150" i="14"/>
  <c r="P150" i="14"/>
  <c r="Q150" i="14"/>
  <c r="N142" i="14"/>
  <c r="O142" i="14"/>
  <c r="P142" i="14"/>
  <c r="Q142" i="14"/>
  <c r="N139" i="14"/>
  <c r="O139" i="14"/>
  <c r="P139" i="14"/>
  <c r="Q139" i="14"/>
  <c r="R139" i="14"/>
  <c r="S139" i="14"/>
  <c r="N112" i="14"/>
  <c r="N126" i="14"/>
  <c r="O126" i="14"/>
  <c r="P126" i="14"/>
  <c r="Q126" i="14"/>
  <c r="N118" i="14"/>
  <c r="O118" i="14"/>
  <c r="P118" i="14"/>
  <c r="Q118" i="14"/>
  <c r="O112" i="14"/>
  <c r="P112" i="14"/>
  <c r="Q112" i="14"/>
  <c r="O109" i="14"/>
  <c r="P109" i="14"/>
  <c r="Q109" i="14"/>
  <c r="N109" i="14"/>
  <c r="U109" i="14"/>
  <c r="N243" i="14"/>
  <c r="O243" i="14"/>
  <c r="P243" i="14"/>
  <c r="Q243" i="14"/>
  <c r="N868" i="14"/>
  <c r="O868" i="14"/>
  <c r="P868" i="14"/>
  <c r="Q868" i="14"/>
  <c r="R868" i="14"/>
  <c r="S868" i="14"/>
  <c r="N881" i="14"/>
  <c r="O881" i="14"/>
  <c r="P881" i="14"/>
  <c r="Q881" i="14"/>
  <c r="R881" i="14"/>
  <c r="S881" i="14"/>
  <c r="N882" i="14"/>
  <c r="O882" i="14"/>
  <c r="P882" i="14"/>
  <c r="Q882" i="14"/>
  <c r="R882" i="14"/>
  <c r="S882" i="14"/>
  <c r="U882" i="14"/>
  <c r="U866" i="14"/>
  <c r="N865" i="14"/>
  <c r="O865" i="14"/>
  <c r="P865" i="14"/>
  <c r="Q865" i="14"/>
  <c r="R865" i="14"/>
  <c r="S865" i="14"/>
  <c r="U865" i="14"/>
  <c r="N848" i="14"/>
  <c r="O848" i="14"/>
  <c r="P848" i="14"/>
  <c r="Q848" i="14"/>
  <c r="R848" i="14"/>
  <c r="S848" i="14"/>
  <c r="N849" i="14"/>
  <c r="O849" i="14"/>
  <c r="P849" i="14"/>
  <c r="Q849" i="14"/>
  <c r="R849" i="14"/>
  <c r="S849" i="14"/>
  <c r="N850" i="14"/>
  <c r="O850" i="14"/>
  <c r="P850" i="14"/>
  <c r="Q850" i="14"/>
  <c r="R850" i="14"/>
  <c r="S850" i="14"/>
  <c r="R852" i="14"/>
  <c r="S852" i="14"/>
  <c r="N853" i="14"/>
  <c r="O853" i="14"/>
  <c r="P853" i="14"/>
  <c r="Q853" i="14"/>
  <c r="R853" i="14"/>
  <c r="S853" i="14"/>
  <c r="N854" i="14"/>
  <c r="O854" i="14"/>
  <c r="P854" i="14"/>
  <c r="Q854" i="14"/>
  <c r="R854" i="14"/>
  <c r="S854" i="14"/>
  <c r="N855" i="14"/>
  <c r="O855" i="14"/>
  <c r="P855" i="14"/>
  <c r="Q855" i="14"/>
  <c r="R855" i="14"/>
  <c r="S855" i="14"/>
  <c r="N856" i="14"/>
  <c r="O856" i="14"/>
  <c r="P856" i="14"/>
  <c r="Q856" i="14"/>
  <c r="R856" i="14"/>
  <c r="S856" i="14"/>
  <c r="N857" i="14"/>
  <c r="O857" i="14"/>
  <c r="P857" i="14"/>
  <c r="Q857" i="14"/>
  <c r="R857" i="14"/>
  <c r="S857" i="14"/>
  <c r="N858" i="14"/>
  <c r="O858" i="14"/>
  <c r="P858" i="14"/>
  <c r="Q858" i="14"/>
  <c r="R858" i="14"/>
  <c r="S858" i="14"/>
  <c r="N859" i="14"/>
  <c r="O859" i="14"/>
  <c r="P859" i="14"/>
  <c r="Q859" i="14"/>
  <c r="R859" i="14"/>
  <c r="S859" i="14"/>
  <c r="N860" i="14"/>
  <c r="O860" i="14"/>
  <c r="P860" i="14"/>
  <c r="Q860" i="14"/>
  <c r="R860" i="14"/>
  <c r="S860" i="14"/>
  <c r="N862" i="14"/>
  <c r="O862" i="14"/>
  <c r="P862" i="14"/>
  <c r="R862" i="14"/>
  <c r="S862" i="14"/>
  <c r="N863" i="14"/>
  <c r="O863" i="14"/>
  <c r="P863" i="14"/>
  <c r="Q863" i="14"/>
  <c r="R863" i="14"/>
  <c r="S863" i="14"/>
  <c r="O864" i="14"/>
  <c r="P864" i="14"/>
  <c r="Q864" i="14"/>
  <c r="R864" i="14"/>
  <c r="S864" i="14"/>
  <c r="N867" i="14"/>
  <c r="O867" i="14"/>
  <c r="P867" i="14"/>
  <c r="Q867" i="14"/>
  <c r="R867" i="14"/>
  <c r="S867" i="14"/>
  <c r="N869" i="14"/>
  <c r="O869" i="14"/>
  <c r="P869" i="14"/>
  <c r="Q869" i="14"/>
  <c r="R869" i="14"/>
  <c r="S869" i="14"/>
  <c r="N872" i="14"/>
  <c r="O872" i="14"/>
  <c r="P872" i="14"/>
  <c r="Q872" i="14"/>
  <c r="R872" i="14"/>
  <c r="S872" i="14"/>
  <c r="N874" i="14"/>
  <c r="O874" i="14"/>
  <c r="P874" i="14"/>
  <c r="Q874" i="14"/>
  <c r="R874" i="14"/>
  <c r="S874" i="14"/>
  <c r="N875" i="14"/>
  <c r="O875" i="14"/>
  <c r="P875" i="14"/>
  <c r="Q875" i="14"/>
  <c r="R875" i="14"/>
  <c r="S875" i="14"/>
  <c r="N876" i="14"/>
  <c r="O876" i="14"/>
  <c r="P876" i="14"/>
  <c r="Q876" i="14"/>
  <c r="R876" i="14"/>
  <c r="S876" i="14"/>
  <c r="N877" i="14"/>
  <c r="O877" i="14"/>
  <c r="P877" i="14"/>
  <c r="Q877" i="14"/>
  <c r="R877" i="14"/>
  <c r="S877" i="14"/>
  <c r="N879" i="14"/>
  <c r="O879" i="14"/>
  <c r="P879" i="14"/>
  <c r="Q879" i="14"/>
  <c r="R879" i="14"/>
  <c r="S879" i="14"/>
  <c r="N880" i="14"/>
  <c r="O880" i="14"/>
  <c r="P880" i="14"/>
  <c r="Q880" i="14"/>
  <c r="R880" i="14"/>
  <c r="S880" i="14"/>
  <c r="O883" i="14"/>
  <c r="P883" i="14"/>
  <c r="Q883" i="14"/>
  <c r="R883" i="14"/>
  <c r="S883" i="14"/>
  <c r="N839" i="14"/>
  <c r="O839" i="14"/>
  <c r="P839" i="14"/>
  <c r="Q839" i="14"/>
  <c r="R839" i="14"/>
  <c r="S839" i="14"/>
  <c r="N840" i="14"/>
  <c r="O840" i="14"/>
  <c r="P840" i="14"/>
  <c r="Q840" i="14"/>
  <c r="R840" i="14"/>
  <c r="S840" i="14"/>
  <c r="O842" i="14"/>
  <c r="P842" i="14"/>
  <c r="Q842" i="14"/>
  <c r="R842" i="14"/>
  <c r="S842" i="14"/>
  <c r="N844" i="14"/>
  <c r="O844" i="14"/>
  <c r="P844" i="14"/>
  <c r="Q844" i="14"/>
  <c r="R844" i="14"/>
  <c r="S844" i="14"/>
  <c r="N845" i="14"/>
  <c r="O845" i="14"/>
  <c r="P845" i="14"/>
  <c r="Q845" i="14"/>
  <c r="R845" i="14"/>
  <c r="S845" i="14"/>
  <c r="N846" i="14"/>
  <c r="O846" i="14"/>
  <c r="P846" i="14"/>
  <c r="Q846" i="14"/>
  <c r="R846" i="14"/>
  <c r="S846" i="14"/>
  <c r="U839" i="14"/>
  <c r="N838" i="14"/>
  <c r="O838" i="14"/>
  <c r="P838" i="14"/>
  <c r="Q838" i="14"/>
  <c r="R838" i="14"/>
  <c r="S838" i="14"/>
  <c r="U838" i="14"/>
  <c r="U227" i="14"/>
  <c r="U881" i="14" s="1"/>
  <c r="U142" i="14"/>
  <c r="M142" i="14"/>
  <c r="T141" i="14"/>
  <c r="V141" i="14" s="1"/>
  <c r="T140" i="14"/>
  <c r="V140" i="14" s="1"/>
  <c r="E238" i="14"/>
  <c r="E171" i="14"/>
  <c r="E398" i="14"/>
  <c r="E397" i="14"/>
  <c r="E851" i="14"/>
  <c r="F851" i="14"/>
  <c r="G851" i="14"/>
  <c r="H851" i="14"/>
  <c r="I851" i="14"/>
  <c r="J851" i="14"/>
  <c r="K851" i="14"/>
  <c r="L851" i="14"/>
  <c r="D851" i="14"/>
  <c r="E847" i="14"/>
  <c r="F847" i="14"/>
  <c r="G847" i="14"/>
  <c r="H847" i="14"/>
  <c r="I847" i="14"/>
  <c r="J847" i="14"/>
  <c r="K847" i="14"/>
  <c r="L847" i="14"/>
  <c r="D847" i="14"/>
  <c r="E843" i="14"/>
  <c r="F843" i="14"/>
  <c r="G843" i="14"/>
  <c r="H843" i="14"/>
  <c r="I843" i="14"/>
  <c r="J843" i="14"/>
  <c r="K843" i="14"/>
  <c r="L843" i="14"/>
  <c r="D843" i="14"/>
  <c r="E842" i="14"/>
  <c r="F842" i="14"/>
  <c r="G842" i="14"/>
  <c r="H842" i="14"/>
  <c r="I842" i="14"/>
  <c r="J842" i="14"/>
  <c r="K842" i="14"/>
  <c r="L842" i="14"/>
  <c r="F857" i="14"/>
  <c r="G857" i="14"/>
  <c r="H857" i="14"/>
  <c r="I857" i="14"/>
  <c r="J857" i="14"/>
  <c r="K857" i="14"/>
  <c r="L857" i="14"/>
  <c r="U857" i="14"/>
  <c r="M144" i="14"/>
  <c r="T144" i="14" s="1"/>
  <c r="V144" i="14" s="1"/>
  <c r="E759" i="14"/>
  <c r="M92" i="14"/>
  <c r="T92" i="14" s="1"/>
  <c r="V92" i="14" s="1"/>
  <c r="M93" i="14"/>
  <c r="T93" i="14" s="1"/>
  <c r="V93" i="14" s="1"/>
  <c r="D857" i="14"/>
  <c r="M774" i="14"/>
  <c r="M560" i="14"/>
  <c r="N332" i="14" l="1"/>
  <c r="O764" i="14"/>
  <c r="P852" i="14"/>
  <c r="N264" i="14"/>
  <c r="O694" i="14"/>
  <c r="Q589" i="14"/>
  <c r="N721" i="14"/>
  <c r="U883" i="14"/>
  <c r="Q495" i="14"/>
  <c r="O806" i="14"/>
  <c r="Q830" i="14"/>
  <c r="P264" i="14"/>
  <c r="O852" i="14"/>
  <c r="O264" i="14"/>
  <c r="S861" i="14"/>
  <c r="S264" i="14"/>
  <c r="S884" i="14" s="1"/>
  <c r="O878" i="14"/>
  <c r="Q264" i="14"/>
  <c r="R264" i="14"/>
  <c r="R884" i="14" s="1"/>
  <c r="P463" i="14"/>
  <c r="S878" i="14"/>
  <c r="P430" i="14"/>
  <c r="R878" i="14"/>
  <c r="N861" i="14"/>
  <c r="N551" i="14"/>
  <c r="P830" i="14"/>
  <c r="O861" i="14"/>
  <c r="O463" i="14"/>
  <c r="Q551" i="14"/>
  <c r="O430" i="14"/>
  <c r="Q430" i="14"/>
  <c r="P551" i="14"/>
  <c r="N430" i="14"/>
  <c r="Q463" i="14"/>
  <c r="O551" i="14"/>
  <c r="Q764" i="14"/>
  <c r="P764" i="14"/>
  <c r="N395" i="14"/>
  <c r="N517" i="14"/>
  <c r="N694" i="14"/>
  <c r="N830" i="14"/>
  <c r="N657" i="14"/>
  <c r="N589" i="14"/>
  <c r="Q657" i="14"/>
  <c r="N878" i="14"/>
  <c r="N764" i="14"/>
  <c r="P861" i="14"/>
  <c r="P878" i="14"/>
  <c r="Q861" i="14"/>
  <c r="Q878" i="14"/>
  <c r="Q862" i="14"/>
  <c r="T142" i="14"/>
  <c r="V142" i="14" s="1"/>
  <c r="T774" i="14"/>
  <c r="V774" i="14" s="1"/>
  <c r="T560" i="14"/>
  <c r="V560" i="14" s="1"/>
  <c r="E864" i="14"/>
  <c r="F864" i="14"/>
  <c r="G864" i="14"/>
  <c r="H864" i="14"/>
  <c r="I864" i="14"/>
  <c r="J864" i="14"/>
  <c r="K864" i="14"/>
  <c r="L864" i="14"/>
  <c r="U864" i="14"/>
  <c r="D864" i="14"/>
  <c r="E871" i="14"/>
  <c r="F871" i="14"/>
  <c r="G871" i="14"/>
  <c r="H871" i="14"/>
  <c r="I871" i="14"/>
  <c r="J871" i="14"/>
  <c r="K871" i="14"/>
  <c r="L871" i="14"/>
  <c r="D871" i="14"/>
  <c r="M758" i="14"/>
  <c r="M235" i="14"/>
  <c r="O884" i="14" l="1"/>
  <c r="Q884" i="14"/>
  <c r="O831" i="14"/>
  <c r="N831" i="14"/>
  <c r="Q831" i="14"/>
  <c r="P831" i="14"/>
  <c r="P884" i="14"/>
  <c r="N884" i="14"/>
  <c r="T235" i="14"/>
  <c r="V235" i="14" s="1"/>
  <c r="T758" i="14"/>
  <c r="V758" i="14" s="1"/>
  <c r="D109" i="14"/>
  <c r="M78" i="14"/>
  <c r="T78" i="14" l="1"/>
  <c r="V78" i="14" s="1"/>
  <c r="U852" i="14"/>
  <c r="E846" i="14"/>
  <c r="F846" i="14"/>
  <c r="G846" i="14"/>
  <c r="H846" i="14"/>
  <c r="I846" i="14"/>
  <c r="J846" i="14"/>
  <c r="K846" i="14"/>
  <c r="L846" i="14"/>
  <c r="U846" i="14"/>
  <c r="D846" i="14"/>
  <c r="E854" i="14"/>
  <c r="F854" i="14"/>
  <c r="G854" i="14"/>
  <c r="H854" i="14"/>
  <c r="I854" i="14"/>
  <c r="J854" i="14"/>
  <c r="K854" i="14"/>
  <c r="L854" i="14"/>
  <c r="U854" i="14"/>
  <c r="D854" i="14"/>
  <c r="D863" i="14" l="1"/>
  <c r="E863" i="14"/>
  <c r="F863" i="14"/>
  <c r="G863" i="14"/>
  <c r="H863" i="14"/>
  <c r="I863" i="14"/>
  <c r="J863" i="14"/>
  <c r="K863" i="14"/>
  <c r="L863" i="14"/>
  <c r="U863" i="14"/>
  <c r="M194" i="14"/>
  <c r="T194" i="14" s="1"/>
  <c r="V194" i="14" s="1"/>
  <c r="D201" i="14"/>
  <c r="E201" i="14"/>
  <c r="F201" i="14"/>
  <c r="G201" i="14"/>
  <c r="H201" i="14"/>
  <c r="I201" i="14"/>
  <c r="J201" i="14"/>
  <c r="K201" i="14"/>
  <c r="L201" i="14"/>
  <c r="U201" i="14"/>
  <c r="M474" i="14" l="1"/>
  <c r="D150" i="14"/>
  <c r="D232" i="14"/>
  <c r="D210" i="14"/>
  <c r="D192" i="14"/>
  <c r="D172" i="14"/>
  <c r="D126" i="14"/>
  <c r="D112" i="14"/>
  <c r="D243" i="14"/>
  <c r="D229" i="14"/>
  <c r="D225" i="14"/>
  <c r="D186" i="14"/>
  <c r="D165" i="14"/>
  <c r="D139" i="14"/>
  <c r="D118" i="14"/>
  <c r="D637" i="14"/>
  <c r="D649" i="14"/>
  <c r="D654" i="14"/>
  <c r="D738" i="14"/>
  <c r="D731" i="14"/>
  <c r="D725" i="14"/>
  <c r="D755" i="14"/>
  <c r="D752" i="14"/>
  <c r="D761" i="14"/>
  <c r="D382" i="14"/>
  <c r="D369" i="14"/>
  <c r="D349" i="14"/>
  <c r="D340" i="14"/>
  <c r="D335" i="14"/>
  <c r="D379" i="14"/>
  <c r="D363" i="14"/>
  <c r="D777" i="14"/>
  <c r="D793" i="14"/>
  <c r="D790" i="14"/>
  <c r="D803" i="14"/>
  <c r="D310" i="14"/>
  <c r="D323" i="14"/>
  <c r="D320" i="14"/>
  <c r="D329" i="14"/>
  <c r="D524" i="14"/>
  <c r="D540" i="14"/>
  <c r="D537" i="14"/>
  <c r="D546" i="14"/>
  <c r="D813" i="14"/>
  <c r="D824" i="14"/>
  <c r="D555" i="14"/>
  <c r="D563" i="14"/>
  <c r="D579" i="14"/>
  <c r="D576" i="14"/>
  <c r="D584" i="14"/>
  <c r="D427" i="14"/>
  <c r="D424" i="14"/>
  <c r="D411" i="14"/>
  <c r="D405" i="14"/>
  <c r="D399" i="14"/>
  <c r="D691" i="14"/>
  <c r="D685" i="14"/>
  <c r="D674" i="14"/>
  <c r="D667" i="14"/>
  <c r="D661" i="14"/>
  <c r="D514" i="14"/>
  <c r="D502" i="14"/>
  <c r="D460" i="14"/>
  <c r="D447" i="14"/>
  <c r="D440" i="14"/>
  <c r="D434" i="14"/>
  <c r="D293" i="14"/>
  <c r="D268" i="14"/>
  <c r="D274" i="14"/>
  <c r="D281" i="14"/>
  <c r="D718" i="14"/>
  <c r="D707" i="14"/>
  <c r="D705" i="14"/>
  <c r="D700" i="14"/>
  <c r="D490" i="14"/>
  <c r="D479" i="14"/>
  <c r="D467" i="14"/>
  <c r="D472" i="14"/>
  <c r="D620" i="14"/>
  <c r="D607" i="14"/>
  <c r="D593" i="14"/>
  <c r="D599" i="14"/>
  <c r="J109" i="14"/>
  <c r="K109" i="14"/>
  <c r="J112" i="14"/>
  <c r="K112" i="14"/>
  <c r="J118" i="14"/>
  <c r="K118" i="14"/>
  <c r="J126" i="14"/>
  <c r="K126" i="14"/>
  <c r="J139" i="14"/>
  <c r="K139" i="14"/>
  <c r="J150" i="14"/>
  <c r="K150" i="14"/>
  <c r="J165" i="14"/>
  <c r="K165" i="14"/>
  <c r="J172" i="14"/>
  <c r="K172" i="14"/>
  <c r="J186" i="14"/>
  <c r="K186" i="14"/>
  <c r="J192" i="14"/>
  <c r="K192" i="14"/>
  <c r="J210" i="14"/>
  <c r="K210" i="14"/>
  <c r="J225" i="14"/>
  <c r="K225" i="14"/>
  <c r="J229" i="14"/>
  <c r="K229" i="14"/>
  <c r="J232" i="14"/>
  <c r="K232" i="14"/>
  <c r="J243" i="14"/>
  <c r="K243" i="14"/>
  <c r="J268" i="14"/>
  <c r="K268" i="14"/>
  <c r="J274" i="14"/>
  <c r="K274" i="14"/>
  <c r="J281" i="14"/>
  <c r="K281" i="14"/>
  <c r="J293" i="14"/>
  <c r="K293" i="14"/>
  <c r="J300" i="14"/>
  <c r="K300" i="14"/>
  <c r="J304" i="14"/>
  <c r="K304" i="14"/>
  <c r="J310" i="14"/>
  <c r="K310" i="14"/>
  <c r="J320" i="14"/>
  <c r="K320" i="14"/>
  <c r="J323" i="14"/>
  <c r="K323" i="14"/>
  <c r="J329" i="14"/>
  <c r="K329" i="14"/>
  <c r="J335" i="14"/>
  <c r="K335" i="14"/>
  <c r="J340" i="14"/>
  <c r="K340" i="14"/>
  <c r="J349" i="14"/>
  <c r="K349" i="14"/>
  <c r="J363" i="14"/>
  <c r="K363" i="14"/>
  <c r="J369" i="14"/>
  <c r="K369" i="14"/>
  <c r="J379" i="14"/>
  <c r="K379" i="14"/>
  <c r="J382" i="14"/>
  <c r="K382" i="14"/>
  <c r="J388" i="14"/>
  <c r="K388" i="14"/>
  <c r="J399" i="14"/>
  <c r="K399" i="14"/>
  <c r="J405" i="14"/>
  <c r="K405" i="14"/>
  <c r="J411" i="14"/>
  <c r="K411" i="14"/>
  <c r="J424" i="14"/>
  <c r="K424" i="14"/>
  <c r="J427" i="14"/>
  <c r="K427" i="14"/>
  <c r="J434" i="14"/>
  <c r="K434" i="14"/>
  <c r="J440" i="14"/>
  <c r="K440" i="14"/>
  <c r="J447" i="14"/>
  <c r="K447" i="14"/>
  <c r="J460" i="14"/>
  <c r="K460" i="14"/>
  <c r="J467" i="14"/>
  <c r="K467" i="14"/>
  <c r="J472" i="14"/>
  <c r="K472" i="14"/>
  <c r="J479" i="14"/>
  <c r="K479" i="14"/>
  <c r="J490" i="14"/>
  <c r="K490" i="14"/>
  <c r="J502" i="14"/>
  <c r="K502" i="14"/>
  <c r="J514" i="14"/>
  <c r="K514" i="14"/>
  <c r="J524" i="14"/>
  <c r="K524" i="14"/>
  <c r="J537" i="14"/>
  <c r="K537" i="14"/>
  <c r="J540" i="14"/>
  <c r="K540" i="14"/>
  <c r="J546" i="14"/>
  <c r="K546" i="14"/>
  <c r="J555" i="14"/>
  <c r="K555" i="14"/>
  <c r="J563" i="14"/>
  <c r="K563" i="14"/>
  <c r="J576" i="14"/>
  <c r="K576" i="14"/>
  <c r="J579" i="14"/>
  <c r="K579" i="14"/>
  <c r="J584" i="14"/>
  <c r="K584" i="14"/>
  <c r="J593" i="14"/>
  <c r="K593" i="14"/>
  <c r="J599" i="14"/>
  <c r="K599" i="14"/>
  <c r="J607" i="14"/>
  <c r="K607" i="14"/>
  <c r="J620" i="14"/>
  <c r="K620" i="14"/>
  <c r="J625" i="14"/>
  <c r="K625" i="14"/>
  <c r="K852" i="14" s="1"/>
  <c r="J629" i="14"/>
  <c r="K629" i="14"/>
  <c r="J637" i="14"/>
  <c r="K637" i="14"/>
  <c r="J649" i="14"/>
  <c r="K649" i="14"/>
  <c r="J654" i="14"/>
  <c r="K654" i="14"/>
  <c r="J661" i="14"/>
  <c r="K661" i="14"/>
  <c r="J667" i="14"/>
  <c r="K667" i="14"/>
  <c r="J674" i="14"/>
  <c r="K674" i="14"/>
  <c r="J685" i="14"/>
  <c r="K685" i="14"/>
  <c r="J691" i="14"/>
  <c r="K691" i="14"/>
  <c r="J700" i="14"/>
  <c r="K700" i="14"/>
  <c r="J705" i="14"/>
  <c r="K705" i="14"/>
  <c r="J707" i="14"/>
  <c r="K707" i="14"/>
  <c r="J718" i="14"/>
  <c r="K718" i="14"/>
  <c r="J725" i="14"/>
  <c r="K725" i="14"/>
  <c r="J731" i="14"/>
  <c r="K731" i="14"/>
  <c r="J738" i="14"/>
  <c r="K738" i="14"/>
  <c r="J752" i="14"/>
  <c r="K752" i="14"/>
  <c r="J755" i="14"/>
  <c r="K755" i="14"/>
  <c r="J761" i="14"/>
  <c r="K761" i="14"/>
  <c r="J769" i="14"/>
  <c r="K769" i="14"/>
  <c r="J777" i="14"/>
  <c r="K777" i="14"/>
  <c r="J790" i="14"/>
  <c r="K790" i="14"/>
  <c r="J793" i="14"/>
  <c r="K793" i="14"/>
  <c r="J803" i="14"/>
  <c r="K803" i="14"/>
  <c r="J813" i="14"/>
  <c r="K813" i="14"/>
  <c r="J824" i="14"/>
  <c r="K824" i="14"/>
  <c r="J838" i="14"/>
  <c r="K838" i="14"/>
  <c r="J839" i="14"/>
  <c r="K839" i="14"/>
  <c r="J840" i="14"/>
  <c r="K840" i="14"/>
  <c r="J841" i="14"/>
  <c r="K841" i="14"/>
  <c r="J844" i="14"/>
  <c r="K844" i="14"/>
  <c r="J845" i="14"/>
  <c r="K845" i="14"/>
  <c r="J848" i="14"/>
  <c r="K848" i="14"/>
  <c r="J849" i="14"/>
  <c r="K849" i="14"/>
  <c r="J850" i="14"/>
  <c r="K850" i="14"/>
  <c r="J853" i="14"/>
  <c r="K853" i="14"/>
  <c r="J855" i="14"/>
  <c r="K855" i="14"/>
  <c r="J856" i="14"/>
  <c r="K856" i="14"/>
  <c r="J858" i="14"/>
  <c r="K858" i="14"/>
  <c r="J859" i="14"/>
  <c r="K859" i="14"/>
  <c r="J860" i="14"/>
  <c r="K860" i="14"/>
  <c r="J862" i="14"/>
  <c r="K862" i="14"/>
  <c r="J865" i="14"/>
  <c r="K865" i="14"/>
  <c r="J866" i="14"/>
  <c r="K866" i="14"/>
  <c r="J867" i="14"/>
  <c r="K867" i="14"/>
  <c r="J868" i="14"/>
  <c r="K868" i="14"/>
  <c r="J869" i="14"/>
  <c r="K869" i="14"/>
  <c r="J870" i="14"/>
  <c r="K870" i="14"/>
  <c r="J872" i="14"/>
  <c r="K872" i="14"/>
  <c r="J873" i="14"/>
  <c r="K873" i="14"/>
  <c r="J874" i="14"/>
  <c r="K874" i="14"/>
  <c r="J875" i="14"/>
  <c r="K875" i="14"/>
  <c r="J876" i="14"/>
  <c r="K876" i="14"/>
  <c r="J877" i="14"/>
  <c r="K877" i="14"/>
  <c r="J879" i="14"/>
  <c r="K879" i="14"/>
  <c r="J880" i="14"/>
  <c r="K880" i="14"/>
  <c r="J881" i="14"/>
  <c r="K881" i="14"/>
  <c r="J882" i="14"/>
  <c r="K882" i="14"/>
  <c r="J883" i="14"/>
  <c r="K883" i="14"/>
  <c r="D838" i="14"/>
  <c r="D839" i="14"/>
  <c r="D840" i="14"/>
  <c r="D841" i="14"/>
  <c r="D842" i="14"/>
  <c r="D844" i="14"/>
  <c r="D845" i="14"/>
  <c r="D848" i="14"/>
  <c r="D849" i="14"/>
  <c r="D850" i="14"/>
  <c r="D852" i="14"/>
  <c r="D853" i="14"/>
  <c r="D855" i="14"/>
  <c r="D856" i="14"/>
  <c r="D858" i="14"/>
  <c r="D859" i="14"/>
  <c r="D860" i="14"/>
  <c r="D862" i="14"/>
  <c r="D865" i="14"/>
  <c r="D866" i="14"/>
  <c r="D867" i="14"/>
  <c r="D868" i="14"/>
  <c r="D869" i="14"/>
  <c r="D870" i="14"/>
  <c r="D872" i="14"/>
  <c r="D873" i="14"/>
  <c r="D874" i="14"/>
  <c r="D875" i="14"/>
  <c r="D876" i="14"/>
  <c r="D877" i="14"/>
  <c r="D879" i="14"/>
  <c r="D880" i="14"/>
  <c r="D881" i="14"/>
  <c r="D882" i="14"/>
  <c r="D883" i="14"/>
  <c r="T474" i="14" l="1"/>
  <c r="V474" i="14" s="1"/>
  <c r="D878" i="14"/>
  <c r="K861" i="14"/>
  <c r="J861" i="14"/>
  <c r="D861" i="14"/>
  <c r="J264" i="14"/>
  <c r="K551" i="14"/>
  <c r="K264" i="14"/>
  <c r="K623" i="14"/>
  <c r="J878" i="14"/>
  <c r="J517" i="14"/>
  <c r="K721" i="14"/>
  <c r="K878" i="14"/>
  <c r="K694" i="14"/>
  <c r="K657" i="14"/>
  <c r="K517" i="14"/>
  <c r="J623" i="14"/>
  <c r="J694" i="14"/>
  <c r="J657" i="14"/>
  <c r="J852" i="14"/>
  <c r="J721" i="14"/>
  <c r="J551" i="14"/>
  <c r="J764" i="14"/>
  <c r="J332" i="14"/>
  <c r="K764" i="14"/>
  <c r="K332" i="14"/>
  <c r="J806" i="14"/>
  <c r="J463" i="14"/>
  <c r="K806" i="14"/>
  <c r="K463" i="14"/>
  <c r="K830" i="14"/>
  <c r="K589" i="14"/>
  <c r="K495" i="14"/>
  <c r="K395" i="14"/>
  <c r="J430" i="14"/>
  <c r="J296" i="14"/>
  <c r="K430" i="14"/>
  <c r="K296" i="14"/>
  <c r="J830" i="14"/>
  <c r="J589" i="14"/>
  <c r="J495" i="14"/>
  <c r="J395" i="14"/>
  <c r="D264" i="14"/>
  <c r="D764" i="14"/>
  <c r="D395" i="14"/>
  <c r="D806" i="14"/>
  <c r="D332" i="14"/>
  <c r="D551" i="14"/>
  <c r="D830" i="14"/>
  <c r="D589" i="14"/>
  <c r="D430" i="14"/>
  <c r="D694" i="14"/>
  <c r="D517" i="14"/>
  <c r="D463" i="14"/>
  <c r="D296" i="14"/>
  <c r="D721" i="14"/>
  <c r="D495" i="14"/>
  <c r="D623" i="14"/>
  <c r="J831" i="14" l="1"/>
  <c r="K831" i="14"/>
  <c r="K884" i="14"/>
  <c r="J884" i="14"/>
  <c r="E604" i="14" l="1"/>
  <c r="E857" i="14" s="1"/>
  <c r="U862" i="14" l="1"/>
  <c r="M505" i="14" l="1"/>
  <c r="T505" i="14" s="1"/>
  <c r="V505" i="14" s="1"/>
  <c r="L456" i="14" l="1"/>
  <c r="U824" i="14" l="1"/>
  <c r="M143" i="14" l="1"/>
  <c r="T143" i="14" s="1"/>
  <c r="V143" i="14" s="1"/>
  <c r="M818" i="14" l="1"/>
  <c r="M570" i="14"/>
  <c r="T570" i="14" l="1"/>
  <c r="V570" i="14" s="1"/>
  <c r="T818" i="14"/>
  <c r="L862" i="14"/>
  <c r="L838" i="14"/>
  <c r="L839" i="14"/>
  <c r="L840" i="14"/>
  <c r="L841" i="14"/>
  <c r="L844" i="14"/>
  <c r="L845" i="14"/>
  <c r="L848" i="14"/>
  <c r="L849" i="14"/>
  <c r="L850" i="14"/>
  <c r="L853" i="14"/>
  <c r="L855" i="14"/>
  <c r="L856" i="14"/>
  <c r="L858" i="14"/>
  <c r="L859" i="14"/>
  <c r="L860" i="14"/>
  <c r="L879" i="14"/>
  <c r="L880" i="14"/>
  <c r="L881" i="14"/>
  <c r="L882" i="14"/>
  <c r="L883" i="14"/>
  <c r="L872" i="14"/>
  <c r="L873" i="14"/>
  <c r="L874" i="14"/>
  <c r="L875" i="14"/>
  <c r="L876" i="14"/>
  <c r="L877" i="14"/>
  <c r="L865" i="14"/>
  <c r="L866" i="14"/>
  <c r="L867" i="14"/>
  <c r="L868" i="14"/>
  <c r="L869" i="14"/>
  <c r="L870" i="14"/>
  <c r="I870" i="14"/>
  <c r="H870" i="14"/>
  <c r="G870" i="14"/>
  <c r="F870" i="14"/>
  <c r="E870" i="14"/>
  <c r="U870" i="14"/>
  <c r="U858" i="14"/>
  <c r="E858" i="14"/>
  <c r="F858" i="14"/>
  <c r="G858" i="14"/>
  <c r="H858" i="14"/>
  <c r="I858" i="14"/>
  <c r="M612" i="14"/>
  <c r="T612" i="14" s="1"/>
  <c r="V612" i="14" s="1"/>
  <c r="M580" i="14"/>
  <c r="T580" i="14" s="1"/>
  <c r="V580" i="14" s="1"/>
  <c r="M532" i="14"/>
  <c r="T532" i="14" s="1"/>
  <c r="V532" i="14" s="1"/>
  <c r="M512" i="14"/>
  <c r="T512" i="14" s="1"/>
  <c r="V512" i="14" s="1"/>
  <c r="M510" i="14"/>
  <c r="T510" i="14" s="1"/>
  <c r="V510" i="14" s="1"/>
  <c r="M506" i="14"/>
  <c r="T506" i="14" s="1"/>
  <c r="V506" i="14" s="1"/>
  <c r="M244" i="14"/>
  <c r="T244" i="14" s="1"/>
  <c r="V244" i="14" s="1"/>
  <c r="L824" i="14"/>
  <c r="L813" i="14"/>
  <c r="L803" i="14"/>
  <c r="L793" i="14"/>
  <c r="L790" i="14"/>
  <c r="L777" i="14"/>
  <c r="L769" i="14"/>
  <c r="L761" i="14"/>
  <c r="L755" i="14"/>
  <c r="L752" i="14"/>
  <c r="L738" i="14"/>
  <c r="L731" i="14"/>
  <c r="L725" i="14"/>
  <c r="L718" i="14"/>
  <c r="L707" i="14"/>
  <c r="L705" i="14"/>
  <c r="L700" i="14"/>
  <c r="L691" i="14"/>
  <c r="L685" i="14"/>
  <c r="L674" i="14"/>
  <c r="L667" i="14"/>
  <c r="L661" i="14"/>
  <c r="L654" i="14"/>
  <c r="L649" i="14"/>
  <c r="L637" i="14"/>
  <c r="L629" i="14"/>
  <c r="L625" i="14"/>
  <c r="L620" i="14"/>
  <c r="L607" i="14"/>
  <c r="L599" i="14"/>
  <c r="L593" i="14"/>
  <c r="L584" i="14"/>
  <c r="L579" i="14"/>
  <c r="L576" i="14"/>
  <c r="L563" i="14"/>
  <c r="L555" i="14"/>
  <c r="L546" i="14"/>
  <c r="L540" i="14"/>
  <c r="L537" i="14"/>
  <c r="L524" i="14"/>
  <c r="L514" i="14"/>
  <c r="L502" i="14"/>
  <c r="L490" i="14"/>
  <c r="L479" i="14"/>
  <c r="L472" i="14"/>
  <c r="L467" i="14"/>
  <c r="L460" i="14"/>
  <c r="L447" i="14"/>
  <c r="L440" i="14"/>
  <c r="L434" i="14"/>
  <c r="L427" i="14"/>
  <c r="L424" i="14"/>
  <c r="L411" i="14"/>
  <c r="L405" i="14"/>
  <c r="L399" i="14"/>
  <c r="L388" i="14"/>
  <c r="L382" i="14"/>
  <c r="L379" i="14"/>
  <c r="L369" i="14"/>
  <c r="L363" i="14"/>
  <c r="L349" i="14"/>
  <c r="L340" i="14"/>
  <c r="L335" i="14"/>
  <c r="L329" i="14"/>
  <c r="L323" i="14"/>
  <c r="L320" i="14"/>
  <c r="L310" i="14"/>
  <c r="L304" i="14"/>
  <c r="L300" i="14"/>
  <c r="L293" i="14"/>
  <c r="L281" i="14"/>
  <c r="L274" i="14"/>
  <c r="L268" i="14"/>
  <c r="L243" i="14"/>
  <c r="L232" i="14"/>
  <c r="L229" i="14"/>
  <c r="L225" i="14"/>
  <c r="L210" i="14"/>
  <c r="L192" i="14"/>
  <c r="L186" i="14"/>
  <c r="L172" i="14"/>
  <c r="L165" i="14"/>
  <c r="L150" i="14"/>
  <c r="L139" i="14"/>
  <c r="L126" i="14"/>
  <c r="L118" i="14"/>
  <c r="L112" i="14"/>
  <c r="M622" i="14"/>
  <c r="T622" i="14" s="1"/>
  <c r="V622" i="14" s="1"/>
  <c r="M245" i="14"/>
  <c r="T245" i="14" s="1"/>
  <c r="V245" i="14" s="1"/>
  <c r="M247" i="14"/>
  <c r="T247" i="14" s="1"/>
  <c r="V247" i="14" s="1"/>
  <c r="M249" i="14"/>
  <c r="T249" i="14" s="1"/>
  <c r="V249" i="14" s="1"/>
  <c r="M251" i="14"/>
  <c r="T251" i="14" s="1"/>
  <c r="V251" i="14" s="1"/>
  <c r="M252" i="14"/>
  <c r="T252" i="14" s="1"/>
  <c r="V252" i="14" s="1"/>
  <c r="M253" i="14"/>
  <c r="T253" i="14" s="1"/>
  <c r="V253" i="14" s="1"/>
  <c r="M255" i="14"/>
  <c r="T255" i="14" s="1"/>
  <c r="V255" i="14" s="1"/>
  <c r="M263" i="14"/>
  <c r="T263" i="14" s="1"/>
  <c r="V263" i="14" s="1"/>
  <c r="M294" i="14"/>
  <c r="T294" i="14" s="1"/>
  <c r="V294" i="14" s="1"/>
  <c r="M295" i="14"/>
  <c r="T295" i="14" s="1"/>
  <c r="V295" i="14" s="1"/>
  <c r="M330" i="14"/>
  <c r="T330" i="14" s="1"/>
  <c r="V330" i="14" s="1"/>
  <c r="M331" i="14"/>
  <c r="T331" i="14" s="1"/>
  <c r="V331" i="14" s="1"/>
  <c r="M390" i="14"/>
  <c r="T390" i="14" s="1"/>
  <c r="V390" i="14" s="1"/>
  <c r="M391" i="14"/>
  <c r="T391" i="14" s="1"/>
  <c r="V391" i="14" s="1"/>
  <c r="M392" i="14"/>
  <c r="T392" i="14" s="1"/>
  <c r="V392" i="14" s="1"/>
  <c r="M394" i="14"/>
  <c r="T394" i="14" s="1"/>
  <c r="V394" i="14" s="1"/>
  <c r="M428" i="14"/>
  <c r="T428" i="14" s="1"/>
  <c r="V428" i="14" s="1"/>
  <c r="M429" i="14"/>
  <c r="T429" i="14" s="1"/>
  <c r="V429" i="14" s="1"/>
  <c r="M461" i="14"/>
  <c r="T461" i="14" s="1"/>
  <c r="V461" i="14" s="1"/>
  <c r="M462" i="14"/>
  <c r="T462" i="14" s="1"/>
  <c r="V462" i="14" s="1"/>
  <c r="M491" i="14"/>
  <c r="T491" i="14" s="1"/>
  <c r="V491" i="14" s="1"/>
  <c r="M492" i="14"/>
  <c r="T492" i="14" s="1"/>
  <c r="V492" i="14" s="1"/>
  <c r="M494" i="14"/>
  <c r="T494" i="14" s="1"/>
  <c r="V494" i="14" s="1"/>
  <c r="M515" i="14"/>
  <c r="T515" i="14" s="1"/>
  <c r="V515" i="14" s="1"/>
  <c r="M547" i="14"/>
  <c r="T547" i="14" s="1"/>
  <c r="V547" i="14" s="1"/>
  <c r="M548" i="14"/>
  <c r="T548" i="14" s="1"/>
  <c r="V548" i="14" s="1"/>
  <c r="M588" i="14"/>
  <c r="T588" i="14" s="1"/>
  <c r="V588" i="14" s="1"/>
  <c r="M621" i="14"/>
  <c r="T621" i="14" s="1"/>
  <c r="V621" i="14" s="1"/>
  <c r="M656" i="14"/>
  <c r="T656" i="14" s="1"/>
  <c r="V656" i="14" s="1"/>
  <c r="M693" i="14"/>
  <c r="T693" i="14" s="1"/>
  <c r="V693" i="14" s="1"/>
  <c r="M805" i="14"/>
  <c r="T805" i="14" s="1"/>
  <c r="V805" i="14" s="1"/>
  <c r="M800" i="14"/>
  <c r="T800" i="14" s="1"/>
  <c r="M787" i="14"/>
  <c r="T787" i="14" s="1"/>
  <c r="V787" i="14" s="1"/>
  <c r="M680" i="14"/>
  <c r="T680" i="14" s="1"/>
  <c r="V680" i="14" s="1"/>
  <c r="M646" i="14"/>
  <c r="T646" i="14" s="1"/>
  <c r="V646" i="14" s="1"/>
  <c r="M610" i="14"/>
  <c r="T610" i="14" s="1"/>
  <c r="V610" i="14" s="1"/>
  <c r="M482" i="14"/>
  <c r="T482" i="14" s="1"/>
  <c r="V482" i="14" s="1"/>
  <c r="M315" i="14"/>
  <c r="T315" i="14" s="1"/>
  <c r="V315" i="14" s="1"/>
  <c r="M108" i="14"/>
  <c r="T108" i="14" s="1"/>
  <c r="V108" i="14" s="1"/>
  <c r="M107" i="14"/>
  <c r="T107" i="14" s="1"/>
  <c r="V107" i="14" s="1"/>
  <c r="M104" i="14"/>
  <c r="T104" i="14" s="1"/>
  <c r="V104" i="14" s="1"/>
  <c r="M103" i="14"/>
  <c r="T103" i="14" s="1"/>
  <c r="V103" i="14" s="1"/>
  <c r="M102" i="14"/>
  <c r="T102" i="14" s="1"/>
  <c r="M101" i="14"/>
  <c r="T101" i="14" s="1"/>
  <c r="V101" i="14" s="1"/>
  <c r="M100" i="14"/>
  <c r="T100" i="14" s="1"/>
  <c r="V100" i="14" s="1"/>
  <c r="M83" i="14"/>
  <c r="T83" i="14" s="1"/>
  <c r="V83" i="14" s="1"/>
  <c r="M77" i="14"/>
  <c r="T77" i="14" s="1"/>
  <c r="V77" i="14" s="1"/>
  <c r="M73" i="14"/>
  <c r="T73" i="14" s="1"/>
  <c r="V73" i="14" s="1"/>
  <c r="M58" i="14"/>
  <c r="T58" i="14" s="1"/>
  <c r="V58" i="14" s="1"/>
  <c r="M35" i="14"/>
  <c r="T35" i="14" s="1"/>
  <c r="V35" i="14" s="1"/>
  <c r="M316" i="14"/>
  <c r="T316" i="14" s="1"/>
  <c r="V316" i="14" s="1"/>
  <c r="M317" i="14"/>
  <c r="T317" i="14" s="1"/>
  <c r="V317" i="14" s="1"/>
  <c r="M318" i="14"/>
  <c r="T318" i="14" s="1"/>
  <c r="V318" i="14" s="1"/>
  <c r="M319" i="14"/>
  <c r="T319" i="14" s="1"/>
  <c r="V319" i="14" s="1"/>
  <c r="M312" i="14"/>
  <c r="T312" i="14" s="1"/>
  <c r="V312" i="14" s="1"/>
  <c r="M313" i="14"/>
  <c r="T313" i="14" s="1"/>
  <c r="V313" i="14" s="1"/>
  <c r="M314" i="14"/>
  <c r="T314" i="14" s="1"/>
  <c r="V314" i="14" s="1"/>
  <c r="M76" i="14"/>
  <c r="T76" i="14" s="1"/>
  <c r="V76" i="14" s="1"/>
  <c r="M6" i="14"/>
  <c r="T6" i="14" s="1"/>
  <c r="M7" i="14"/>
  <c r="T7" i="14" s="1"/>
  <c r="V7" i="14" s="1"/>
  <c r="M8" i="14"/>
  <c r="T8" i="14" s="1"/>
  <c r="M9" i="14"/>
  <c r="T9" i="14" s="1"/>
  <c r="V9" i="14" s="1"/>
  <c r="M10" i="14"/>
  <c r="T10" i="14" s="1"/>
  <c r="M11" i="14"/>
  <c r="T11" i="14" s="1"/>
  <c r="V11" i="14" s="1"/>
  <c r="M12" i="14"/>
  <c r="T12" i="14" s="1"/>
  <c r="V12" i="14" s="1"/>
  <c r="M13" i="14"/>
  <c r="T13" i="14" s="1"/>
  <c r="V13" i="14" s="1"/>
  <c r="M14" i="14"/>
  <c r="T14" i="14" s="1"/>
  <c r="V14" i="14" s="1"/>
  <c r="M15" i="14"/>
  <c r="T15" i="14" s="1"/>
  <c r="V15" i="14" s="1"/>
  <c r="M16" i="14"/>
  <c r="T16" i="14" s="1"/>
  <c r="V16" i="14" s="1"/>
  <c r="M17" i="14"/>
  <c r="T17" i="14" s="1"/>
  <c r="M18" i="14"/>
  <c r="T18" i="14" s="1"/>
  <c r="V18" i="14" s="1"/>
  <c r="M19" i="14"/>
  <c r="T19" i="14" s="1"/>
  <c r="V19" i="14" s="1"/>
  <c r="M20" i="14"/>
  <c r="T20" i="14" s="1"/>
  <c r="V20" i="14" s="1"/>
  <c r="M21" i="14"/>
  <c r="T21" i="14" s="1"/>
  <c r="M22" i="14"/>
  <c r="M23" i="14"/>
  <c r="T23" i="14" s="1"/>
  <c r="V23" i="14" s="1"/>
  <c r="M24" i="14"/>
  <c r="T24" i="14" s="1"/>
  <c r="V24" i="14" s="1"/>
  <c r="M25" i="14"/>
  <c r="T25" i="14" s="1"/>
  <c r="V25" i="14" s="1"/>
  <c r="M26" i="14"/>
  <c r="T26" i="14" s="1"/>
  <c r="V26" i="14" s="1"/>
  <c r="M27" i="14"/>
  <c r="T27" i="14" s="1"/>
  <c r="V27" i="14" s="1"/>
  <c r="M28" i="14"/>
  <c r="T28" i="14" s="1"/>
  <c r="V28" i="14" s="1"/>
  <c r="M29" i="14"/>
  <c r="T29" i="14" s="1"/>
  <c r="V29" i="14" s="1"/>
  <c r="M30" i="14"/>
  <c r="T30" i="14" s="1"/>
  <c r="V30" i="14" s="1"/>
  <c r="M31" i="14"/>
  <c r="T31" i="14" s="1"/>
  <c r="V31" i="14" s="1"/>
  <c r="M32" i="14"/>
  <c r="T32" i="14" s="1"/>
  <c r="V32" i="14" s="1"/>
  <c r="M36" i="14"/>
  <c r="T36" i="14" s="1"/>
  <c r="V36" i="14" s="1"/>
  <c r="M37" i="14"/>
  <c r="T37" i="14" s="1"/>
  <c r="V37" i="14" s="1"/>
  <c r="M38" i="14"/>
  <c r="T38" i="14" s="1"/>
  <c r="V38" i="14" s="1"/>
  <c r="M39" i="14"/>
  <c r="T39" i="14" s="1"/>
  <c r="V39" i="14" s="1"/>
  <c r="M40" i="14"/>
  <c r="T40" i="14" s="1"/>
  <c r="V40" i="14" s="1"/>
  <c r="M41" i="14"/>
  <c r="T41" i="14" s="1"/>
  <c r="V41" i="14" s="1"/>
  <c r="M42" i="14"/>
  <c r="T42" i="14" s="1"/>
  <c r="V42" i="14" s="1"/>
  <c r="M43" i="14"/>
  <c r="T43" i="14" s="1"/>
  <c r="V43" i="14" s="1"/>
  <c r="M44" i="14"/>
  <c r="T44" i="14" s="1"/>
  <c r="V44" i="14" s="1"/>
  <c r="M45" i="14"/>
  <c r="T45" i="14" s="1"/>
  <c r="V45" i="14" s="1"/>
  <c r="M46" i="14"/>
  <c r="M47" i="14"/>
  <c r="T47" i="14" s="1"/>
  <c r="V47" i="14" s="1"/>
  <c r="M48" i="14"/>
  <c r="T48" i="14" s="1"/>
  <c r="V48" i="14" s="1"/>
  <c r="M49" i="14"/>
  <c r="T49" i="14" s="1"/>
  <c r="V49" i="14" s="1"/>
  <c r="M50" i="14"/>
  <c r="T50" i="14" s="1"/>
  <c r="V50" i="14" s="1"/>
  <c r="M51" i="14"/>
  <c r="T51" i="14" s="1"/>
  <c r="V51" i="14" s="1"/>
  <c r="M52" i="14"/>
  <c r="T52" i="14" s="1"/>
  <c r="V52" i="14" s="1"/>
  <c r="M53" i="14"/>
  <c r="T53" i="14" s="1"/>
  <c r="V53" i="14" s="1"/>
  <c r="M54" i="14"/>
  <c r="T54" i="14" s="1"/>
  <c r="V54" i="14" s="1"/>
  <c r="M55" i="14"/>
  <c r="T55" i="14" s="1"/>
  <c r="V55" i="14" s="1"/>
  <c r="M56" i="14"/>
  <c r="T56" i="14" s="1"/>
  <c r="V56" i="14" s="1"/>
  <c r="M57" i="14"/>
  <c r="T57" i="14" s="1"/>
  <c r="V57" i="14" s="1"/>
  <c r="M59" i="14"/>
  <c r="T59" i="14" s="1"/>
  <c r="V59" i="14" s="1"/>
  <c r="M60" i="14"/>
  <c r="T60" i="14" s="1"/>
  <c r="V60" i="14" s="1"/>
  <c r="M61" i="14"/>
  <c r="T61" i="14" s="1"/>
  <c r="V61" i="14" s="1"/>
  <c r="M62" i="14"/>
  <c r="T62" i="14" s="1"/>
  <c r="V62" i="14" s="1"/>
  <c r="M63" i="14"/>
  <c r="T63" i="14" s="1"/>
  <c r="V63" i="14" s="1"/>
  <c r="M64" i="14"/>
  <c r="T64" i="14" s="1"/>
  <c r="V64" i="14" s="1"/>
  <c r="M65" i="14"/>
  <c r="T65" i="14" s="1"/>
  <c r="V65" i="14" s="1"/>
  <c r="M66" i="14"/>
  <c r="T66" i="14" s="1"/>
  <c r="V66" i="14" s="1"/>
  <c r="M67" i="14"/>
  <c r="T67" i="14" s="1"/>
  <c r="V67" i="14" s="1"/>
  <c r="M68" i="14"/>
  <c r="T68" i="14" s="1"/>
  <c r="V68" i="14" s="1"/>
  <c r="M69" i="14"/>
  <c r="T69" i="14" s="1"/>
  <c r="V69" i="14" s="1"/>
  <c r="M70" i="14"/>
  <c r="T70" i="14" s="1"/>
  <c r="V70" i="14" s="1"/>
  <c r="M71" i="14"/>
  <c r="T71" i="14" s="1"/>
  <c r="V71" i="14" s="1"/>
  <c r="M72" i="14"/>
  <c r="T72" i="14" s="1"/>
  <c r="V72" i="14" s="1"/>
  <c r="M74" i="14"/>
  <c r="T74" i="14" s="1"/>
  <c r="V74" i="14" s="1"/>
  <c r="M75" i="14"/>
  <c r="T75" i="14" s="1"/>
  <c r="V75" i="14" s="1"/>
  <c r="M79" i="14"/>
  <c r="T79" i="14" s="1"/>
  <c r="V79" i="14" s="1"/>
  <c r="M80" i="14"/>
  <c r="T80" i="14" s="1"/>
  <c r="V80" i="14" s="1"/>
  <c r="M82" i="14"/>
  <c r="T82" i="14" s="1"/>
  <c r="V82" i="14" s="1"/>
  <c r="M84" i="14"/>
  <c r="T84" i="14" s="1"/>
  <c r="V84" i="14" s="1"/>
  <c r="M85" i="14"/>
  <c r="T85" i="14" s="1"/>
  <c r="V85" i="14" s="1"/>
  <c r="M86" i="14"/>
  <c r="T86" i="14" s="1"/>
  <c r="V86" i="14" s="1"/>
  <c r="M87" i="14"/>
  <c r="T87" i="14" s="1"/>
  <c r="V87" i="14" s="1"/>
  <c r="M88" i="14"/>
  <c r="T88" i="14" s="1"/>
  <c r="V88" i="14" s="1"/>
  <c r="M89" i="14"/>
  <c r="T89" i="14" s="1"/>
  <c r="V89" i="14" s="1"/>
  <c r="M90" i="14"/>
  <c r="T90" i="14" s="1"/>
  <c r="V90" i="14" s="1"/>
  <c r="M91" i="14"/>
  <c r="T91" i="14" s="1"/>
  <c r="V91" i="14" s="1"/>
  <c r="M94" i="14"/>
  <c r="T94" i="14" s="1"/>
  <c r="M95" i="14"/>
  <c r="T95" i="14" s="1"/>
  <c r="V95" i="14" s="1"/>
  <c r="M96" i="14"/>
  <c r="T96" i="14" s="1"/>
  <c r="M97" i="14"/>
  <c r="T97" i="14" s="1"/>
  <c r="V97" i="14" s="1"/>
  <c r="M98" i="14"/>
  <c r="T98" i="14" s="1"/>
  <c r="V98" i="14" s="1"/>
  <c r="M99" i="14"/>
  <c r="T99" i="14" s="1"/>
  <c r="V99" i="14" s="1"/>
  <c r="M105" i="14"/>
  <c r="T105" i="14" s="1"/>
  <c r="V105" i="14" s="1"/>
  <c r="M106" i="14"/>
  <c r="T106" i="14" s="1"/>
  <c r="V106" i="14" s="1"/>
  <c r="M5" i="14"/>
  <c r="T5" i="14" s="1"/>
  <c r="V5" i="14" s="1"/>
  <c r="M110" i="14"/>
  <c r="T110" i="14" s="1"/>
  <c r="V110" i="14" s="1"/>
  <c r="M111" i="14"/>
  <c r="T111" i="14" s="1"/>
  <c r="V111" i="14" s="1"/>
  <c r="M113" i="14"/>
  <c r="T113" i="14" s="1"/>
  <c r="V113" i="14" s="1"/>
  <c r="M114" i="14"/>
  <c r="T114" i="14" s="1"/>
  <c r="V114" i="14" s="1"/>
  <c r="M115" i="14"/>
  <c r="T115" i="14" s="1"/>
  <c r="V115" i="14" s="1"/>
  <c r="M116" i="14"/>
  <c r="T116" i="14" s="1"/>
  <c r="V116" i="14" s="1"/>
  <c r="M117" i="14"/>
  <c r="T117" i="14" s="1"/>
  <c r="V117" i="14" s="1"/>
  <c r="M119" i="14"/>
  <c r="T119" i="14" s="1"/>
  <c r="V119" i="14" s="1"/>
  <c r="M120" i="14"/>
  <c r="T120" i="14" s="1"/>
  <c r="V120" i="14" s="1"/>
  <c r="M121" i="14"/>
  <c r="T121" i="14" s="1"/>
  <c r="V121" i="14" s="1"/>
  <c r="M122" i="14"/>
  <c r="T122" i="14" s="1"/>
  <c r="V122" i="14" s="1"/>
  <c r="M123" i="14"/>
  <c r="T123" i="14" s="1"/>
  <c r="V123" i="14" s="1"/>
  <c r="M124" i="14"/>
  <c r="T124" i="14" s="1"/>
  <c r="V124" i="14" s="1"/>
  <c r="M125" i="14"/>
  <c r="T125" i="14" s="1"/>
  <c r="V125" i="14" s="1"/>
  <c r="M127" i="14"/>
  <c r="T127" i="14" s="1"/>
  <c r="V127" i="14" s="1"/>
  <c r="M128" i="14"/>
  <c r="T128" i="14" s="1"/>
  <c r="V128" i="14" s="1"/>
  <c r="M129" i="14"/>
  <c r="T129" i="14" s="1"/>
  <c r="V129" i="14" s="1"/>
  <c r="M130" i="14"/>
  <c r="T130" i="14" s="1"/>
  <c r="V130" i="14" s="1"/>
  <c r="M131" i="14"/>
  <c r="T131" i="14" s="1"/>
  <c r="V131" i="14" s="1"/>
  <c r="M132" i="14"/>
  <c r="T132" i="14" s="1"/>
  <c r="V132" i="14" s="1"/>
  <c r="M133" i="14"/>
  <c r="T133" i="14" s="1"/>
  <c r="V133" i="14" s="1"/>
  <c r="M134" i="14"/>
  <c r="T134" i="14" s="1"/>
  <c r="V134" i="14" s="1"/>
  <c r="M135" i="14"/>
  <c r="T135" i="14" s="1"/>
  <c r="V135" i="14" s="1"/>
  <c r="M136" i="14"/>
  <c r="T136" i="14" s="1"/>
  <c r="V136" i="14" s="1"/>
  <c r="M137" i="14"/>
  <c r="T137" i="14" s="1"/>
  <c r="V137" i="14" s="1"/>
  <c r="M138" i="14"/>
  <c r="T138" i="14" s="1"/>
  <c r="V138" i="14" s="1"/>
  <c r="M145" i="14"/>
  <c r="T145" i="14" s="1"/>
  <c r="V145" i="14" s="1"/>
  <c r="M146" i="14"/>
  <c r="T146" i="14" s="1"/>
  <c r="V146" i="14" s="1"/>
  <c r="M147" i="14"/>
  <c r="T147" i="14" s="1"/>
  <c r="V147" i="14" s="1"/>
  <c r="M148" i="14"/>
  <c r="T148" i="14" s="1"/>
  <c r="V148" i="14" s="1"/>
  <c r="M149" i="14"/>
  <c r="T149" i="14" s="1"/>
  <c r="V149" i="14" s="1"/>
  <c r="M151" i="14"/>
  <c r="T151" i="14" s="1"/>
  <c r="V151" i="14" s="1"/>
  <c r="M152" i="14"/>
  <c r="T152" i="14" s="1"/>
  <c r="V152" i="14" s="1"/>
  <c r="M153" i="14"/>
  <c r="T153" i="14" s="1"/>
  <c r="V153" i="14" s="1"/>
  <c r="M154" i="14"/>
  <c r="T154" i="14" s="1"/>
  <c r="V154" i="14" s="1"/>
  <c r="M155" i="14"/>
  <c r="T155" i="14" s="1"/>
  <c r="V155" i="14" s="1"/>
  <c r="M156" i="14"/>
  <c r="T156" i="14" s="1"/>
  <c r="V156" i="14" s="1"/>
  <c r="M157" i="14"/>
  <c r="T157" i="14" s="1"/>
  <c r="V157" i="14" s="1"/>
  <c r="M158" i="14"/>
  <c r="T158" i="14" s="1"/>
  <c r="V158" i="14" s="1"/>
  <c r="M159" i="14"/>
  <c r="T159" i="14" s="1"/>
  <c r="V159" i="14" s="1"/>
  <c r="M160" i="14"/>
  <c r="T160" i="14" s="1"/>
  <c r="V160" i="14" s="1"/>
  <c r="M161" i="14"/>
  <c r="T161" i="14" s="1"/>
  <c r="V161" i="14" s="1"/>
  <c r="M162" i="14"/>
  <c r="T162" i="14" s="1"/>
  <c r="V162" i="14" s="1"/>
  <c r="M163" i="14"/>
  <c r="T163" i="14" s="1"/>
  <c r="V163" i="14" s="1"/>
  <c r="M164" i="14"/>
  <c r="T164" i="14" s="1"/>
  <c r="V164" i="14" s="1"/>
  <c r="M166" i="14"/>
  <c r="T166" i="14" s="1"/>
  <c r="V166" i="14" s="1"/>
  <c r="M167" i="14"/>
  <c r="T167" i="14" s="1"/>
  <c r="V167" i="14" s="1"/>
  <c r="M168" i="14"/>
  <c r="T168" i="14" s="1"/>
  <c r="V168" i="14" s="1"/>
  <c r="M169" i="14"/>
  <c r="T169" i="14" s="1"/>
  <c r="V169" i="14" s="1"/>
  <c r="M170" i="14"/>
  <c r="T170" i="14" s="1"/>
  <c r="V170" i="14" s="1"/>
  <c r="M171" i="14"/>
  <c r="T171" i="14" s="1"/>
  <c r="V171" i="14" s="1"/>
  <c r="M173" i="14"/>
  <c r="T173" i="14" s="1"/>
  <c r="V173" i="14" s="1"/>
  <c r="M174" i="14"/>
  <c r="T174" i="14" s="1"/>
  <c r="V174" i="14" s="1"/>
  <c r="M175" i="14"/>
  <c r="T175" i="14" s="1"/>
  <c r="V175" i="14" s="1"/>
  <c r="M176" i="14"/>
  <c r="T176" i="14" s="1"/>
  <c r="V176" i="14" s="1"/>
  <c r="M177" i="14"/>
  <c r="T177" i="14" s="1"/>
  <c r="V177" i="14" s="1"/>
  <c r="M178" i="14"/>
  <c r="T178" i="14" s="1"/>
  <c r="V178" i="14" s="1"/>
  <c r="M179" i="14"/>
  <c r="T179" i="14" s="1"/>
  <c r="V179" i="14" s="1"/>
  <c r="M180" i="14"/>
  <c r="T180" i="14" s="1"/>
  <c r="V180" i="14" s="1"/>
  <c r="M181" i="14"/>
  <c r="T181" i="14" s="1"/>
  <c r="V181" i="14" s="1"/>
  <c r="M182" i="14"/>
  <c r="T182" i="14" s="1"/>
  <c r="V182" i="14" s="1"/>
  <c r="M183" i="14"/>
  <c r="T183" i="14" s="1"/>
  <c r="V183" i="14" s="1"/>
  <c r="M184" i="14"/>
  <c r="T184" i="14" s="1"/>
  <c r="V184" i="14" s="1"/>
  <c r="M185" i="14"/>
  <c r="T185" i="14" s="1"/>
  <c r="V185" i="14" s="1"/>
  <c r="M187" i="14"/>
  <c r="T187" i="14" s="1"/>
  <c r="V187" i="14" s="1"/>
  <c r="M188" i="14"/>
  <c r="T188" i="14" s="1"/>
  <c r="V188" i="14" s="1"/>
  <c r="M189" i="14"/>
  <c r="T189" i="14" s="1"/>
  <c r="V189" i="14" s="1"/>
  <c r="M190" i="14"/>
  <c r="T190" i="14" s="1"/>
  <c r="V190" i="14" s="1"/>
  <c r="M191" i="14"/>
  <c r="T191" i="14" s="1"/>
  <c r="V191" i="14" s="1"/>
  <c r="M193" i="14"/>
  <c r="T193" i="14" s="1"/>
  <c r="V193" i="14" s="1"/>
  <c r="M195" i="14"/>
  <c r="T195" i="14" s="1"/>
  <c r="V195" i="14" s="1"/>
  <c r="M196" i="14"/>
  <c r="T196" i="14" s="1"/>
  <c r="V196" i="14" s="1"/>
  <c r="M197" i="14"/>
  <c r="T197" i="14" s="1"/>
  <c r="V197" i="14" s="1"/>
  <c r="M198" i="14"/>
  <c r="T198" i="14" s="1"/>
  <c r="V198" i="14" s="1"/>
  <c r="M199" i="14"/>
  <c r="T199" i="14" s="1"/>
  <c r="V199" i="14" s="1"/>
  <c r="M200" i="14"/>
  <c r="T200" i="14" s="1"/>
  <c r="M202" i="14"/>
  <c r="T202" i="14" s="1"/>
  <c r="V202" i="14" s="1"/>
  <c r="M203" i="14"/>
  <c r="T203" i="14" s="1"/>
  <c r="V203" i="14" s="1"/>
  <c r="M204" i="14"/>
  <c r="T204" i="14" s="1"/>
  <c r="V204" i="14" s="1"/>
  <c r="M205" i="14"/>
  <c r="T205" i="14" s="1"/>
  <c r="V205" i="14" s="1"/>
  <c r="M206" i="14"/>
  <c r="T206" i="14" s="1"/>
  <c r="V206" i="14" s="1"/>
  <c r="M207" i="14"/>
  <c r="T207" i="14" s="1"/>
  <c r="V207" i="14" s="1"/>
  <c r="M208" i="14"/>
  <c r="T208" i="14" s="1"/>
  <c r="V208" i="14" s="1"/>
  <c r="M209" i="14"/>
  <c r="T209" i="14" s="1"/>
  <c r="V209" i="14" s="1"/>
  <c r="M211" i="14"/>
  <c r="T211" i="14" s="1"/>
  <c r="V211" i="14" s="1"/>
  <c r="M212" i="14"/>
  <c r="T212" i="14" s="1"/>
  <c r="V212" i="14" s="1"/>
  <c r="M213" i="14"/>
  <c r="T213" i="14" s="1"/>
  <c r="V213" i="14" s="1"/>
  <c r="M214" i="14"/>
  <c r="T214" i="14" s="1"/>
  <c r="V214" i="14" s="1"/>
  <c r="M215" i="14"/>
  <c r="T215" i="14" s="1"/>
  <c r="V215" i="14" s="1"/>
  <c r="M216" i="14"/>
  <c r="T216" i="14" s="1"/>
  <c r="V216" i="14" s="1"/>
  <c r="M217" i="14"/>
  <c r="T217" i="14" s="1"/>
  <c r="M218" i="14"/>
  <c r="T218" i="14" s="1"/>
  <c r="V218" i="14" s="1"/>
  <c r="M219" i="14"/>
  <c r="T219" i="14" s="1"/>
  <c r="V219" i="14" s="1"/>
  <c r="M220" i="14"/>
  <c r="T220" i="14" s="1"/>
  <c r="V220" i="14" s="1"/>
  <c r="M221" i="14"/>
  <c r="T221" i="14" s="1"/>
  <c r="V221" i="14" s="1"/>
  <c r="M222" i="14"/>
  <c r="T222" i="14" s="1"/>
  <c r="V222" i="14" s="1"/>
  <c r="M223" i="14"/>
  <c r="T223" i="14" s="1"/>
  <c r="V223" i="14" s="1"/>
  <c r="M224" i="14"/>
  <c r="T224" i="14" s="1"/>
  <c r="V224" i="14" s="1"/>
  <c r="M226" i="14"/>
  <c r="T226" i="14" s="1"/>
  <c r="M227" i="14"/>
  <c r="T227" i="14" s="1"/>
  <c r="V227" i="14" s="1"/>
  <c r="M228" i="14"/>
  <c r="T228" i="14" s="1"/>
  <c r="V228" i="14" s="1"/>
  <c r="M230" i="14"/>
  <c r="T230" i="14" s="1"/>
  <c r="V230" i="14" s="1"/>
  <c r="M231" i="14"/>
  <c r="T231" i="14" s="1"/>
  <c r="V231" i="14" s="1"/>
  <c r="M233" i="14"/>
  <c r="T233" i="14" s="1"/>
  <c r="V233" i="14" s="1"/>
  <c r="M234" i="14"/>
  <c r="T234" i="14" s="1"/>
  <c r="V234" i="14" s="1"/>
  <c r="M236" i="14"/>
  <c r="T236" i="14" s="1"/>
  <c r="V236" i="14" s="1"/>
  <c r="M237" i="14"/>
  <c r="T237" i="14" s="1"/>
  <c r="V237" i="14" s="1"/>
  <c r="M238" i="14"/>
  <c r="T238" i="14" s="1"/>
  <c r="V238" i="14" s="1"/>
  <c r="M239" i="14"/>
  <c r="T239" i="14" s="1"/>
  <c r="V239" i="14" s="1"/>
  <c r="M240" i="14"/>
  <c r="T240" i="14" s="1"/>
  <c r="V240" i="14" s="1"/>
  <c r="M241" i="14"/>
  <c r="T241" i="14" s="1"/>
  <c r="V241" i="14" s="1"/>
  <c r="M242" i="14"/>
  <c r="T242" i="14" s="1"/>
  <c r="V242" i="14" s="1"/>
  <c r="M246" i="14"/>
  <c r="T246" i="14" s="1"/>
  <c r="V246" i="14" s="1"/>
  <c r="M248" i="14"/>
  <c r="T248" i="14" s="1"/>
  <c r="V248" i="14" s="1"/>
  <c r="M250" i="14"/>
  <c r="T250" i="14" s="1"/>
  <c r="V250" i="14" s="1"/>
  <c r="M254" i="14"/>
  <c r="T254" i="14" s="1"/>
  <c r="V254" i="14" s="1"/>
  <c r="M256" i="14"/>
  <c r="T256" i="14" s="1"/>
  <c r="V256" i="14" s="1"/>
  <c r="M257" i="14"/>
  <c r="T257" i="14" s="1"/>
  <c r="V257" i="14" s="1"/>
  <c r="M258" i="14"/>
  <c r="T258" i="14" s="1"/>
  <c r="V258" i="14" s="1"/>
  <c r="M259" i="14"/>
  <c r="T259" i="14" s="1"/>
  <c r="V259" i="14" s="1"/>
  <c r="M260" i="14"/>
  <c r="T260" i="14" s="1"/>
  <c r="V260" i="14" s="1"/>
  <c r="M261" i="14"/>
  <c r="T261" i="14" s="1"/>
  <c r="V261" i="14" s="1"/>
  <c r="M262" i="14"/>
  <c r="T262" i="14" s="1"/>
  <c r="V262" i="14" s="1"/>
  <c r="M265" i="14"/>
  <c r="T265" i="14" s="1"/>
  <c r="V265" i="14" s="1"/>
  <c r="M266" i="14"/>
  <c r="T266" i="14" s="1"/>
  <c r="V266" i="14" s="1"/>
  <c r="M267" i="14"/>
  <c r="T267" i="14" s="1"/>
  <c r="V267" i="14" s="1"/>
  <c r="M269" i="14"/>
  <c r="T269" i="14" s="1"/>
  <c r="V269" i="14" s="1"/>
  <c r="M270" i="14"/>
  <c r="T270" i="14" s="1"/>
  <c r="V270" i="14" s="1"/>
  <c r="M271" i="14"/>
  <c r="T271" i="14" s="1"/>
  <c r="V271" i="14" s="1"/>
  <c r="M272" i="14"/>
  <c r="T272" i="14" s="1"/>
  <c r="V272" i="14" s="1"/>
  <c r="M273" i="14"/>
  <c r="T273" i="14" s="1"/>
  <c r="V273" i="14" s="1"/>
  <c r="M275" i="14"/>
  <c r="T275" i="14" s="1"/>
  <c r="V275" i="14" s="1"/>
  <c r="M276" i="14"/>
  <c r="T276" i="14" s="1"/>
  <c r="V276" i="14" s="1"/>
  <c r="M277" i="14"/>
  <c r="T277" i="14" s="1"/>
  <c r="V277" i="14" s="1"/>
  <c r="M278" i="14"/>
  <c r="T278" i="14" s="1"/>
  <c r="V278" i="14" s="1"/>
  <c r="M279" i="14"/>
  <c r="T279" i="14" s="1"/>
  <c r="V279" i="14" s="1"/>
  <c r="M280" i="14"/>
  <c r="T280" i="14" s="1"/>
  <c r="V280" i="14" s="1"/>
  <c r="M282" i="14"/>
  <c r="T282" i="14" s="1"/>
  <c r="V282" i="14" s="1"/>
  <c r="M283" i="14"/>
  <c r="T283" i="14" s="1"/>
  <c r="V283" i="14" s="1"/>
  <c r="M284" i="14"/>
  <c r="T284" i="14" s="1"/>
  <c r="V284" i="14" s="1"/>
  <c r="M285" i="14"/>
  <c r="T285" i="14" s="1"/>
  <c r="V285" i="14" s="1"/>
  <c r="M286" i="14"/>
  <c r="T286" i="14" s="1"/>
  <c r="V286" i="14" s="1"/>
  <c r="M287" i="14"/>
  <c r="T287" i="14" s="1"/>
  <c r="V287" i="14" s="1"/>
  <c r="M288" i="14"/>
  <c r="T288" i="14" s="1"/>
  <c r="V288" i="14" s="1"/>
  <c r="M289" i="14"/>
  <c r="T289" i="14" s="1"/>
  <c r="V289" i="14" s="1"/>
  <c r="M290" i="14"/>
  <c r="T290" i="14" s="1"/>
  <c r="V290" i="14" s="1"/>
  <c r="M291" i="14"/>
  <c r="T291" i="14" s="1"/>
  <c r="V291" i="14" s="1"/>
  <c r="M292" i="14"/>
  <c r="T292" i="14" s="1"/>
  <c r="V292" i="14" s="1"/>
  <c r="M297" i="14"/>
  <c r="T297" i="14" s="1"/>
  <c r="V297" i="14" s="1"/>
  <c r="M298" i="14"/>
  <c r="T298" i="14" s="1"/>
  <c r="V298" i="14" s="1"/>
  <c r="M299" i="14"/>
  <c r="T299" i="14" s="1"/>
  <c r="V299" i="14" s="1"/>
  <c r="M301" i="14"/>
  <c r="T301" i="14" s="1"/>
  <c r="V301" i="14" s="1"/>
  <c r="M302" i="14"/>
  <c r="T302" i="14" s="1"/>
  <c r="V302" i="14" s="1"/>
  <c r="M303" i="14"/>
  <c r="T303" i="14" s="1"/>
  <c r="V303" i="14" s="1"/>
  <c r="M305" i="14"/>
  <c r="T305" i="14" s="1"/>
  <c r="V305" i="14" s="1"/>
  <c r="M306" i="14"/>
  <c r="T306" i="14" s="1"/>
  <c r="V306" i="14" s="1"/>
  <c r="M307" i="14"/>
  <c r="T307" i="14" s="1"/>
  <c r="V307" i="14" s="1"/>
  <c r="M308" i="14"/>
  <c r="T308" i="14" s="1"/>
  <c r="V308" i="14" s="1"/>
  <c r="M309" i="14"/>
  <c r="T309" i="14" s="1"/>
  <c r="V309" i="14" s="1"/>
  <c r="M311" i="14"/>
  <c r="T311" i="14" s="1"/>
  <c r="V311" i="14" s="1"/>
  <c r="M321" i="14"/>
  <c r="T321" i="14" s="1"/>
  <c r="V321" i="14" s="1"/>
  <c r="M322" i="14"/>
  <c r="T322" i="14" s="1"/>
  <c r="V322" i="14" s="1"/>
  <c r="M324" i="14"/>
  <c r="T324" i="14" s="1"/>
  <c r="V324" i="14" s="1"/>
  <c r="M325" i="14"/>
  <c r="T325" i="14" s="1"/>
  <c r="V325" i="14" s="1"/>
  <c r="M327" i="14"/>
  <c r="T327" i="14" s="1"/>
  <c r="V327" i="14" s="1"/>
  <c r="M328" i="14"/>
  <c r="T328" i="14" s="1"/>
  <c r="V328" i="14" s="1"/>
  <c r="M333" i="14"/>
  <c r="T333" i="14" s="1"/>
  <c r="V333" i="14" s="1"/>
  <c r="M334" i="14"/>
  <c r="T334" i="14" s="1"/>
  <c r="V334" i="14" s="1"/>
  <c r="M336" i="14"/>
  <c r="T336" i="14" s="1"/>
  <c r="V336" i="14" s="1"/>
  <c r="M337" i="14"/>
  <c r="T337" i="14" s="1"/>
  <c r="V337" i="14" s="1"/>
  <c r="M338" i="14"/>
  <c r="T338" i="14" s="1"/>
  <c r="V338" i="14" s="1"/>
  <c r="M339" i="14"/>
  <c r="T339" i="14" s="1"/>
  <c r="V339" i="14" s="1"/>
  <c r="M341" i="14"/>
  <c r="T341" i="14" s="1"/>
  <c r="V341" i="14" s="1"/>
  <c r="M342" i="14"/>
  <c r="T342" i="14" s="1"/>
  <c r="V342" i="14" s="1"/>
  <c r="M343" i="14"/>
  <c r="T343" i="14" s="1"/>
  <c r="V343" i="14" s="1"/>
  <c r="M344" i="14"/>
  <c r="T344" i="14" s="1"/>
  <c r="V344" i="14" s="1"/>
  <c r="M345" i="14"/>
  <c r="T345" i="14" s="1"/>
  <c r="V345" i="14" s="1"/>
  <c r="M346" i="14"/>
  <c r="T346" i="14" s="1"/>
  <c r="V346" i="14" s="1"/>
  <c r="M347" i="14"/>
  <c r="T347" i="14" s="1"/>
  <c r="V347" i="14" s="1"/>
  <c r="M348" i="14"/>
  <c r="T348" i="14" s="1"/>
  <c r="V348" i="14" s="1"/>
  <c r="M350" i="14"/>
  <c r="T350" i="14" s="1"/>
  <c r="V350" i="14" s="1"/>
  <c r="M351" i="14"/>
  <c r="T351" i="14" s="1"/>
  <c r="V351" i="14" s="1"/>
  <c r="M352" i="14"/>
  <c r="T352" i="14" s="1"/>
  <c r="V352" i="14" s="1"/>
  <c r="M353" i="14"/>
  <c r="T353" i="14" s="1"/>
  <c r="V353" i="14" s="1"/>
  <c r="M354" i="14"/>
  <c r="T354" i="14" s="1"/>
  <c r="V354" i="14" s="1"/>
  <c r="M355" i="14"/>
  <c r="T355" i="14" s="1"/>
  <c r="V355" i="14" s="1"/>
  <c r="M356" i="14"/>
  <c r="T356" i="14" s="1"/>
  <c r="V356" i="14" s="1"/>
  <c r="M357" i="14"/>
  <c r="T357" i="14" s="1"/>
  <c r="V357" i="14" s="1"/>
  <c r="M358" i="14"/>
  <c r="T358" i="14" s="1"/>
  <c r="V358" i="14" s="1"/>
  <c r="M359" i="14"/>
  <c r="T359" i="14" s="1"/>
  <c r="V359" i="14" s="1"/>
  <c r="M360" i="14"/>
  <c r="T360" i="14" s="1"/>
  <c r="V360" i="14" s="1"/>
  <c r="M361" i="14"/>
  <c r="T361" i="14" s="1"/>
  <c r="V361" i="14" s="1"/>
  <c r="M362" i="14"/>
  <c r="T362" i="14" s="1"/>
  <c r="V362" i="14" s="1"/>
  <c r="M364" i="14"/>
  <c r="T364" i="14" s="1"/>
  <c r="V364" i="14" s="1"/>
  <c r="M365" i="14"/>
  <c r="T365" i="14" s="1"/>
  <c r="V365" i="14" s="1"/>
  <c r="M366" i="14"/>
  <c r="T366" i="14" s="1"/>
  <c r="V366" i="14" s="1"/>
  <c r="M367" i="14"/>
  <c r="T367" i="14" s="1"/>
  <c r="V367" i="14" s="1"/>
  <c r="M368" i="14"/>
  <c r="T368" i="14" s="1"/>
  <c r="V368" i="14" s="1"/>
  <c r="M370" i="14"/>
  <c r="T370" i="14" s="1"/>
  <c r="V370" i="14" s="1"/>
  <c r="M371" i="14"/>
  <c r="T371" i="14" s="1"/>
  <c r="V371" i="14" s="1"/>
  <c r="M372" i="14"/>
  <c r="T372" i="14" s="1"/>
  <c r="V372" i="14" s="1"/>
  <c r="M373" i="14"/>
  <c r="T373" i="14" s="1"/>
  <c r="V373" i="14" s="1"/>
  <c r="M374" i="14"/>
  <c r="T374" i="14" s="1"/>
  <c r="V374" i="14" s="1"/>
  <c r="M375" i="14"/>
  <c r="T375" i="14" s="1"/>
  <c r="V375" i="14" s="1"/>
  <c r="M376" i="14"/>
  <c r="T376" i="14" s="1"/>
  <c r="V376" i="14" s="1"/>
  <c r="M377" i="14"/>
  <c r="T377" i="14" s="1"/>
  <c r="V377" i="14" s="1"/>
  <c r="M378" i="14"/>
  <c r="T378" i="14" s="1"/>
  <c r="V378" i="14" s="1"/>
  <c r="M380" i="14"/>
  <c r="T380" i="14" s="1"/>
  <c r="V380" i="14" s="1"/>
  <c r="M381" i="14"/>
  <c r="T381" i="14" s="1"/>
  <c r="V381" i="14" s="1"/>
  <c r="M383" i="14"/>
  <c r="T383" i="14" s="1"/>
  <c r="V383" i="14" s="1"/>
  <c r="M384" i="14"/>
  <c r="T384" i="14" s="1"/>
  <c r="V384" i="14" s="1"/>
  <c r="M385" i="14"/>
  <c r="T385" i="14" s="1"/>
  <c r="V385" i="14" s="1"/>
  <c r="M386" i="14"/>
  <c r="T386" i="14" s="1"/>
  <c r="V386" i="14" s="1"/>
  <c r="M387" i="14"/>
  <c r="T387" i="14" s="1"/>
  <c r="V387" i="14" s="1"/>
  <c r="M389" i="14"/>
  <c r="T389" i="14" s="1"/>
  <c r="V389" i="14" s="1"/>
  <c r="M393" i="14"/>
  <c r="T393" i="14" s="1"/>
  <c r="V393" i="14" s="1"/>
  <c r="M396" i="14"/>
  <c r="T396" i="14" s="1"/>
  <c r="V396" i="14" s="1"/>
  <c r="M397" i="14"/>
  <c r="T397" i="14" s="1"/>
  <c r="V397" i="14" s="1"/>
  <c r="M398" i="14"/>
  <c r="T398" i="14" s="1"/>
  <c r="V398" i="14" s="1"/>
  <c r="M400" i="14"/>
  <c r="T400" i="14" s="1"/>
  <c r="V400" i="14" s="1"/>
  <c r="M401" i="14"/>
  <c r="T401" i="14" s="1"/>
  <c r="V401" i="14" s="1"/>
  <c r="M402" i="14"/>
  <c r="T402" i="14" s="1"/>
  <c r="V402" i="14" s="1"/>
  <c r="M403" i="14"/>
  <c r="T403" i="14" s="1"/>
  <c r="V403" i="14" s="1"/>
  <c r="M404" i="14"/>
  <c r="T404" i="14" s="1"/>
  <c r="V404" i="14" s="1"/>
  <c r="M406" i="14"/>
  <c r="T406" i="14" s="1"/>
  <c r="V406" i="14" s="1"/>
  <c r="M407" i="14"/>
  <c r="T407" i="14" s="1"/>
  <c r="V407" i="14" s="1"/>
  <c r="M408" i="14"/>
  <c r="T408" i="14" s="1"/>
  <c r="V408" i="14" s="1"/>
  <c r="M409" i="14"/>
  <c r="T409" i="14" s="1"/>
  <c r="V409" i="14" s="1"/>
  <c r="M410" i="14"/>
  <c r="T410" i="14" s="1"/>
  <c r="V410" i="14" s="1"/>
  <c r="M412" i="14"/>
  <c r="T412" i="14" s="1"/>
  <c r="V412" i="14" s="1"/>
  <c r="M413" i="14"/>
  <c r="T413" i="14" s="1"/>
  <c r="V413" i="14" s="1"/>
  <c r="M414" i="14"/>
  <c r="T414" i="14" s="1"/>
  <c r="V414" i="14" s="1"/>
  <c r="M415" i="14"/>
  <c r="T415" i="14" s="1"/>
  <c r="V415" i="14" s="1"/>
  <c r="M416" i="14"/>
  <c r="T416" i="14" s="1"/>
  <c r="V416" i="14" s="1"/>
  <c r="M417" i="14"/>
  <c r="T417" i="14" s="1"/>
  <c r="V417" i="14" s="1"/>
  <c r="M418" i="14"/>
  <c r="T418" i="14" s="1"/>
  <c r="V418" i="14" s="1"/>
  <c r="M419" i="14"/>
  <c r="T419" i="14" s="1"/>
  <c r="V419" i="14" s="1"/>
  <c r="M420" i="14"/>
  <c r="T420" i="14" s="1"/>
  <c r="V420" i="14" s="1"/>
  <c r="M421" i="14"/>
  <c r="T421" i="14" s="1"/>
  <c r="V421" i="14" s="1"/>
  <c r="M422" i="14"/>
  <c r="T422" i="14" s="1"/>
  <c r="V422" i="14" s="1"/>
  <c r="M423" i="14"/>
  <c r="T423" i="14" s="1"/>
  <c r="V423" i="14" s="1"/>
  <c r="M425" i="14"/>
  <c r="T425" i="14" s="1"/>
  <c r="V425" i="14" s="1"/>
  <c r="M426" i="14"/>
  <c r="T426" i="14" s="1"/>
  <c r="V426" i="14" s="1"/>
  <c r="M431" i="14"/>
  <c r="T431" i="14" s="1"/>
  <c r="V431" i="14" s="1"/>
  <c r="M432" i="14"/>
  <c r="T432" i="14" s="1"/>
  <c r="V432" i="14" s="1"/>
  <c r="M433" i="14"/>
  <c r="T433" i="14" s="1"/>
  <c r="V433" i="14" s="1"/>
  <c r="M436" i="14"/>
  <c r="T436" i="14" s="1"/>
  <c r="V436" i="14" s="1"/>
  <c r="M437" i="14"/>
  <c r="T437" i="14" s="1"/>
  <c r="V437" i="14" s="1"/>
  <c r="M438" i="14"/>
  <c r="T438" i="14" s="1"/>
  <c r="V438" i="14" s="1"/>
  <c r="M439" i="14"/>
  <c r="T439" i="14" s="1"/>
  <c r="V439" i="14" s="1"/>
  <c r="M442" i="14"/>
  <c r="T442" i="14" s="1"/>
  <c r="V442" i="14" s="1"/>
  <c r="M443" i="14"/>
  <c r="T443" i="14" s="1"/>
  <c r="V443" i="14" s="1"/>
  <c r="M444" i="14"/>
  <c r="T444" i="14" s="1"/>
  <c r="V444" i="14" s="1"/>
  <c r="M445" i="14"/>
  <c r="T445" i="14" s="1"/>
  <c r="V445" i="14" s="1"/>
  <c r="M446" i="14"/>
  <c r="T446" i="14" s="1"/>
  <c r="V446" i="14" s="1"/>
  <c r="M448" i="14"/>
  <c r="T448" i="14" s="1"/>
  <c r="V448" i="14" s="1"/>
  <c r="M449" i="14"/>
  <c r="T449" i="14" s="1"/>
  <c r="V449" i="14" s="1"/>
  <c r="M450" i="14"/>
  <c r="T450" i="14" s="1"/>
  <c r="V450" i="14" s="1"/>
  <c r="M451" i="14"/>
  <c r="T451" i="14" s="1"/>
  <c r="V451" i="14" s="1"/>
  <c r="M452" i="14"/>
  <c r="T452" i="14" s="1"/>
  <c r="V452" i="14" s="1"/>
  <c r="M453" i="14"/>
  <c r="T453" i="14" s="1"/>
  <c r="V453" i="14" s="1"/>
  <c r="M454" i="14"/>
  <c r="T454" i="14" s="1"/>
  <c r="V454" i="14" s="1"/>
  <c r="M455" i="14"/>
  <c r="T455" i="14" s="1"/>
  <c r="V455" i="14" s="1"/>
  <c r="M456" i="14"/>
  <c r="T456" i="14" s="1"/>
  <c r="V456" i="14" s="1"/>
  <c r="M457" i="14"/>
  <c r="T457" i="14" s="1"/>
  <c r="V457" i="14" s="1"/>
  <c r="M458" i="14"/>
  <c r="T458" i="14" s="1"/>
  <c r="V458" i="14" s="1"/>
  <c r="M459" i="14"/>
  <c r="T459" i="14" s="1"/>
  <c r="V459" i="14" s="1"/>
  <c r="M464" i="14"/>
  <c r="T464" i="14" s="1"/>
  <c r="V464" i="14" s="1"/>
  <c r="M465" i="14"/>
  <c r="T465" i="14" s="1"/>
  <c r="V465" i="14" s="1"/>
  <c r="M466" i="14"/>
  <c r="T466" i="14" s="1"/>
  <c r="V466" i="14" s="1"/>
  <c r="M468" i="14"/>
  <c r="T468" i="14" s="1"/>
  <c r="V468" i="14" s="1"/>
  <c r="M469" i="14"/>
  <c r="T469" i="14" s="1"/>
  <c r="V469" i="14" s="1"/>
  <c r="M470" i="14"/>
  <c r="T470" i="14" s="1"/>
  <c r="V470" i="14" s="1"/>
  <c r="M471" i="14"/>
  <c r="T471" i="14" s="1"/>
  <c r="V471" i="14" s="1"/>
  <c r="M473" i="14"/>
  <c r="T473" i="14" s="1"/>
  <c r="V473" i="14" s="1"/>
  <c r="M475" i="14"/>
  <c r="T475" i="14" s="1"/>
  <c r="V475" i="14" s="1"/>
  <c r="M476" i="14"/>
  <c r="T476" i="14" s="1"/>
  <c r="V476" i="14" s="1"/>
  <c r="M477" i="14"/>
  <c r="T477" i="14" s="1"/>
  <c r="V477" i="14" s="1"/>
  <c r="M478" i="14"/>
  <c r="T478" i="14" s="1"/>
  <c r="V478" i="14" s="1"/>
  <c r="M480" i="14"/>
  <c r="T480" i="14" s="1"/>
  <c r="V480" i="14" s="1"/>
  <c r="M481" i="14"/>
  <c r="T481" i="14" s="1"/>
  <c r="V481" i="14" s="1"/>
  <c r="M483" i="14"/>
  <c r="T483" i="14" s="1"/>
  <c r="V483" i="14" s="1"/>
  <c r="M484" i="14"/>
  <c r="T484" i="14" s="1"/>
  <c r="V484" i="14" s="1"/>
  <c r="M485" i="14"/>
  <c r="T485" i="14" s="1"/>
  <c r="V485" i="14" s="1"/>
  <c r="M487" i="14"/>
  <c r="T487" i="14" s="1"/>
  <c r="V487" i="14" s="1"/>
  <c r="M488" i="14"/>
  <c r="T488" i="14" s="1"/>
  <c r="V488" i="14" s="1"/>
  <c r="M489" i="14"/>
  <c r="T489" i="14" s="1"/>
  <c r="V489" i="14" s="1"/>
  <c r="M493" i="14"/>
  <c r="T493" i="14" s="1"/>
  <c r="V493" i="14" s="1"/>
  <c r="M496" i="14"/>
  <c r="T496" i="14" s="1"/>
  <c r="V496" i="14" s="1"/>
  <c r="M497" i="14"/>
  <c r="T497" i="14" s="1"/>
  <c r="V497" i="14" s="1"/>
  <c r="M498" i="14"/>
  <c r="T498" i="14" s="1"/>
  <c r="V498" i="14" s="1"/>
  <c r="M499" i="14"/>
  <c r="T499" i="14" s="1"/>
  <c r="V499" i="14" s="1"/>
  <c r="M500" i="14"/>
  <c r="T500" i="14" s="1"/>
  <c r="V500" i="14" s="1"/>
  <c r="M501" i="14"/>
  <c r="T501" i="14" s="1"/>
  <c r="V501" i="14" s="1"/>
  <c r="M503" i="14"/>
  <c r="T503" i="14" s="1"/>
  <c r="V503" i="14" s="1"/>
  <c r="M504" i="14"/>
  <c r="T504" i="14" s="1"/>
  <c r="V504" i="14" s="1"/>
  <c r="M507" i="14"/>
  <c r="T507" i="14" s="1"/>
  <c r="V507" i="14" s="1"/>
  <c r="M508" i="14"/>
  <c r="T508" i="14" s="1"/>
  <c r="V508" i="14" s="1"/>
  <c r="M509" i="14"/>
  <c r="T509" i="14" s="1"/>
  <c r="V509" i="14" s="1"/>
  <c r="M511" i="14"/>
  <c r="T511" i="14" s="1"/>
  <c r="V511" i="14" s="1"/>
  <c r="M513" i="14"/>
  <c r="T513" i="14" s="1"/>
  <c r="V513" i="14" s="1"/>
  <c r="M516" i="14"/>
  <c r="T516" i="14" s="1"/>
  <c r="V516" i="14" s="1"/>
  <c r="M518" i="14"/>
  <c r="T518" i="14" s="1"/>
  <c r="V518" i="14" s="1"/>
  <c r="M519" i="14"/>
  <c r="T519" i="14" s="1"/>
  <c r="V519" i="14" s="1"/>
  <c r="M520" i="14"/>
  <c r="T520" i="14" s="1"/>
  <c r="V520" i="14" s="1"/>
  <c r="M521" i="14"/>
  <c r="T521" i="14" s="1"/>
  <c r="V521" i="14" s="1"/>
  <c r="M522" i="14"/>
  <c r="T522" i="14" s="1"/>
  <c r="V522" i="14" s="1"/>
  <c r="M523" i="14"/>
  <c r="T523" i="14" s="1"/>
  <c r="V523" i="14" s="1"/>
  <c r="M525" i="14"/>
  <c r="T525" i="14" s="1"/>
  <c r="V525" i="14" s="1"/>
  <c r="M526" i="14"/>
  <c r="T526" i="14" s="1"/>
  <c r="V526" i="14" s="1"/>
  <c r="M527" i="14"/>
  <c r="T527" i="14" s="1"/>
  <c r="V527" i="14" s="1"/>
  <c r="M528" i="14"/>
  <c r="T528" i="14" s="1"/>
  <c r="V528" i="14" s="1"/>
  <c r="M529" i="14"/>
  <c r="T529" i="14" s="1"/>
  <c r="V529" i="14" s="1"/>
  <c r="M530" i="14"/>
  <c r="T530" i="14" s="1"/>
  <c r="V530" i="14" s="1"/>
  <c r="M531" i="14"/>
  <c r="T531" i="14" s="1"/>
  <c r="V531" i="14" s="1"/>
  <c r="M533" i="14"/>
  <c r="T533" i="14" s="1"/>
  <c r="V533" i="14" s="1"/>
  <c r="M534" i="14"/>
  <c r="T534" i="14" s="1"/>
  <c r="V534" i="14" s="1"/>
  <c r="M535" i="14"/>
  <c r="T535" i="14" s="1"/>
  <c r="V535" i="14" s="1"/>
  <c r="M536" i="14"/>
  <c r="T536" i="14" s="1"/>
  <c r="V536" i="14" s="1"/>
  <c r="M538" i="14"/>
  <c r="T538" i="14" s="1"/>
  <c r="V538" i="14" s="1"/>
  <c r="M539" i="14"/>
  <c r="T539" i="14" s="1"/>
  <c r="V539" i="14" s="1"/>
  <c r="M541" i="14"/>
  <c r="T541" i="14" s="1"/>
  <c r="V541" i="14" s="1"/>
  <c r="M542" i="14"/>
  <c r="T542" i="14" s="1"/>
  <c r="V542" i="14" s="1"/>
  <c r="M543" i="14"/>
  <c r="T543" i="14" s="1"/>
  <c r="V543" i="14" s="1"/>
  <c r="M544" i="14"/>
  <c r="T544" i="14" s="1"/>
  <c r="V544" i="14" s="1"/>
  <c r="M545" i="14"/>
  <c r="T545" i="14" s="1"/>
  <c r="V545" i="14" s="1"/>
  <c r="M549" i="14"/>
  <c r="T549" i="14" s="1"/>
  <c r="V549" i="14" s="1"/>
  <c r="M550" i="14"/>
  <c r="T550" i="14" s="1"/>
  <c r="V550" i="14" s="1"/>
  <c r="M552" i="14"/>
  <c r="T552" i="14" s="1"/>
  <c r="V552" i="14" s="1"/>
  <c r="M553" i="14"/>
  <c r="T553" i="14" s="1"/>
  <c r="V553" i="14" s="1"/>
  <c r="M554" i="14"/>
  <c r="T554" i="14" s="1"/>
  <c r="V554" i="14" s="1"/>
  <c r="M556" i="14"/>
  <c r="T556" i="14" s="1"/>
  <c r="V556" i="14" s="1"/>
  <c r="M557" i="14"/>
  <c r="T557" i="14" s="1"/>
  <c r="V557" i="14" s="1"/>
  <c r="M558" i="14"/>
  <c r="T558" i="14" s="1"/>
  <c r="V558" i="14" s="1"/>
  <c r="M559" i="14"/>
  <c r="T559" i="14" s="1"/>
  <c r="V559" i="14" s="1"/>
  <c r="M561" i="14"/>
  <c r="T561" i="14" s="1"/>
  <c r="V561" i="14" s="1"/>
  <c r="M562" i="14"/>
  <c r="T562" i="14" s="1"/>
  <c r="V562" i="14" s="1"/>
  <c r="M564" i="14"/>
  <c r="T564" i="14" s="1"/>
  <c r="V564" i="14" s="1"/>
  <c r="M565" i="14"/>
  <c r="T565" i="14" s="1"/>
  <c r="V565" i="14" s="1"/>
  <c r="M566" i="14"/>
  <c r="T566" i="14" s="1"/>
  <c r="V566" i="14" s="1"/>
  <c r="M567" i="14"/>
  <c r="T567" i="14" s="1"/>
  <c r="V567" i="14" s="1"/>
  <c r="M568" i="14"/>
  <c r="T568" i="14" s="1"/>
  <c r="V568" i="14" s="1"/>
  <c r="M569" i="14"/>
  <c r="T569" i="14" s="1"/>
  <c r="V569" i="14" s="1"/>
  <c r="M571" i="14"/>
  <c r="T571" i="14" s="1"/>
  <c r="V571" i="14" s="1"/>
  <c r="M572" i="14"/>
  <c r="T572" i="14" s="1"/>
  <c r="V572" i="14" s="1"/>
  <c r="M573" i="14"/>
  <c r="T573" i="14" s="1"/>
  <c r="V573" i="14" s="1"/>
  <c r="M574" i="14"/>
  <c r="T574" i="14" s="1"/>
  <c r="V574" i="14" s="1"/>
  <c r="M575" i="14"/>
  <c r="T575" i="14" s="1"/>
  <c r="V575" i="14" s="1"/>
  <c r="M577" i="14"/>
  <c r="T577" i="14" s="1"/>
  <c r="V577" i="14" s="1"/>
  <c r="M578" i="14"/>
  <c r="T578" i="14" s="1"/>
  <c r="V578" i="14" s="1"/>
  <c r="M581" i="14"/>
  <c r="T581" i="14" s="1"/>
  <c r="V581" i="14" s="1"/>
  <c r="M582" i="14"/>
  <c r="T582" i="14" s="1"/>
  <c r="V582" i="14" s="1"/>
  <c r="M583" i="14"/>
  <c r="T583" i="14" s="1"/>
  <c r="V583" i="14" s="1"/>
  <c r="M585" i="14"/>
  <c r="T585" i="14" s="1"/>
  <c r="V585" i="14" s="1"/>
  <c r="M586" i="14"/>
  <c r="T586" i="14" s="1"/>
  <c r="V586" i="14" s="1"/>
  <c r="M587" i="14"/>
  <c r="T587" i="14" s="1"/>
  <c r="V587" i="14" s="1"/>
  <c r="M590" i="14"/>
  <c r="T590" i="14" s="1"/>
  <c r="V590" i="14" s="1"/>
  <c r="M591" i="14"/>
  <c r="T591" i="14" s="1"/>
  <c r="V591" i="14" s="1"/>
  <c r="M592" i="14"/>
  <c r="T592" i="14" s="1"/>
  <c r="V592" i="14" s="1"/>
  <c r="M594" i="14"/>
  <c r="T594" i="14" s="1"/>
  <c r="V594" i="14" s="1"/>
  <c r="M595" i="14"/>
  <c r="T595" i="14" s="1"/>
  <c r="V595" i="14" s="1"/>
  <c r="M596" i="14"/>
  <c r="T596" i="14" s="1"/>
  <c r="V596" i="14" s="1"/>
  <c r="M597" i="14"/>
  <c r="T597" i="14" s="1"/>
  <c r="V597" i="14" s="1"/>
  <c r="M598" i="14"/>
  <c r="T598" i="14" s="1"/>
  <c r="V598" i="14" s="1"/>
  <c r="M600" i="14"/>
  <c r="T600" i="14" s="1"/>
  <c r="V600" i="14" s="1"/>
  <c r="M601" i="14"/>
  <c r="T601" i="14" s="1"/>
  <c r="V601" i="14" s="1"/>
  <c r="M602" i="14"/>
  <c r="T602" i="14" s="1"/>
  <c r="V602" i="14" s="1"/>
  <c r="M603" i="14"/>
  <c r="T603" i="14" s="1"/>
  <c r="V603" i="14" s="1"/>
  <c r="M604" i="14"/>
  <c r="T604" i="14" s="1"/>
  <c r="V604" i="14" s="1"/>
  <c r="M605" i="14"/>
  <c r="T605" i="14" s="1"/>
  <c r="V605" i="14" s="1"/>
  <c r="M606" i="14"/>
  <c r="T606" i="14" s="1"/>
  <c r="V606" i="14" s="1"/>
  <c r="M608" i="14"/>
  <c r="T608" i="14" s="1"/>
  <c r="V608" i="14" s="1"/>
  <c r="M609" i="14"/>
  <c r="T609" i="14" s="1"/>
  <c r="V609" i="14" s="1"/>
  <c r="M611" i="14"/>
  <c r="T611" i="14" s="1"/>
  <c r="V611" i="14" s="1"/>
  <c r="M613" i="14"/>
  <c r="T613" i="14" s="1"/>
  <c r="V613" i="14" s="1"/>
  <c r="M614" i="14"/>
  <c r="T614" i="14" s="1"/>
  <c r="V614" i="14" s="1"/>
  <c r="M615" i="14"/>
  <c r="T615" i="14" s="1"/>
  <c r="V615" i="14" s="1"/>
  <c r="M616" i="14"/>
  <c r="T616" i="14" s="1"/>
  <c r="V616" i="14" s="1"/>
  <c r="M617" i="14"/>
  <c r="T617" i="14" s="1"/>
  <c r="V617" i="14" s="1"/>
  <c r="M618" i="14"/>
  <c r="T618" i="14" s="1"/>
  <c r="V618" i="14" s="1"/>
  <c r="M619" i="14"/>
  <c r="T619" i="14" s="1"/>
  <c r="V619" i="14" s="1"/>
  <c r="M624" i="14"/>
  <c r="M626" i="14"/>
  <c r="T626" i="14" s="1"/>
  <c r="V626" i="14" s="1"/>
  <c r="M627" i="14"/>
  <c r="T627" i="14" s="1"/>
  <c r="V627" i="14" s="1"/>
  <c r="M628" i="14"/>
  <c r="T628" i="14" s="1"/>
  <c r="V628" i="14" s="1"/>
  <c r="M630" i="14"/>
  <c r="T630" i="14" s="1"/>
  <c r="V630" i="14" s="1"/>
  <c r="M631" i="14"/>
  <c r="T631" i="14" s="1"/>
  <c r="V631" i="14" s="1"/>
  <c r="M632" i="14"/>
  <c r="T632" i="14" s="1"/>
  <c r="V632" i="14" s="1"/>
  <c r="M633" i="14"/>
  <c r="T633" i="14" s="1"/>
  <c r="M634" i="14"/>
  <c r="T634" i="14" s="1"/>
  <c r="V634" i="14" s="1"/>
  <c r="M635" i="14"/>
  <c r="T635" i="14" s="1"/>
  <c r="V635" i="14" s="1"/>
  <c r="M636" i="14"/>
  <c r="T636" i="14" s="1"/>
  <c r="V636" i="14" s="1"/>
  <c r="M638" i="14"/>
  <c r="T638" i="14" s="1"/>
  <c r="V638" i="14" s="1"/>
  <c r="M639" i="14"/>
  <c r="T639" i="14" s="1"/>
  <c r="V639" i="14" s="1"/>
  <c r="M640" i="14"/>
  <c r="T640" i="14" s="1"/>
  <c r="V640" i="14" s="1"/>
  <c r="M641" i="14"/>
  <c r="T641" i="14" s="1"/>
  <c r="V641" i="14" s="1"/>
  <c r="M642" i="14"/>
  <c r="T642" i="14" s="1"/>
  <c r="V642" i="14" s="1"/>
  <c r="M643" i="14"/>
  <c r="T643" i="14" s="1"/>
  <c r="V643" i="14" s="1"/>
  <c r="M644" i="14"/>
  <c r="T644" i="14" s="1"/>
  <c r="V644" i="14" s="1"/>
  <c r="M645" i="14"/>
  <c r="T645" i="14" s="1"/>
  <c r="V645" i="14" s="1"/>
  <c r="M647" i="14"/>
  <c r="T647" i="14" s="1"/>
  <c r="V647" i="14" s="1"/>
  <c r="M648" i="14"/>
  <c r="T648" i="14" s="1"/>
  <c r="V648" i="14" s="1"/>
  <c r="M650" i="14"/>
  <c r="T650" i="14" s="1"/>
  <c r="V650" i="14" s="1"/>
  <c r="M651" i="14"/>
  <c r="T651" i="14" s="1"/>
  <c r="V651" i="14" s="1"/>
  <c r="M652" i="14"/>
  <c r="T652" i="14" s="1"/>
  <c r="V652" i="14" s="1"/>
  <c r="M653" i="14"/>
  <c r="T653" i="14" s="1"/>
  <c r="V653" i="14" s="1"/>
  <c r="M655" i="14"/>
  <c r="T655" i="14" s="1"/>
  <c r="V655" i="14" s="1"/>
  <c r="M658" i="14"/>
  <c r="T658" i="14" s="1"/>
  <c r="V658" i="14" s="1"/>
  <c r="M659" i="14"/>
  <c r="T659" i="14" s="1"/>
  <c r="V659" i="14" s="1"/>
  <c r="M660" i="14"/>
  <c r="T660" i="14" s="1"/>
  <c r="V660" i="14" s="1"/>
  <c r="M662" i="14"/>
  <c r="T662" i="14" s="1"/>
  <c r="V662" i="14" s="1"/>
  <c r="M663" i="14"/>
  <c r="T663" i="14" s="1"/>
  <c r="V663" i="14" s="1"/>
  <c r="M664" i="14"/>
  <c r="T664" i="14" s="1"/>
  <c r="V664" i="14" s="1"/>
  <c r="M665" i="14"/>
  <c r="T665" i="14" s="1"/>
  <c r="V665" i="14" s="1"/>
  <c r="M666" i="14"/>
  <c r="T666" i="14" s="1"/>
  <c r="V666" i="14" s="1"/>
  <c r="M668" i="14"/>
  <c r="T668" i="14" s="1"/>
  <c r="V668" i="14" s="1"/>
  <c r="M669" i="14"/>
  <c r="T669" i="14" s="1"/>
  <c r="V669" i="14" s="1"/>
  <c r="M670" i="14"/>
  <c r="T670" i="14" s="1"/>
  <c r="V670" i="14" s="1"/>
  <c r="M671" i="14"/>
  <c r="T671" i="14" s="1"/>
  <c r="V671" i="14" s="1"/>
  <c r="M672" i="14"/>
  <c r="T672" i="14" s="1"/>
  <c r="V672" i="14" s="1"/>
  <c r="M673" i="14"/>
  <c r="T673" i="14" s="1"/>
  <c r="V673" i="14" s="1"/>
  <c r="M675" i="14"/>
  <c r="T675" i="14" s="1"/>
  <c r="V675" i="14" s="1"/>
  <c r="M676" i="14"/>
  <c r="T676" i="14" s="1"/>
  <c r="V676" i="14" s="1"/>
  <c r="M677" i="14"/>
  <c r="T677" i="14" s="1"/>
  <c r="V677" i="14" s="1"/>
  <c r="M678" i="14"/>
  <c r="T678" i="14" s="1"/>
  <c r="V678" i="14" s="1"/>
  <c r="M679" i="14"/>
  <c r="T679" i="14" s="1"/>
  <c r="V679" i="14" s="1"/>
  <c r="M681" i="14"/>
  <c r="T681" i="14" s="1"/>
  <c r="V681" i="14" s="1"/>
  <c r="M682" i="14"/>
  <c r="T682" i="14" s="1"/>
  <c r="V682" i="14" s="1"/>
  <c r="M683" i="14"/>
  <c r="T683" i="14" s="1"/>
  <c r="V683" i="14" s="1"/>
  <c r="M684" i="14"/>
  <c r="T684" i="14" s="1"/>
  <c r="V684" i="14" s="1"/>
  <c r="M686" i="14"/>
  <c r="T686" i="14" s="1"/>
  <c r="V686" i="14" s="1"/>
  <c r="M687" i="14"/>
  <c r="T687" i="14" s="1"/>
  <c r="V687" i="14" s="1"/>
  <c r="M688" i="14"/>
  <c r="T688" i="14" s="1"/>
  <c r="V688" i="14" s="1"/>
  <c r="M689" i="14"/>
  <c r="T689" i="14" s="1"/>
  <c r="V689" i="14" s="1"/>
  <c r="M690" i="14"/>
  <c r="T690" i="14" s="1"/>
  <c r="V690" i="14" s="1"/>
  <c r="M692" i="14"/>
  <c r="T692" i="14" s="1"/>
  <c r="V692" i="14" s="1"/>
  <c r="M695" i="14"/>
  <c r="T695" i="14" s="1"/>
  <c r="V695" i="14" s="1"/>
  <c r="M696" i="14"/>
  <c r="T696" i="14" s="1"/>
  <c r="V696" i="14" s="1"/>
  <c r="M697" i="14"/>
  <c r="T697" i="14" s="1"/>
  <c r="V697" i="14" s="1"/>
  <c r="M698" i="14"/>
  <c r="T698" i="14" s="1"/>
  <c r="V698" i="14" s="1"/>
  <c r="M699" i="14"/>
  <c r="T699" i="14" s="1"/>
  <c r="V699" i="14" s="1"/>
  <c r="M701" i="14"/>
  <c r="T701" i="14" s="1"/>
  <c r="V701" i="14" s="1"/>
  <c r="M702" i="14"/>
  <c r="T702" i="14" s="1"/>
  <c r="V702" i="14" s="1"/>
  <c r="M703" i="14"/>
  <c r="T703" i="14" s="1"/>
  <c r="V703" i="14" s="1"/>
  <c r="M704" i="14"/>
  <c r="T704" i="14" s="1"/>
  <c r="V704" i="14" s="1"/>
  <c r="M706" i="14"/>
  <c r="M708" i="14"/>
  <c r="T708" i="14" s="1"/>
  <c r="V708" i="14" s="1"/>
  <c r="M709" i="14"/>
  <c r="T709" i="14" s="1"/>
  <c r="V709" i="14" s="1"/>
  <c r="M710" i="14"/>
  <c r="T710" i="14" s="1"/>
  <c r="V710" i="14" s="1"/>
  <c r="M711" i="14"/>
  <c r="T711" i="14" s="1"/>
  <c r="V711" i="14" s="1"/>
  <c r="M712" i="14"/>
  <c r="T712" i="14" s="1"/>
  <c r="V712" i="14" s="1"/>
  <c r="M713" i="14"/>
  <c r="T713" i="14" s="1"/>
  <c r="V713" i="14" s="1"/>
  <c r="M714" i="14"/>
  <c r="T714" i="14" s="1"/>
  <c r="V714" i="14" s="1"/>
  <c r="M715" i="14"/>
  <c r="T715" i="14" s="1"/>
  <c r="V715" i="14" s="1"/>
  <c r="M716" i="14"/>
  <c r="T716" i="14" s="1"/>
  <c r="V716" i="14" s="1"/>
  <c r="M717" i="14"/>
  <c r="T717" i="14" s="1"/>
  <c r="V717" i="14" s="1"/>
  <c r="M719" i="14"/>
  <c r="T719" i="14" s="1"/>
  <c r="V719" i="14" s="1"/>
  <c r="M720" i="14"/>
  <c r="T720" i="14" s="1"/>
  <c r="V720" i="14" s="1"/>
  <c r="M722" i="14"/>
  <c r="T722" i="14" s="1"/>
  <c r="V722" i="14" s="1"/>
  <c r="M723" i="14"/>
  <c r="T723" i="14" s="1"/>
  <c r="V723" i="14" s="1"/>
  <c r="M724" i="14"/>
  <c r="T724" i="14" s="1"/>
  <c r="V724" i="14" s="1"/>
  <c r="M726" i="14"/>
  <c r="T726" i="14" s="1"/>
  <c r="V726" i="14" s="1"/>
  <c r="M727" i="14"/>
  <c r="T727" i="14" s="1"/>
  <c r="V727" i="14" s="1"/>
  <c r="M728" i="14"/>
  <c r="M729" i="14"/>
  <c r="T729" i="14" s="1"/>
  <c r="V729" i="14" s="1"/>
  <c r="M730" i="14"/>
  <c r="T730" i="14" s="1"/>
  <c r="V730" i="14" s="1"/>
  <c r="M732" i="14"/>
  <c r="T732" i="14" s="1"/>
  <c r="V732" i="14" s="1"/>
  <c r="M733" i="14"/>
  <c r="T733" i="14" s="1"/>
  <c r="V733" i="14" s="1"/>
  <c r="M734" i="14"/>
  <c r="T734" i="14" s="1"/>
  <c r="V734" i="14" s="1"/>
  <c r="M735" i="14"/>
  <c r="T735" i="14" s="1"/>
  <c r="V735" i="14" s="1"/>
  <c r="M736" i="14"/>
  <c r="T736" i="14" s="1"/>
  <c r="V736" i="14" s="1"/>
  <c r="M737" i="14"/>
  <c r="T737" i="14" s="1"/>
  <c r="V737" i="14" s="1"/>
  <c r="M739" i="14"/>
  <c r="T739" i="14" s="1"/>
  <c r="V739" i="14" s="1"/>
  <c r="M740" i="14"/>
  <c r="T740" i="14" s="1"/>
  <c r="V740" i="14" s="1"/>
  <c r="M741" i="14"/>
  <c r="T741" i="14" s="1"/>
  <c r="V741" i="14" s="1"/>
  <c r="M742" i="14"/>
  <c r="T742" i="14" s="1"/>
  <c r="V742" i="14" s="1"/>
  <c r="M743" i="14"/>
  <c r="T743" i="14" s="1"/>
  <c r="V743" i="14" s="1"/>
  <c r="M744" i="14"/>
  <c r="T744" i="14" s="1"/>
  <c r="V744" i="14" s="1"/>
  <c r="M745" i="14"/>
  <c r="T745" i="14" s="1"/>
  <c r="V745" i="14" s="1"/>
  <c r="M746" i="14"/>
  <c r="T746" i="14" s="1"/>
  <c r="V746" i="14" s="1"/>
  <c r="M747" i="14"/>
  <c r="T747" i="14" s="1"/>
  <c r="V747" i="14" s="1"/>
  <c r="M748" i="14"/>
  <c r="T748" i="14" s="1"/>
  <c r="V748" i="14" s="1"/>
  <c r="M749" i="14"/>
  <c r="T749" i="14" s="1"/>
  <c r="V749" i="14" s="1"/>
  <c r="M750" i="14"/>
  <c r="T750" i="14" s="1"/>
  <c r="V750" i="14" s="1"/>
  <c r="M751" i="14"/>
  <c r="T751" i="14" s="1"/>
  <c r="V751" i="14" s="1"/>
  <c r="M753" i="14"/>
  <c r="T753" i="14" s="1"/>
  <c r="M754" i="14"/>
  <c r="T754" i="14" s="1"/>
  <c r="M756" i="14"/>
  <c r="T756" i="14" s="1"/>
  <c r="V756" i="14" s="1"/>
  <c r="M757" i="14"/>
  <c r="T757" i="14" s="1"/>
  <c r="V757" i="14" s="1"/>
  <c r="M759" i="14"/>
  <c r="T759" i="14" s="1"/>
  <c r="V759" i="14" s="1"/>
  <c r="M760" i="14"/>
  <c r="T760" i="14" s="1"/>
  <c r="V760" i="14" s="1"/>
  <c r="M762" i="14"/>
  <c r="T762" i="14" s="1"/>
  <c r="V762" i="14" s="1"/>
  <c r="M763" i="14"/>
  <c r="M765" i="14"/>
  <c r="T765" i="14" s="1"/>
  <c r="V765" i="14" s="1"/>
  <c r="M766" i="14"/>
  <c r="T766" i="14" s="1"/>
  <c r="V766" i="14" s="1"/>
  <c r="M767" i="14"/>
  <c r="T767" i="14" s="1"/>
  <c r="V767" i="14" s="1"/>
  <c r="M768" i="14"/>
  <c r="T768" i="14" s="1"/>
  <c r="V768" i="14" s="1"/>
  <c r="M770" i="14"/>
  <c r="T770" i="14" s="1"/>
  <c r="V770" i="14" s="1"/>
  <c r="M771" i="14"/>
  <c r="T771" i="14" s="1"/>
  <c r="V771" i="14" s="1"/>
  <c r="M772" i="14"/>
  <c r="T772" i="14" s="1"/>
  <c r="V772" i="14" s="1"/>
  <c r="M773" i="14"/>
  <c r="T773" i="14" s="1"/>
  <c r="V773" i="14" s="1"/>
  <c r="M775" i="14"/>
  <c r="T775" i="14" s="1"/>
  <c r="V775" i="14" s="1"/>
  <c r="M776" i="14"/>
  <c r="T776" i="14" s="1"/>
  <c r="V776" i="14" s="1"/>
  <c r="M778" i="14"/>
  <c r="T778" i="14" s="1"/>
  <c r="V778" i="14" s="1"/>
  <c r="M779" i="14"/>
  <c r="T779" i="14" s="1"/>
  <c r="V779" i="14" s="1"/>
  <c r="M780" i="14"/>
  <c r="T780" i="14" s="1"/>
  <c r="V780" i="14" s="1"/>
  <c r="M781" i="14"/>
  <c r="T781" i="14" s="1"/>
  <c r="V781" i="14" s="1"/>
  <c r="M782" i="14"/>
  <c r="T782" i="14" s="1"/>
  <c r="V782" i="14" s="1"/>
  <c r="M783" i="14"/>
  <c r="T783" i="14" s="1"/>
  <c r="V783" i="14" s="1"/>
  <c r="M784" i="14"/>
  <c r="T784" i="14" s="1"/>
  <c r="V784" i="14" s="1"/>
  <c r="M785" i="14"/>
  <c r="T785" i="14" s="1"/>
  <c r="V785" i="14" s="1"/>
  <c r="M786" i="14"/>
  <c r="T786" i="14" s="1"/>
  <c r="V786" i="14" s="1"/>
  <c r="M788" i="14"/>
  <c r="T788" i="14" s="1"/>
  <c r="V788" i="14" s="1"/>
  <c r="M789" i="14"/>
  <c r="T789" i="14" s="1"/>
  <c r="V789" i="14" s="1"/>
  <c r="M791" i="14"/>
  <c r="T791" i="14" s="1"/>
  <c r="V791" i="14" s="1"/>
  <c r="M792" i="14"/>
  <c r="T792" i="14" s="1"/>
  <c r="V792" i="14" s="1"/>
  <c r="M794" i="14"/>
  <c r="T794" i="14" s="1"/>
  <c r="V794" i="14" s="1"/>
  <c r="M795" i="14"/>
  <c r="T795" i="14" s="1"/>
  <c r="V795" i="14" s="1"/>
  <c r="M796" i="14"/>
  <c r="T796" i="14" s="1"/>
  <c r="V796" i="14" s="1"/>
  <c r="M797" i="14"/>
  <c r="T797" i="14" s="1"/>
  <c r="M798" i="14"/>
  <c r="T798" i="14" s="1"/>
  <c r="M799" i="14"/>
  <c r="T799" i="14" s="1"/>
  <c r="V799" i="14" s="1"/>
  <c r="M801" i="14"/>
  <c r="T801" i="14" s="1"/>
  <c r="V801" i="14" s="1"/>
  <c r="M802" i="14"/>
  <c r="T802" i="14" s="1"/>
  <c r="V802" i="14" s="1"/>
  <c r="M804" i="14"/>
  <c r="T804" i="14" s="1"/>
  <c r="V804" i="14" s="1"/>
  <c r="M807" i="14"/>
  <c r="T807" i="14" s="1"/>
  <c r="V807" i="14" s="1"/>
  <c r="M809" i="14"/>
  <c r="T809" i="14" s="1"/>
  <c r="V809" i="14" s="1"/>
  <c r="M810" i="14"/>
  <c r="T810" i="14" s="1"/>
  <c r="V810" i="14" s="1"/>
  <c r="M811" i="14"/>
  <c r="T811" i="14" s="1"/>
  <c r="M812" i="14"/>
  <c r="T812" i="14" s="1"/>
  <c r="V812" i="14" s="1"/>
  <c r="M814" i="14"/>
  <c r="T814" i="14" s="1"/>
  <c r="V814" i="14" s="1"/>
  <c r="M815" i="14"/>
  <c r="T815" i="14" s="1"/>
  <c r="V815" i="14" s="1"/>
  <c r="M817" i="14"/>
  <c r="T817" i="14" s="1"/>
  <c r="V817" i="14" s="1"/>
  <c r="M819" i="14"/>
  <c r="T819" i="14" s="1"/>
  <c r="V819" i="14" s="1"/>
  <c r="M820" i="14"/>
  <c r="T820" i="14" s="1"/>
  <c r="M821" i="14"/>
  <c r="T821" i="14" s="1"/>
  <c r="V821" i="14" s="1"/>
  <c r="M822" i="14"/>
  <c r="T822" i="14" s="1"/>
  <c r="V822" i="14" s="1"/>
  <c r="M823" i="14"/>
  <c r="T823" i="14" s="1"/>
  <c r="V823" i="14" s="1"/>
  <c r="M825" i="14"/>
  <c r="T825" i="14" s="1"/>
  <c r="V825" i="14" s="1"/>
  <c r="M826" i="14"/>
  <c r="T826" i="14" s="1"/>
  <c r="V826" i="14" s="1"/>
  <c r="M827" i="14"/>
  <c r="T827" i="14" s="1"/>
  <c r="M828" i="14"/>
  <c r="T828" i="14" s="1"/>
  <c r="V828" i="14" s="1"/>
  <c r="M829" i="14"/>
  <c r="T829" i="14" s="1"/>
  <c r="V829" i="14" s="1"/>
  <c r="M441" i="14"/>
  <c r="T441" i="14" s="1"/>
  <c r="V441" i="14" s="1"/>
  <c r="M435" i="14"/>
  <c r="T435" i="14" s="1"/>
  <c r="V435" i="14" s="1"/>
  <c r="M486" i="14"/>
  <c r="T486" i="14" s="1"/>
  <c r="V486" i="14" s="1"/>
  <c r="V800" i="14" l="1"/>
  <c r="T871" i="14"/>
  <c r="V96" i="14"/>
  <c r="T843" i="14"/>
  <c r="V94" i="14"/>
  <c r="T841" i="14"/>
  <c r="V102" i="14"/>
  <c r="T883" i="14"/>
  <c r="V820" i="14"/>
  <c r="T873" i="14"/>
  <c r="V797" i="14"/>
  <c r="T866" i="14"/>
  <c r="V818" i="14"/>
  <c r="T870" i="14"/>
  <c r="T880" i="14"/>
  <c r="V226" i="14"/>
  <c r="T845" i="14"/>
  <c r="V21" i="14"/>
  <c r="V754" i="14"/>
  <c r="T882" i="14"/>
  <c r="V217" i="14"/>
  <c r="T868" i="14"/>
  <c r="V753" i="14"/>
  <c r="T881" i="14"/>
  <c r="T849" i="14"/>
  <c r="V8" i="14"/>
  <c r="T875" i="14"/>
  <c r="V827" i="14"/>
  <c r="T858" i="14"/>
  <c r="V811" i="14"/>
  <c r="T869" i="14"/>
  <c r="V798" i="14"/>
  <c r="T857" i="14"/>
  <c r="V633" i="14"/>
  <c r="T844" i="14"/>
  <c r="V17" i="14"/>
  <c r="T876" i="14"/>
  <c r="V200" i="14"/>
  <c r="T840" i="14"/>
  <c r="V10" i="14"/>
  <c r="T839" i="14"/>
  <c r="V6" i="14"/>
  <c r="T853" i="14"/>
  <c r="T854" i="14"/>
  <c r="T865" i="14"/>
  <c r="T860" i="14"/>
  <c r="T872" i="14"/>
  <c r="T874" i="14"/>
  <c r="T856" i="14"/>
  <c r="T863" i="14"/>
  <c r="T859" i="14"/>
  <c r="T850" i="14"/>
  <c r="T848" i="14"/>
  <c r="T855" i="14"/>
  <c r="T877" i="14"/>
  <c r="T867" i="14"/>
  <c r="T728" i="14"/>
  <c r="V728" i="14" s="1"/>
  <c r="T838" i="14"/>
  <c r="T46" i="14"/>
  <c r="V46" i="14" s="1"/>
  <c r="M846" i="14"/>
  <c r="T22" i="14"/>
  <c r="T763" i="14"/>
  <c r="M707" i="14"/>
  <c r="T707" i="14" s="1"/>
  <c r="T706" i="14"/>
  <c r="V706" i="14" s="1"/>
  <c r="M625" i="14"/>
  <c r="T625" i="14" s="1"/>
  <c r="V625" i="14" s="1"/>
  <c r="T624" i="14"/>
  <c r="M857" i="14"/>
  <c r="M843" i="14"/>
  <c r="M871" i="14"/>
  <c r="M854" i="14"/>
  <c r="L861" i="14"/>
  <c r="M863" i="14"/>
  <c r="M201" i="14"/>
  <c r="T201" i="14" s="1"/>
  <c r="V201" i="14" s="1"/>
  <c r="L694" i="14"/>
  <c r="L589" i="14"/>
  <c r="M808" i="14"/>
  <c r="L830" i="14"/>
  <c r="M816" i="14"/>
  <c r="M864" i="14" s="1"/>
  <c r="L296" i="14"/>
  <c r="L395" i="14"/>
  <c r="L430" i="14"/>
  <c r="L878" i="14"/>
  <c r="M853" i="14"/>
  <c r="L109" i="14"/>
  <c r="M81" i="14"/>
  <c r="L623" i="14"/>
  <c r="L657" i="14"/>
  <c r="L721" i="14"/>
  <c r="L764" i="14"/>
  <c r="L806" i="14"/>
  <c r="L517" i="14"/>
  <c r="M855" i="14"/>
  <c r="M870" i="14"/>
  <c r="M859" i="14"/>
  <c r="M856" i="14"/>
  <c r="M858" i="14"/>
  <c r="M860" i="14"/>
  <c r="L852" i="14"/>
  <c r="L264" i="14"/>
  <c r="L463" i="14"/>
  <c r="L332" i="14"/>
  <c r="L495" i="14"/>
  <c r="L551" i="14"/>
  <c r="M738" i="14"/>
  <c r="T738" i="14" s="1"/>
  <c r="M752" i="14"/>
  <c r="T752" i="14" s="1"/>
  <c r="M769" i="14"/>
  <c r="T769" i="14" s="1"/>
  <c r="M755" i="14"/>
  <c r="T755" i="14" s="1"/>
  <c r="M725" i="14"/>
  <c r="T725" i="14" s="1"/>
  <c r="M427" i="14"/>
  <c r="T427" i="14" s="1"/>
  <c r="M112" i="14"/>
  <c r="T112" i="14" s="1"/>
  <c r="M502" i="14"/>
  <c r="T502" i="14" s="1"/>
  <c r="M126" i="14"/>
  <c r="T126" i="14" s="1"/>
  <c r="M514" i="14"/>
  <c r="T514" i="14" s="1"/>
  <c r="M118" i="14"/>
  <c r="T118" i="14" s="1"/>
  <c r="M576" i="14"/>
  <c r="T576" i="14" s="1"/>
  <c r="M546" i="14"/>
  <c r="T546" i="14" s="1"/>
  <c r="M379" i="14"/>
  <c r="T379" i="14" s="1"/>
  <c r="M363" i="14"/>
  <c r="T363" i="14" s="1"/>
  <c r="M274" i="14"/>
  <c r="T274" i="14" s="1"/>
  <c r="M186" i="14"/>
  <c r="T186" i="14" s="1"/>
  <c r="M790" i="14"/>
  <c r="T790" i="14" s="1"/>
  <c r="M654" i="14"/>
  <c r="T654" i="14" s="1"/>
  <c r="M563" i="14"/>
  <c r="T563" i="14" s="1"/>
  <c r="M540" i="14"/>
  <c r="T540" i="14" s="1"/>
  <c r="M369" i="14"/>
  <c r="T369" i="14" s="1"/>
  <c r="M335" i="14"/>
  <c r="T335" i="14" s="1"/>
  <c r="M323" i="14"/>
  <c r="T323" i="14" s="1"/>
  <c r="M304" i="14"/>
  <c r="T304" i="14" s="1"/>
  <c r="M268" i="14"/>
  <c r="T268" i="14" s="1"/>
  <c r="M192" i="14"/>
  <c r="T192" i="14" s="1"/>
  <c r="M172" i="14"/>
  <c r="T172" i="14" s="1"/>
  <c r="M761" i="14"/>
  <c r="T761" i="14" s="1"/>
  <c r="M700" i="14"/>
  <c r="T700" i="14" s="1"/>
  <c r="M524" i="14"/>
  <c r="T524" i="14" s="1"/>
  <c r="M447" i="14"/>
  <c r="T447" i="14" s="1"/>
  <c r="M405" i="14"/>
  <c r="T405" i="14" s="1"/>
  <c r="M329" i="14"/>
  <c r="T329" i="14" s="1"/>
  <c r="M229" i="14"/>
  <c r="T229" i="14" s="1"/>
  <c r="M150" i="14"/>
  <c r="T150" i="14" s="1"/>
  <c r="M793" i="14"/>
  <c r="T793" i="14" s="1"/>
  <c r="M718" i="14"/>
  <c r="T718" i="14" s="1"/>
  <c r="M674" i="14"/>
  <c r="T674" i="14" s="1"/>
  <c r="M629" i="14"/>
  <c r="T629" i="14" s="1"/>
  <c r="M584" i="14"/>
  <c r="T584" i="14" s="1"/>
  <c r="M579" i="14"/>
  <c r="T579" i="14" s="1"/>
  <c r="M467" i="14"/>
  <c r="T467" i="14" s="1"/>
  <c r="M411" i="14"/>
  <c r="T411" i="14" s="1"/>
  <c r="M399" i="14"/>
  <c r="T399" i="14" s="1"/>
  <c r="M382" i="14"/>
  <c r="T382" i="14" s="1"/>
  <c r="M310" i="14"/>
  <c r="T310" i="14" s="1"/>
  <c r="M300" i="14"/>
  <c r="T300" i="14" s="1"/>
  <c r="M225" i="14"/>
  <c r="T225" i="14" s="1"/>
  <c r="M620" i="14"/>
  <c r="T620" i="14" s="1"/>
  <c r="M777" i="14"/>
  <c r="T777" i="14" s="1"/>
  <c r="M667" i="14"/>
  <c r="T667" i="14" s="1"/>
  <c r="M649" i="14"/>
  <c r="T649" i="14" s="1"/>
  <c r="M607" i="14"/>
  <c r="T607" i="14" s="1"/>
  <c r="M593" i="14"/>
  <c r="T593" i="14" s="1"/>
  <c r="M479" i="14"/>
  <c r="T479" i="14" s="1"/>
  <c r="M440" i="14"/>
  <c r="T440" i="14" s="1"/>
  <c r="M340" i="14"/>
  <c r="T340" i="14" s="1"/>
  <c r="M281" i="14"/>
  <c r="T281" i="14" s="1"/>
  <c r="M243" i="14"/>
  <c r="T243" i="14" s="1"/>
  <c r="M210" i="14"/>
  <c r="T210" i="14" s="1"/>
  <c r="M139" i="14"/>
  <c r="T139" i="14" s="1"/>
  <c r="M803" i="14"/>
  <c r="T803" i="14" s="1"/>
  <c r="M731" i="14"/>
  <c r="T731" i="14" s="1"/>
  <c r="M705" i="14"/>
  <c r="T705" i="14" s="1"/>
  <c r="M691" i="14"/>
  <c r="T691" i="14" s="1"/>
  <c r="M685" i="14"/>
  <c r="T685" i="14" s="1"/>
  <c r="M661" i="14"/>
  <c r="T661" i="14" s="1"/>
  <c r="M637" i="14"/>
  <c r="T637" i="14" s="1"/>
  <c r="M599" i="14"/>
  <c r="T599" i="14" s="1"/>
  <c r="M555" i="14"/>
  <c r="T555" i="14" s="1"/>
  <c r="M537" i="14"/>
  <c r="T537" i="14" s="1"/>
  <c r="M472" i="14"/>
  <c r="T472" i="14" s="1"/>
  <c r="M460" i="14"/>
  <c r="T460" i="14" s="1"/>
  <c r="M434" i="14"/>
  <c r="T434" i="14" s="1"/>
  <c r="M424" i="14"/>
  <c r="T424" i="14" s="1"/>
  <c r="M388" i="14"/>
  <c r="T388" i="14" s="1"/>
  <c r="M349" i="14"/>
  <c r="T349" i="14" s="1"/>
  <c r="M293" i="14"/>
  <c r="T293" i="14" s="1"/>
  <c r="M232" i="14"/>
  <c r="T232" i="14" s="1"/>
  <c r="M165" i="14"/>
  <c r="T165" i="14" s="1"/>
  <c r="M490" i="14"/>
  <c r="T490" i="14" s="1"/>
  <c r="M320" i="14"/>
  <c r="T320" i="14" s="1"/>
  <c r="T264" i="14" l="1"/>
  <c r="T846" i="14"/>
  <c r="V22" i="14"/>
  <c r="T879" i="14"/>
  <c r="V624" i="14"/>
  <c r="T862" i="14"/>
  <c r="V763" i="14"/>
  <c r="M852" i="14"/>
  <c r="T808" i="14"/>
  <c r="M824" i="14"/>
  <c r="T824" i="14" s="1"/>
  <c r="T816" i="14"/>
  <c r="M851" i="14"/>
  <c r="T81" i="14"/>
  <c r="M842" i="14"/>
  <c r="M813" i="14"/>
  <c r="T813" i="14" s="1"/>
  <c r="M847" i="14"/>
  <c r="L831" i="14"/>
  <c r="M657" i="14"/>
  <c r="T657" i="14" s="1"/>
  <c r="L884" i="14"/>
  <c r="M694" i="14"/>
  <c r="T694" i="14" s="1"/>
  <c r="M551" i="14"/>
  <c r="T551" i="14" s="1"/>
  <c r="M517" i="14"/>
  <c r="T517" i="14" s="1"/>
  <c r="M430" i="14"/>
  <c r="T430" i="14" s="1"/>
  <c r="M806" i="14"/>
  <c r="T806" i="14" s="1"/>
  <c r="M332" i="14"/>
  <c r="T332" i="14" s="1"/>
  <c r="M395" i="14"/>
  <c r="T395" i="14" s="1"/>
  <c r="M495" i="14"/>
  <c r="T495" i="14" s="1"/>
  <c r="M589" i="14"/>
  <c r="T589" i="14" s="1"/>
  <c r="M623" i="14"/>
  <c r="T623" i="14" s="1"/>
  <c r="M721" i="14"/>
  <c r="T721" i="14" s="1"/>
  <c r="M764" i="14"/>
  <c r="T764" i="14" s="1"/>
  <c r="M296" i="14"/>
  <c r="T296" i="14" s="1"/>
  <c r="M463" i="14"/>
  <c r="T463" i="14" s="1"/>
  <c r="M264" i="14"/>
  <c r="I883" i="14"/>
  <c r="H883" i="14"/>
  <c r="G883" i="14"/>
  <c r="F883" i="14"/>
  <c r="E883" i="14"/>
  <c r="I882" i="14"/>
  <c r="H882" i="14"/>
  <c r="G882" i="14"/>
  <c r="F882" i="14"/>
  <c r="E882" i="14"/>
  <c r="I881" i="14"/>
  <c r="H881" i="14"/>
  <c r="G881" i="14"/>
  <c r="F881" i="14"/>
  <c r="E881" i="14"/>
  <c r="U880" i="14"/>
  <c r="I880" i="14"/>
  <c r="H880" i="14"/>
  <c r="G880" i="14"/>
  <c r="F880" i="14"/>
  <c r="E880" i="14"/>
  <c r="U879" i="14"/>
  <c r="I879" i="14"/>
  <c r="H879" i="14"/>
  <c r="G879" i="14"/>
  <c r="F879" i="14"/>
  <c r="E879" i="14"/>
  <c r="U877" i="14"/>
  <c r="I877" i="14"/>
  <c r="H877" i="14"/>
  <c r="G877" i="14"/>
  <c r="F877" i="14"/>
  <c r="E877" i="14"/>
  <c r="U876" i="14"/>
  <c r="I876" i="14"/>
  <c r="H876" i="14"/>
  <c r="G876" i="14"/>
  <c r="F876" i="14"/>
  <c r="E876" i="14"/>
  <c r="U875" i="14"/>
  <c r="I875" i="14"/>
  <c r="H875" i="14"/>
  <c r="G875" i="14"/>
  <c r="F875" i="14"/>
  <c r="E875" i="14"/>
  <c r="U874" i="14"/>
  <c r="I874" i="14"/>
  <c r="H874" i="14"/>
  <c r="G874" i="14"/>
  <c r="F874" i="14"/>
  <c r="E874" i="14"/>
  <c r="U873" i="14"/>
  <c r="I873" i="14"/>
  <c r="H873" i="14"/>
  <c r="G873" i="14"/>
  <c r="F873" i="14"/>
  <c r="E873" i="14"/>
  <c r="U872" i="14"/>
  <c r="I872" i="14"/>
  <c r="H872" i="14"/>
  <c r="G872" i="14"/>
  <c r="F872" i="14"/>
  <c r="E872" i="14"/>
  <c r="U869" i="14"/>
  <c r="I869" i="14"/>
  <c r="H869" i="14"/>
  <c r="G869" i="14"/>
  <c r="F869" i="14"/>
  <c r="E869" i="14"/>
  <c r="U868" i="14"/>
  <c r="I868" i="14"/>
  <c r="H868" i="14"/>
  <c r="G868" i="14"/>
  <c r="F868" i="14"/>
  <c r="E868" i="14"/>
  <c r="U867" i="14"/>
  <c r="I867" i="14"/>
  <c r="H867" i="14"/>
  <c r="G867" i="14"/>
  <c r="F867" i="14"/>
  <c r="E867" i="14"/>
  <c r="I866" i="14"/>
  <c r="H866" i="14"/>
  <c r="G866" i="14"/>
  <c r="F866" i="14"/>
  <c r="E866" i="14"/>
  <c r="I865" i="14"/>
  <c r="H865" i="14"/>
  <c r="G865" i="14"/>
  <c r="F865" i="14"/>
  <c r="E865" i="14"/>
  <c r="I862" i="14"/>
  <c r="H862" i="14"/>
  <c r="G862" i="14"/>
  <c r="F862" i="14"/>
  <c r="E862" i="14"/>
  <c r="U860" i="14"/>
  <c r="I860" i="14"/>
  <c r="H860" i="14"/>
  <c r="G860" i="14"/>
  <c r="F860" i="14"/>
  <c r="E860" i="14"/>
  <c r="U859" i="14"/>
  <c r="I859" i="14"/>
  <c r="H859" i="14"/>
  <c r="G859" i="14"/>
  <c r="F859" i="14"/>
  <c r="E859" i="14"/>
  <c r="U856" i="14"/>
  <c r="I856" i="14"/>
  <c r="H856" i="14"/>
  <c r="G856" i="14"/>
  <c r="F856" i="14"/>
  <c r="E856" i="14"/>
  <c r="U855" i="14"/>
  <c r="I855" i="14"/>
  <c r="H855" i="14"/>
  <c r="G855" i="14"/>
  <c r="F855" i="14"/>
  <c r="E855" i="14"/>
  <c r="U853" i="14"/>
  <c r="I853" i="14"/>
  <c r="H853" i="14"/>
  <c r="G853" i="14"/>
  <c r="F853" i="14"/>
  <c r="E853" i="14"/>
  <c r="U850" i="14"/>
  <c r="I850" i="14"/>
  <c r="H850" i="14"/>
  <c r="G850" i="14"/>
  <c r="F850" i="14"/>
  <c r="E850" i="14"/>
  <c r="U849" i="14"/>
  <c r="I849" i="14"/>
  <c r="H849" i="14"/>
  <c r="G849" i="14"/>
  <c r="F849" i="14"/>
  <c r="E849" i="14"/>
  <c r="U848" i="14"/>
  <c r="I848" i="14"/>
  <c r="H848" i="14"/>
  <c r="G848" i="14"/>
  <c r="F848" i="14"/>
  <c r="E848" i="14"/>
  <c r="U845" i="14"/>
  <c r="I845" i="14"/>
  <c r="H845" i="14"/>
  <c r="G845" i="14"/>
  <c r="F845" i="14"/>
  <c r="E845" i="14"/>
  <c r="U844" i="14"/>
  <c r="I844" i="14"/>
  <c r="H844" i="14"/>
  <c r="G844" i="14"/>
  <c r="F844" i="14"/>
  <c r="E844" i="14"/>
  <c r="U842" i="14"/>
  <c r="I841" i="14"/>
  <c r="H841" i="14"/>
  <c r="G841" i="14"/>
  <c r="F841" i="14"/>
  <c r="E841" i="14"/>
  <c r="U840" i="14"/>
  <c r="I840" i="14"/>
  <c r="H840" i="14"/>
  <c r="G840" i="14"/>
  <c r="F840" i="14"/>
  <c r="E840" i="14"/>
  <c r="I839" i="14"/>
  <c r="H839" i="14"/>
  <c r="G839" i="14"/>
  <c r="F839" i="14"/>
  <c r="E839" i="14"/>
  <c r="I838" i="14"/>
  <c r="H838" i="14"/>
  <c r="G838" i="14"/>
  <c r="F838" i="14"/>
  <c r="E838" i="14"/>
  <c r="I824" i="14"/>
  <c r="H824" i="14"/>
  <c r="G824" i="14"/>
  <c r="F824" i="14"/>
  <c r="E824" i="14"/>
  <c r="U813" i="14"/>
  <c r="I813" i="14"/>
  <c r="H813" i="14"/>
  <c r="G813" i="14"/>
  <c r="F813" i="14"/>
  <c r="E813" i="14"/>
  <c r="U803" i="14"/>
  <c r="V803" i="14" s="1"/>
  <c r="I803" i="14"/>
  <c r="H803" i="14"/>
  <c r="G803" i="14"/>
  <c r="F803" i="14"/>
  <c r="E803" i="14"/>
  <c r="U793" i="14"/>
  <c r="V793" i="14" s="1"/>
  <c r="I793" i="14"/>
  <c r="H793" i="14"/>
  <c r="G793" i="14"/>
  <c r="F793" i="14"/>
  <c r="E793" i="14"/>
  <c r="U790" i="14"/>
  <c r="V790" i="14" s="1"/>
  <c r="I790" i="14"/>
  <c r="H790" i="14"/>
  <c r="G790" i="14"/>
  <c r="F790" i="14"/>
  <c r="E790" i="14"/>
  <c r="U777" i="14"/>
  <c r="V777" i="14" s="1"/>
  <c r="I777" i="14"/>
  <c r="H777" i="14"/>
  <c r="G777" i="14"/>
  <c r="F777" i="14"/>
  <c r="E777" i="14"/>
  <c r="U769" i="14"/>
  <c r="V769" i="14" s="1"/>
  <c r="I769" i="14"/>
  <c r="H769" i="14"/>
  <c r="G769" i="14"/>
  <c r="F769" i="14"/>
  <c r="E769" i="14"/>
  <c r="U761" i="14"/>
  <c r="V761" i="14" s="1"/>
  <c r="I761" i="14"/>
  <c r="H761" i="14"/>
  <c r="G761" i="14"/>
  <c r="F761" i="14"/>
  <c r="E761" i="14"/>
  <c r="U755" i="14"/>
  <c r="V755" i="14" s="1"/>
  <c r="I755" i="14"/>
  <c r="H755" i="14"/>
  <c r="G755" i="14"/>
  <c r="F755" i="14"/>
  <c r="E755" i="14"/>
  <c r="U752" i="14"/>
  <c r="V752" i="14" s="1"/>
  <c r="I752" i="14"/>
  <c r="H752" i="14"/>
  <c r="G752" i="14"/>
  <c r="F752" i="14"/>
  <c r="E752" i="14"/>
  <c r="U738" i="14"/>
  <c r="V738" i="14" s="1"/>
  <c r="I738" i="14"/>
  <c r="H738" i="14"/>
  <c r="G738" i="14"/>
  <c r="F738" i="14"/>
  <c r="E738" i="14"/>
  <c r="U731" i="14"/>
  <c r="V731" i="14" s="1"/>
  <c r="I731" i="14"/>
  <c r="H731" i="14"/>
  <c r="G731" i="14"/>
  <c r="F731" i="14"/>
  <c r="E731" i="14"/>
  <c r="U725" i="14"/>
  <c r="V725" i="14" s="1"/>
  <c r="I725" i="14"/>
  <c r="H725" i="14"/>
  <c r="G725" i="14"/>
  <c r="F725" i="14"/>
  <c r="E725" i="14"/>
  <c r="U718" i="14"/>
  <c r="V718" i="14" s="1"/>
  <c r="I718" i="14"/>
  <c r="H718" i="14"/>
  <c r="G718" i="14"/>
  <c r="F718" i="14"/>
  <c r="E718" i="14"/>
  <c r="U707" i="14"/>
  <c r="V707" i="14" s="1"/>
  <c r="I707" i="14"/>
  <c r="H707" i="14"/>
  <c r="G707" i="14"/>
  <c r="F707" i="14"/>
  <c r="E707" i="14"/>
  <c r="U705" i="14"/>
  <c r="V705" i="14" s="1"/>
  <c r="I705" i="14"/>
  <c r="H705" i="14"/>
  <c r="G705" i="14"/>
  <c r="F705" i="14"/>
  <c r="E705" i="14"/>
  <c r="U700" i="14"/>
  <c r="V700" i="14" s="1"/>
  <c r="I700" i="14"/>
  <c r="H700" i="14"/>
  <c r="G700" i="14"/>
  <c r="F700" i="14"/>
  <c r="E700" i="14"/>
  <c r="U691" i="14"/>
  <c r="V691" i="14" s="1"/>
  <c r="I691" i="14"/>
  <c r="H691" i="14"/>
  <c r="G691" i="14"/>
  <c r="F691" i="14"/>
  <c r="E691" i="14"/>
  <c r="U685" i="14"/>
  <c r="V685" i="14" s="1"/>
  <c r="I685" i="14"/>
  <c r="H685" i="14"/>
  <c r="G685" i="14"/>
  <c r="F685" i="14"/>
  <c r="E685" i="14"/>
  <c r="U674" i="14"/>
  <c r="V674" i="14" s="1"/>
  <c r="I674" i="14"/>
  <c r="H674" i="14"/>
  <c r="G674" i="14"/>
  <c r="F674" i="14"/>
  <c r="E674" i="14"/>
  <c r="U667" i="14"/>
  <c r="V667" i="14" s="1"/>
  <c r="I667" i="14"/>
  <c r="H667" i="14"/>
  <c r="G667" i="14"/>
  <c r="F667" i="14"/>
  <c r="E667" i="14"/>
  <c r="U661" i="14"/>
  <c r="V661" i="14" s="1"/>
  <c r="I661" i="14"/>
  <c r="H661" i="14"/>
  <c r="G661" i="14"/>
  <c r="F661" i="14"/>
  <c r="E661" i="14"/>
  <c r="U654" i="14"/>
  <c r="V654" i="14" s="1"/>
  <c r="I654" i="14"/>
  <c r="H654" i="14"/>
  <c r="G654" i="14"/>
  <c r="F654" i="14"/>
  <c r="E654" i="14"/>
  <c r="U649" i="14"/>
  <c r="V649" i="14" s="1"/>
  <c r="I649" i="14"/>
  <c r="H649" i="14"/>
  <c r="G649" i="14"/>
  <c r="F649" i="14"/>
  <c r="E649" i="14"/>
  <c r="U637" i="14"/>
  <c r="V637" i="14" s="1"/>
  <c r="I637" i="14"/>
  <c r="H637" i="14"/>
  <c r="G637" i="14"/>
  <c r="F637" i="14"/>
  <c r="E637" i="14"/>
  <c r="U629" i="14"/>
  <c r="V629" i="14" s="1"/>
  <c r="I629" i="14"/>
  <c r="H629" i="14"/>
  <c r="G629" i="14"/>
  <c r="F629" i="14"/>
  <c r="E629" i="14"/>
  <c r="I625" i="14"/>
  <c r="I852" i="14" s="1"/>
  <c r="H625" i="14"/>
  <c r="H852" i="14" s="1"/>
  <c r="G625" i="14"/>
  <c r="G852" i="14" s="1"/>
  <c r="F625" i="14"/>
  <c r="F852" i="14" s="1"/>
  <c r="E625" i="14"/>
  <c r="U620" i="14"/>
  <c r="V620" i="14" s="1"/>
  <c r="I620" i="14"/>
  <c r="H620" i="14"/>
  <c r="G620" i="14"/>
  <c r="F620" i="14"/>
  <c r="E620" i="14"/>
  <c r="U607" i="14"/>
  <c r="V607" i="14" s="1"/>
  <c r="I607" i="14"/>
  <c r="H607" i="14"/>
  <c r="G607" i="14"/>
  <c r="F607" i="14"/>
  <c r="E607" i="14"/>
  <c r="U599" i="14"/>
  <c r="V599" i="14" s="1"/>
  <c r="I599" i="14"/>
  <c r="H599" i="14"/>
  <c r="G599" i="14"/>
  <c r="F599" i="14"/>
  <c r="E599" i="14"/>
  <c r="U593" i="14"/>
  <c r="V593" i="14" s="1"/>
  <c r="I593" i="14"/>
  <c r="H593" i="14"/>
  <c r="G593" i="14"/>
  <c r="F593" i="14"/>
  <c r="E593" i="14"/>
  <c r="U584" i="14"/>
  <c r="V584" i="14" s="1"/>
  <c r="I584" i="14"/>
  <c r="H584" i="14"/>
  <c r="G584" i="14"/>
  <c r="F584" i="14"/>
  <c r="E584" i="14"/>
  <c r="U579" i="14"/>
  <c r="V579" i="14" s="1"/>
  <c r="I579" i="14"/>
  <c r="H579" i="14"/>
  <c r="G579" i="14"/>
  <c r="F579" i="14"/>
  <c r="E579" i="14"/>
  <c r="U576" i="14"/>
  <c r="V576" i="14" s="1"/>
  <c r="I576" i="14"/>
  <c r="H576" i="14"/>
  <c r="G576" i="14"/>
  <c r="F576" i="14"/>
  <c r="E576" i="14"/>
  <c r="U563" i="14"/>
  <c r="V563" i="14" s="1"/>
  <c r="I563" i="14"/>
  <c r="H563" i="14"/>
  <c r="G563" i="14"/>
  <c r="F563" i="14"/>
  <c r="E563" i="14"/>
  <c r="U555" i="14"/>
  <c r="V555" i="14" s="1"/>
  <c r="I555" i="14"/>
  <c r="H555" i="14"/>
  <c r="G555" i="14"/>
  <c r="F555" i="14"/>
  <c r="E555" i="14"/>
  <c r="U546" i="14"/>
  <c r="V546" i="14" s="1"/>
  <c r="I546" i="14"/>
  <c r="H546" i="14"/>
  <c r="G546" i="14"/>
  <c r="F546" i="14"/>
  <c r="E546" i="14"/>
  <c r="U540" i="14"/>
  <c r="V540" i="14" s="1"/>
  <c r="I540" i="14"/>
  <c r="H540" i="14"/>
  <c r="G540" i="14"/>
  <c r="F540" i="14"/>
  <c r="E540" i="14"/>
  <c r="U537" i="14"/>
  <c r="V537" i="14" s="1"/>
  <c r="I537" i="14"/>
  <c r="H537" i="14"/>
  <c r="G537" i="14"/>
  <c r="F537" i="14"/>
  <c r="E537" i="14"/>
  <c r="U524" i="14"/>
  <c r="V524" i="14" s="1"/>
  <c r="I524" i="14"/>
  <c r="H524" i="14"/>
  <c r="G524" i="14"/>
  <c r="F524" i="14"/>
  <c r="E524" i="14"/>
  <c r="U514" i="14"/>
  <c r="V514" i="14" s="1"/>
  <c r="I514" i="14"/>
  <c r="H514" i="14"/>
  <c r="G514" i="14"/>
  <c r="F514" i="14"/>
  <c r="E514" i="14"/>
  <c r="U502" i="14"/>
  <c r="V502" i="14" s="1"/>
  <c r="I502" i="14"/>
  <c r="H502" i="14"/>
  <c r="G502" i="14"/>
  <c r="F502" i="14"/>
  <c r="E502" i="14"/>
  <c r="U490" i="14"/>
  <c r="V490" i="14" s="1"/>
  <c r="I490" i="14"/>
  <c r="H490" i="14"/>
  <c r="G490" i="14"/>
  <c r="F490" i="14"/>
  <c r="E490" i="14"/>
  <c r="U479" i="14"/>
  <c r="V479" i="14" s="1"/>
  <c r="I479" i="14"/>
  <c r="H479" i="14"/>
  <c r="G479" i="14"/>
  <c r="F479" i="14"/>
  <c r="E479" i="14"/>
  <c r="U472" i="14"/>
  <c r="V472" i="14" s="1"/>
  <c r="I472" i="14"/>
  <c r="H472" i="14"/>
  <c r="G472" i="14"/>
  <c r="F472" i="14"/>
  <c r="E472" i="14"/>
  <c r="U467" i="14"/>
  <c r="V467" i="14" s="1"/>
  <c r="I467" i="14"/>
  <c r="H467" i="14"/>
  <c r="G467" i="14"/>
  <c r="F467" i="14"/>
  <c r="E467" i="14"/>
  <c r="U460" i="14"/>
  <c r="V460" i="14" s="1"/>
  <c r="I460" i="14"/>
  <c r="H460" i="14"/>
  <c r="G460" i="14"/>
  <c r="F460" i="14"/>
  <c r="E460" i="14"/>
  <c r="U447" i="14"/>
  <c r="V447" i="14" s="1"/>
  <c r="I447" i="14"/>
  <c r="H447" i="14"/>
  <c r="G447" i="14"/>
  <c r="F447" i="14"/>
  <c r="E447" i="14"/>
  <c r="U440" i="14"/>
  <c r="V440" i="14" s="1"/>
  <c r="I440" i="14"/>
  <c r="H440" i="14"/>
  <c r="G440" i="14"/>
  <c r="F440" i="14"/>
  <c r="E440" i="14"/>
  <c r="U434" i="14"/>
  <c r="V434" i="14" s="1"/>
  <c r="I434" i="14"/>
  <c r="H434" i="14"/>
  <c r="G434" i="14"/>
  <c r="F434" i="14"/>
  <c r="E434" i="14"/>
  <c r="U427" i="14"/>
  <c r="V427" i="14" s="1"/>
  <c r="I427" i="14"/>
  <c r="H427" i="14"/>
  <c r="G427" i="14"/>
  <c r="F427" i="14"/>
  <c r="E427" i="14"/>
  <c r="U424" i="14"/>
  <c r="V424" i="14" s="1"/>
  <c r="I424" i="14"/>
  <c r="H424" i="14"/>
  <c r="G424" i="14"/>
  <c r="F424" i="14"/>
  <c r="E424" i="14"/>
  <c r="U411" i="14"/>
  <c r="V411" i="14" s="1"/>
  <c r="I411" i="14"/>
  <c r="H411" i="14"/>
  <c r="G411" i="14"/>
  <c r="F411" i="14"/>
  <c r="E411" i="14"/>
  <c r="U405" i="14"/>
  <c r="V405" i="14" s="1"/>
  <c r="I405" i="14"/>
  <c r="H405" i="14"/>
  <c r="G405" i="14"/>
  <c r="F405" i="14"/>
  <c r="E405" i="14"/>
  <c r="U399" i="14"/>
  <c r="V399" i="14" s="1"/>
  <c r="I399" i="14"/>
  <c r="H399" i="14"/>
  <c r="G399" i="14"/>
  <c r="F399" i="14"/>
  <c r="E399" i="14"/>
  <c r="U388" i="14"/>
  <c r="V388" i="14" s="1"/>
  <c r="I388" i="14"/>
  <c r="H388" i="14"/>
  <c r="G388" i="14"/>
  <c r="F388" i="14"/>
  <c r="E388" i="14"/>
  <c r="U382" i="14"/>
  <c r="V382" i="14" s="1"/>
  <c r="I382" i="14"/>
  <c r="H382" i="14"/>
  <c r="G382" i="14"/>
  <c r="F382" i="14"/>
  <c r="E382" i="14"/>
  <c r="U379" i="14"/>
  <c r="V379" i="14" s="1"/>
  <c r="I379" i="14"/>
  <c r="H379" i="14"/>
  <c r="G379" i="14"/>
  <c r="F379" i="14"/>
  <c r="E379" i="14"/>
  <c r="U369" i="14"/>
  <c r="V369" i="14" s="1"/>
  <c r="I369" i="14"/>
  <c r="H369" i="14"/>
  <c r="G369" i="14"/>
  <c r="F369" i="14"/>
  <c r="E369" i="14"/>
  <c r="U363" i="14"/>
  <c r="V363" i="14" s="1"/>
  <c r="I363" i="14"/>
  <c r="H363" i="14"/>
  <c r="G363" i="14"/>
  <c r="F363" i="14"/>
  <c r="E363" i="14"/>
  <c r="U349" i="14"/>
  <c r="V349" i="14" s="1"/>
  <c r="I349" i="14"/>
  <c r="H349" i="14"/>
  <c r="G349" i="14"/>
  <c r="F349" i="14"/>
  <c r="E349" i="14"/>
  <c r="U340" i="14"/>
  <c r="V340" i="14" s="1"/>
  <c r="I340" i="14"/>
  <c r="H340" i="14"/>
  <c r="G340" i="14"/>
  <c r="F340" i="14"/>
  <c r="E340" i="14"/>
  <c r="U335" i="14"/>
  <c r="V335" i="14" s="1"/>
  <c r="I335" i="14"/>
  <c r="H335" i="14"/>
  <c r="G335" i="14"/>
  <c r="F335" i="14"/>
  <c r="E335" i="14"/>
  <c r="U329" i="14"/>
  <c r="V329" i="14" s="1"/>
  <c r="I329" i="14"/>
  <c r="H329" i="14"/>
  <c r="G329" i="14"/>
  <c r="F329" i="14"/>
  <c r="E329" i="14"/>
  <c r="U323" i="14"/>
  <c r="V323" i="14" s="1"/>
  <c r="I323" i="14"/>
  <c r="H323" i="14"/>
  <c r="G323" i="14"/>
  <c r="F323" i="14"/>
  <c r="E323" i="14"/>
  <c r="U320" i="14"/>
  <c r="V320" i="14" s="1"/>
  <c r="I320" i="14"/>
  <c r="H320" i="14"/>
  <c r="G320" i="14"/>
  <c r="F320" i="14"/>
  <c r="E320" i="14"/>
  <c r="U310" i="14"/>
  <c r="V310" i="14" s="1"/>
  <c r="I310" i="14"/>
  <c r="H310" i="14"/>
  <c r="G310" i="14"/>
  <c r="F310" i="14"/>
  <c r="E310" i="14"/>
  <c r="U304" i="14"/>
  <c r="V304" i="14" s="1"/>
  <c r="I304" i="14"/>
  <c r="H304" i="14"/>
  <c r="G304" i="14"/>
  <c r="F304" i="14"/>
  <c r="E304" i="14"/>
  <c r="U300" i="14"/>
  <c r="V300" i="14" s="1"/>
  <c r="I300" i="14"/>
  <c r="H300" i="14"/>
  <c r="G300" i="14"/>
  <c r="F300" i="14"/>
  <c r="E300" i="14"/>
  <c r="U293" i="14"/>
  <c r="V293" i="14" s="1"/>
  <c r="I293" i="14"/>
  <c r="H293" i="14"/>
  <c r="G293" i="14"/>
  <c r="F293" i="14"/>
  <c r="E293" i="14"/>
  <c r="U281" i="14"/>
  <c r="V281" i="14" s="1"/>
  <c r="I281" i="14"/>
  <c r="H281" i="14"/>
  <c r="G281" i="14"/>
  <c r="F281" i="14"/>
  <c r="E281" i="14"/>
  <c r="U274" i="14"/>
  <c r="V274" i="14" s="1"/>
  <c r="I274" i="14"/>
  <c r="H274" i="14"/>
  <c r="G274" i="14"/>
  <c r="F274" i="14"/>
  <c r="E274" i="14"/>
  <c r="U268" i="14"/>
  <c r="V268" i="14" s="1"/>
  <c r="I268" i="14"/>
  <c r="H268" i="14"/>
  <c r="G268" i="14"/>
  <c r="F268" i="14"/>
  <c r="E268" i="14"/>
  <c r="U243" i="14"/>
  <c r="V243" i="14" s="1"/>
  <c r="I243" i="14"/>
  <c r="H243" i="14"/>
  <c r="G243" i="14"/>
  <c r="F243" i="14"/>
  <c r="E243" i="14"/>
  <c r="U232" i="14"/>
  <c r="V232" i="14" s="1"/>
  <c r="I232" i="14"/>
  <c r="H232" i="14"/>
  <c r="G232" i="14"/>
  <c r="F232" i="14"/>
  <c r="E232" i="14"/>
  <c r="U229" i="14"/>
  <c r="V229" i="14" s="1"/>
  <c r="I229" i="14"/>
  <c r="H229" i="14"/>
  <c r="G229" i="14"/>
  <c r="F229" i="14"/>
  <c r="E229" i="14"/>
  <c r="U225" i="14"/>
  <c r="V225" i="14" s="1"/>
  <c r="I225" i="14"/>
  <c r="H225" i="14"/>
  <c r="G225" i="14"/>
  <c r="F225" i="14"/>
  <c r="E225" i="14"/>
  <c r="U210" i="14"/>
  <c r="V210" i="14" s="1"/>
  <c r="I210" i="14"/>
  <c r="H210" i="14"/>
  <c r="G210" i="14"/>
  <c r="F210" i="14"/>
  <c r="E210" i="14"/>
  <c r="U192" i="14"/>
  <c r="V192" i="14" s="1"/>
  <c r="I192" i="14"/>
  <c r="H192" i="14"/>
  <c r="G192" i="14"/>
  <c r="F192" i="14"/>
  <c r="E192" i="14"/>
  <c r="U186" i="14"/>
  <c r="V186" i="14" s="1"/>
  <c r="I186" i="14"/>
  <c r="H186" i="14"/>
  <c r="G186" i="14"/>
  <c r="F186" i="14"/>
  <c r="E186" i="14"/>
  <c r="U172" i="14"/>
  <c r="V172" i="14" s="1"/>
  <c r="I172" i="14"/>
  <c r="H172" i="14"/>
  <c r="G172" i="14"/>
  <c r="F172" i="14"/>
  <c r="E172" i="14"/>
  <c r="U165" i="14"/>
  <c r="V165" i="14" s="1"/>
  <c r="I165" i="14"/>
  <c r="H165" i="14"/>
  <c r="G165" i="14"/>
  <c r="F165" i="14"/>
  <c r="E165" i="14"/>
  <c r="U150" i="14"/>
  <c r="V150" i="14" s="1"/>
  <c r="I150" i="14"/>
  <c r="H150" i="14"/>
  <c r="G150" i="14"/>
  <c r="F150" i="14"/>
  <c r="E150" i="14"/>
  <c r="U139" i="14"/>
  <c r="V139" i="14" s="1"/>
  <c r="I139" i="14"/>
  <c r="H139" i="14"/>
  <c r="G139" i="14"/>
  <c r="F139" i="14"/>
  <c r="E139" i="14"/>
  <c r="U126" i="14"/>
  <c r="V126" i="14" s="1"/>
  <c r="I126" i="14"/>
  <c r="H126" i="14"/>
  <c r="G126" i="14"/>
  <c r="F126" i="14"/>
  <c r="E126" i="14"/>
  <c r="U118" i="14"/>
  <c r="V118" i="14" s="1"/>
  <c r="I118" i="14"/>
  <c r="H118" i="14"/>
  <c r="G118" i="14"/>
  <c r="F118" i="14"/>
  <c r="E118" i="14"/>
  <c r="U112" i="14"/>
  <c r="V112" i="14" s="1"/>
  <c r="I112" i="14"/>
  <c r="H112" i="14"/>
  <c r="G112" i="14"/>
  <c r="F112" i="14"/>
  <c r="E112" i="14"/>
  <c r="I109" i="14"/>
  <c r="H109" i="14"/>
  <c r="G109" i="14"/>
  <c r="F109" i="14"/>
  <c r="E109" i="14"/>
  <c r="M109" i="14" l="1"/>
  <c r="V81" i="14"/>
  <c r="T847" i="14"/>
  <c r="T851" i="14"/>
  <c r="T852" i="14"/>
  <c r="V808" i="14"/>
  <c r="T109" i="14"/>
  <c r="V109" i="14" s="1"/>
  <c r="T864" i="14"/>
  <c r="V816" i="14"/>
  <c r="T878" i="14"/>
  <c r="V824" i="14"/>
  <c r="T861" i="14"/>
  <c r="V813" i="14"/>
  <c r="T842" i="14"/>
  <c r="M838" i="14"/>
  <c r="M865" i="14"/>
  <c r="M866" i="14"/>
  <c r="U264" i="14"/>
  <c r="V264" i="14" s="1"/>
  <c r="M861" i="14"/>
  <c r="E861" i="14"/>
  <c r="I861" i="14"/>
  <c r="H861" i="14"/>
  <c r="F861" i="14"/>
  <c r="U861" i="14"/>
  <c r="G861" i="14"/>
  <c r="E830" i="14"/>
  <c r="F878" i="14"/>
  <c r="G878" i="14"/>
  <c r="U878" i="14"/>
  <c r="H878" i="14"/>
  <c r="E878" i="14"/>
  <c r="I878" i="14"/>
  <c r="M868" i="14"/>
  <c r="M872" i="14"/>
  <c r="M874" i="14"/>
  <c r="M876" i="14"/>
  <c r="M867" i="14"/>
  <c r="M869" i="14"/>
  <c r="M873" i="14"/>
  <c r="M875" i="14"/>
  <c r="M877" i="14"/>
  <c r="M862" i="14"/>
  <c r="M880" i="14"/>
  <c r="M882" i="14"/>
  <c r="M840" i="14"/>
  <c r="M844" i="14"/>
  <c r="M848" i="14"/>
  <c r="M850" i="14"/>
  <c r="M839" i="14"/>
  <c r="M841" i="14"/>
  <c r="M845" i="14"/>
  <c r="M849" i="14"/>
  <c r="M879" i="14"/>
  <c r="M881" i="14"/>
  <c r="M883" i="14"/>
  <c r="E852" i="14"/>
  <c r="I395" i="14"/>
  <c r="E495" i="14"/>
  <c r="I495" i="14"/>
  <c r="H495" i="14"/>
  <c r="I517" i="14"/>
  <c r="F551" i="14"/>
  <c r="H551" i="14"/>
  <c r="H589" i="14"/>
  <c r="E589" i="14"/>
  <c r="G589" i="14"/>
  <c r="E623" i="14"/>
  <c r="G623" i="14"/>
  <c r="I623" i="14"/>
  <c r="F764" i="14"/>
  <c r="G495" i="14"/>
  <c r="I296" i="14"/>
  <c r="H332" i="14"/>
  <c r="I806" i="14"/>
  <c r="G296" i="14"/>
  <c r="E395" i="14"/>
  <c r="E430" i="14"/>
  <c r="G430" i="14"/>
  <c r="I430" i="14"/>
  <c r="F495" i="14"/>
  <c r="F517" i="14"/>
  <c r="H517" i="14"/>
  <c r="E517" i="14"/>
  <c r="G517" i="14"/>
  <c r="I589" i="14"/>
  <c r="H694" i="14"/>
  <c r="E721" i="14"/>
  <c r="G721" i="14"/>
  <c r="I721" i="14"/>
  <c r="G806" i="14"/>
  <c r="F830" i="14"/>
  <c r="H830" i="14"/>
  <c r="G463" i="14"/>
  <c r="I463" i="14"/>
  <c r="G657" i="14"/>
  <c r="H264" i="14"/>
  <c r="E296" i="14"/>
  <c r="E332" i="14"/>
  <c r="G332" i="14"/>
  <c r="I332" i="14"/>
  <c r="F332" i="14"/>
  <c r="G395" i="14"/>
  <c r="F430" i="14"/>
  <c r="H430" i="14"/>
  <c r="F623" i="14"/>
  <c r="H623" i="14"/>
  <c r="E694" i="14"/>
  <c r="G694" i="14"/>
  <c r="I694" i="14"/>
  <c r="E764" i="14"/>
  <c r="G764" i="14"/>
  <c r="I764" i="14"/>
  <c r="H764" i="14"/>
  <c r="E806" i="14"/>
  <c r="G830" i="14"/>
  <c r="U830" i="14"/>
  <c r="U806" i="14"/>
  <c r="V806" i="14" s="1"/>
  <c r="U296" i="14"/>
  <c r="V296" i="14" s="1"/>
  <c r="U332" i="14"/>
  <c r="V332" i="14" s="1"/>
  <c r="U395" i="14"/>
  <c r="V395" i="14" s="1"/>
  <c r="U430" i="14"/>
  <c r="V430" i="14" s="1"/>
  <c r="E463" i="14"/>
  <c r="U495" i="14"/>
  <c r="V495" i="14" s="1"/>
  <c r="U551" i="14"/>
  <c r="V551" i="14" s="1"/>
  <c r="F589" i="14"/>
  <c r="U657" i="14"/>
  <c r="V657" i="14" s="1"/>
  <c r="U694" i="14"/>
  <c r="V694" i="14" s="1"/>
  <c r="F694" i="14"/>
  <c r="U721" i="14"/>
  <c r="V721" i="14" s="1"/>
  <c r="U764" i="14"/>
  <c r="V764" i="14" s="1"/>
  <c r="F264" i="14"/>
  <c r="E264" i="14"/>
  <c r="G264" i="14"/>
  <c r="I264" i="14"/>
  <c r="F463" i="14"/>
  <c r="H463" i="14"/>
  <c r="F296" i="14"/>
  <c r="H296" i="14"/>
  <c r="F395" i="14"/>
  <c r="H395" i="14"/>
  <c r="U463" i="14"/>
  <c r="V463" i="14" s="1"/>
  <c r="U517" i="14"/>
  <c r="V517" i="14" s="1"/>
  <c r="E551" i="14"/>
  <c r="G551" i="14"/>
  <c r="I551" i="14"/>
  <c r="U589" i="14"/>
  <c r="V589" i="14" s="1"/>
  <c r="U623" i="14"/>
  <c r="V623" i="14" s="1"/>
  <c r="E657" i="14"/>
  <c r="I657" i="14"/>
  <c r="F721" i="14"/>
  <c r="H721" i="14"/>
  <c r="I830" i="14"/>
  <c r="F657" i="14"/>
  <c r="H657" i="14"/>
  <c r="F806" i="14"/>
  <c r="H806" i="14"/>
  <c r="I831" i="14" l="1"/>
  <c r="E831" i="14"/>
  <c r="H831" i="14"/>
  <c r="G831" i="14"/>
  <c r="F831" i="14"/>
  <c r="M830" i="14"/>
  <c r="H884" i="14"/>
  <c r="G884" i="14"/>
  <c r="U884" i="14"/>
  <c r="U831" i="14"/>
  <c r="F884" i="14"/>
  <c r="I884" i="14"/>
  <c r="E884" i="14"/>
  <c r="M831" i="14" l="1"/>
  <c r="T831" i="14" s="1"/>
  <c r="V831" i="14" s="1"/>
  <c r="T830" i="14"/>
  <c r="M878" i="14"/>
  <c r="D657" i="14"/>
  <c r="T884" i="14" l="1"/>
  <c r="V830" i="14"/>
  <c r="D884" i="14"/>
  <c r="M884" i="14" s="1"/>
  <c r="D831" i="14"/>
</calcChain>
</file>

<file path=xl/sharedStrings.xml><?xml version="1.0" encoding="utf-8"?>
<sst xmlns="http://schemas.openxmlformats.org/spreadsheetml/2006/main" count="1170" uniqueCount="193">
  <si>
    <t>Részletező</t>
  </si>
  <si>
    <t>COFOG</t>
  </si>
  <si>
    <t>Rovat</t>
  </si>
  <si>
    <t>Eredeti ei.</t>
  </si>
  <si>
    <t>Átcsoportosítás</t>
  </si>
  <si>
    <t>1121 - Komló</t>
  </si>
  <si>
    <t>018030</t>
  </si>
  <si>
    <t>B16</t>
  </si>
  <si>
    <t>B8131</t>
  </si>
  <si>
    <t>B816</t>
  </si>
  <si>
    <t>102031</t>
  </si>
  <si>
    <t>B405</t>
  </si>
  <si>
    <t>102032</t>
  </si>
  <si>
    <t>107013</t>
  </si>
  <si>
    <t>B406</t>
  </si>
  <si>
    <t>B411</t>
  </si>
  <si>
    <t>107051</t>
  </si>
  <si>
    <t>B407</t>
  </si>
  <si>
    <t>107052</t>
  </si>
  <si>
    <t>B403</t>
  </si>
  <si>
    <t>B4082</t>
  </si>
  <si>
    <t>107053</t>
  </si>
  <si>
    <t>1122- Bikal</t>
  </si>
  <si>
    <t>1123 - Bodolyabér</t>
  </si>
  <si>
    <t>108030</t>
  </si>
  <si>
    <t>1124 - Egyházaskozár</t>
  </si>
  <si>
    <t>1125 - Hegyhátmaróc</t>
  </si>
  <si>
    <t>1127 - Kárász</t>
  </si>
  <si>
    <t>1128 - Köblény</t>
  </si>
  <si>
    <t>1129 - Liget</t>
  </si>
  <si>
    <t>1130 - Magyaregregy</t>
  </si>
  <si>
    <t>1131 - Magyarhertelend</t>
  </si>
  <si>
    <t>1132 - Magyarszék</t>
  </si>
  <si>
    <t>1133 - Mánfa</t>
  </si>
  <si>
    <t>1135 - Mecsekpölöske</t>
  </si>
  <si>
    <t>1136 - Oroszló</t>
  </si>
  <si>
    <t>1137 - Szalatnak</t>
  </si>
  <si>
    <t>1138 - Szászvár</t>
  </si>
  <si>
    <t>1141 - Vékény</t>
  </si>
  <si>
    <t>041233</t>
  </si>
  <si>
    <t>K1101</t>
  </si>
  <si>
    <t>K1</t>
  </si>
  <si>
    <t>K2</t>
  </si>
  <si>
    <t>K311</t>
  </si>
  <si>
    <t>K336</t>
  </si>
  <si>
    <t>K351</t>
  </si>
  <si>
    <t>K3</t>
  </si>
  <si>
    <t>K1107</t>
  </si>
  <si>
    <t>K1108</t>
  </si>
  <si>
    <t>K1109</t>
  </si>
  <si>
    <t>K1110</t>
  </si>
  <si>
    <t>K1113</t>
  </si>
  <si>
    <t>K123</t>
  </si>
  <si>
    <t>K312</t>
  </si>
  <si>
    <t>K321</t>
  </si>
  <si>
    <t>K322</t>
  </si>
  <si>
    <t>K331</t>
  </si>
  <si>
    <t>K334</t>
  </si>
  <si>
    <t>K337</t>
  </si>
  <si>
    <t>K341</t>
  </si>
  <si>
    <t>K355</t>
  </si>
  <si>
    <t>K332</t>
  </si>
  <si>
    <t>K333</t>
  </si>
  <si>
    <t>K1106</t>
  </si>
  <si>
    <t>K335</t>
  </si>
  <si>
    <t>K1104</t>
  </si>
  <si>
    <t>5122 - Bikal</t>
  </si>
  <si>
    <t>K506</t>
  </si>
  <si>
    <t>5123 - Bodolyabér</t>
  </si>
  <si>
    <t>5124 - Egyházaskozár</t>
  </si>
  <si>
    <t>5127 - Kárász</t>
  </si>
  <si>
    <t>014233</t>
  </si>
  <si>
    <t>5128 - Köblény</t>
  </si>
  <si>
    <t>5129 - Liget</t>
  </si>
  <si>
    <t>5130 - Magyaregregy</t>
  </si>
  <si>
    <t>5131 - Magyarhertelend</t>
  </si>
  <si>
    <t>5132 - Magyarszék</t>
  </si>
  <si>
    <t>5133 - Mánfa</t>
  </si>
  <si>
    <t>51211 - Szoc ágazati Komló 107052</t>
  </si>
  <si>
    <t>51212 -Szoc ágazati Komló 102031</t>
  </si>
  <si>
    <t>51213 - Szoc ágazati Komló 102032</t>
  </si>
  <si>
    <t>51214 - Szoc ágazati Komló 107013</t>
  </si>
  <si>
    <t>51215 - Szoc ágazati Komló 107051</t>
  </si>
  <si>
    <t>51216 - Bérkomp. Komló 107052</t>
  </si>
  <si>
    <t>51217 - Bérkomp. Komló 102031</t>
  </si>
  <si>
    <t>51218 - Bérkomp. Komló 107013</t>
  </si>
  <si>
    <t>51219 - Bérkomp. Komló 107051</t>
  </si>
  <si>
    <t>51221 - Szoc ágazati Bikal 107052</t>
  </si>
  <si>
    <t>51231 - Szoc ágazati Bodolyabér 107052</t>
  </si>
  <si>
    <t>51241 - Szoc ágazati Egyházaskozár 107052</t>
  </si>
  <si>
    <t>51242 -Szoc ágazati Egyházaskozás 102031</t>
  </si>
  <si>
    <t>51243 - Bérkomp. Egyházaskozár 102031</t>
  </si>
  <si>
    <t>51251 - Szoc ágazati Hegyhátmaróc 107052</t>
  </si>
  <si>
    <t>51271 - Szoc ágazati Kárász 107052</t>
  </si>
  <si>
    <t>51281 - Szoc ágazati Köblény 107052</t>
  </si>
  <si>
    <t>51282 - Bérkomp Köblény 107052</t>
  </si>
  <si>
    <t>51301 - Szoc ágazati Magyaregregy 107052</t>
  </si>
  <si>
    <t>51302 - Bérkomp Magyaregregy 107052</t>
  </si>
  <si>
    <t>51311 - Szoc ágazati Magyarhertelend 107052</t>
  </si>
  <si>
    <t>51312 - Bérkomp Magyarhertelend 107052</t>
  </si>
  <si>
    <t>51321 - Szoc ágazati Magyarszék 107052</t>
  </si>
  <si>
    <t>51331 - Szoc ágazati Mánfa 107052</t>
  </si>
  <si>
    <t>5135 - Mecsekpölöske</t>
  </si>
  <si>
    <t>51351 - Szoc ágazati Mecsekpölöske 107052</t>
  </si>
  <si>
    <t>5136 - Oroszló</t>
  </si>
  <si>
    <t>51361 - Szoc ágazati Oroszló 107052</t>
  </si>
  <si>
    <t>5137 - Szalatnak</t>
  </si>
  <si>
    <t>51371 - Szoc ágazati Szalatnak 107052</t>
  </si>
  <si>
    <t>5138 - Szászvár</t>
  </si>
  <si>
    <t>51381 - Szoc ágazati Szászvár 107052</t>
  </si>
  <si>
    <t>5141 - Vékény</t>
  </si>
  <si>
    <t>51411 - Szoc ágazati Vékény 107052</t>
  </si>
  <si>
    <t>K64</t>
  </si>
  <si>
    <t>K67</t>
  </si>
  <si>
    <t>K6</t>
  </si>
  <si>
    <t>BEVÉTEL ÖSSZESEN</t>
  </si>
  <si>
    <t>KOMLÓ ÖSSZESEN</t>
  </si>
  <si>
    <t>BIKAL ÖSSZESEN</t>
  </si>
  <si>
    <t>BODOLYABÉR ÖSSZESEN</t>
  </si>
  <si>
    <t>EGYHÁZASKOZÁR ÖSSZESEN</t>
  </si>
  <si>
    <t>HEGYHÁTMARÓC ÖSSZESEN</t>
  </si>
  <si>
    <t>KIADÁS ÖSSZESEN</t>
  </si>
  <si>
    <t>KÁRÁSZ ÖSSZESEN</t>
  </si>
  <si>
    <t>KÖBLÉNY ÖSSZESEN</t>
  </si>
  <si>
    <t>51291 - Szoc ágazati Liget 107052</t>
  </si>
  <si>
    <t>LIGET ÖSSZESEN</t>
  </si>
  <si>
    <t>MAGYAREGREGY ÖSSZESEN</t>
  </si>
  <si>
    <t>MAGYARHERTELEND ÖSSZESEN</t>
  </si>
  <si>
    <t>MAGYARSZÉK ÖSSZESEN</t>
  </si>
  <si>
    <t>MÁNFA ÖSSZESEN</t>
  </si>
  <si>
    <t>OROSZLÓ ÖSSZESEN</t>
  </si>
  <si>
    <t>SZALATNAK ÖSSZESEN</t>
  </si>
  <si>
    <t>SZÁSZVÁR ÖSSZESEN</t>
  </si>
  <si>
    <t>VÉKÉNY ÖSSZESEN</t>
  </si>
  <si>
    <t>B25</t>
  </si>
  <si>
    <t>B402</t>
  </si>
  <si>
    <t>5121 - Komló</t>
  </si>
  <si>
    <t>PM INFO egyeztető:</t>
  </si>
  <si>
    <t>B4</t>
  </si>
  <si>
    <t>B8</t>
  </si>
  <si>
    <t>B</t>
  </si>
  <si>
    <t>K</t>
  </si>
  <si>
    <t>Szociális Szolgáltató központ</t>
  </si>
  <si>
    <t>51220-Komló 102032</t>
  </si>
  <si>
    <t>K63</t>
  </si>
  <si>
    <t>5125 - Hegyhátmaróc</t>
  </si>
  <si>
    <t>K352</t>
  </si>
  <si>
    <t>MECSELPÖLÖSKE ÖSSZESEN</t>
  </si>
  <si>
    <t>Módosítás-Működési bevételi többlet</t>
  </si>
  <si>
    <t xml:space="preserve">Különbözet (módosított ei. - tény) </t>
  </si>
  <si>
    <t>Módosított ei. 05.31.</t>
  </si>
  <si>
    <t>Min.bér és gar.bérmin.évközi kieg.tám.</t>
  </si>
  <si>
    <t>Komló Térségi Integrált Szociális Szolgáltató Központ 2021.</t>
  </si>
  <si>
    <t>Min.bér és gar.bérmin.évk. kieg.tám.miatti, Komlót érintő átcsop.</t>
  </si>
  <si>
    <t>Előirányzat változások 2021.01.01. - 06.30.</t>
  </si>
  <si>
    <t>Tény 08.31.</t>
  </si>
  <si>
    <t>Májusi normatíva felmérés (alap normatíva)</t>
  </si>
  <si>
    <t>Előirányzat változások 2021.06.01. - 09.30.</t>
  </si>
  <si>
    <t>Módosított ei. 09.30.</t>
  </si>
  <si>
    <t>Módosított bevételek</t>
  </si>
  <si>
    <t>B816 Központi irányító szervi támogatás (kieg.tám.)</t>
  </si>
  <si>
    <t>B816 Központi irányító szervi támogatás (bérkomp)</t>
  </si>
  <si>
    <t>B816 Központi irányító szervi támogatás (normatíva)</t>
  </si>
  <si>
    <t>B16  Műk.c.tám.ért.bev.Mü-i Központtól</t>
  </si>
  <si>
    <t>B16  Műk.c.tám.ért.bev. EU-s támogatás</t>
  </si>
  <si>
    <t>B1632 Egyéb fejezeti kezelésű működési c. támogatás</t>
  </si>
  <si>
    <t>B25  Felhalmozási célú tám. ért. bev. helyi önkormányzattól</t>
  </si>
  <si>
    <t>B8131 Előző évi ktgv. maradvány igénybevétele</t>
  </si>
  <si>
    <t>B4 Működési bevételek</t>
  </si>
  <si>
    <t>B5 Felhalmozási bevételek</t>
  </si>
  <si>
    <t>ÖSSZESEN:</t>
  </si>
  <si>
    <t>Módosított kiadások</t>
  </si>
  <si>
    <t>K915 Központi. Irányító szervi támogatás</t>
  </si>
  <si>
    <t>K5066 Műk.c.tám.ért.kiadás helyi önkormányzatnak</t>
  </si>
  <si>
    <t>K1 Személyi juttatások</t>
  </si>
  <si>
    <t>K2 Járulékok</t>
  </si>
  <si>
    <t>K3 Dologi és folyó kiadások</t>
  </si>
  <si>
    <t>K6 Felhalmozási kiadások</t>
  </si>
  <si>
    <t>K50632 Egyéb műk. c. tám. Áht-n belülről</t>
  </si>
  <si>
    <t>K50233 Elvonások és befizetések</t>
  </si>
  <si>
    <t>Átcsoportosított bevételek</t>
  </si>
  <si>
    <t>B16  Műk.c.tám.ért.bev.helyi önk-tól</t>
  </si>
  <si>
    <t>B16  Műk.c.tám.ért.bev. elk.állami pénzalapoktól</t>
  </si>
  <si>
    <t>B16  Egyéb fejezeti kezelésű működési c. támogatás</t>
  </si>
  <si>
    <t>B25 Felhalmozási célú tám. ért. bev. helyi önkormányzattól</t>
  </si>
  <si>
    <t>Átcsoportosított kiadások</t>
  </si>
  <si>
    <t>K6 Beruházási kiadások</t>
  </si>
  <si>
    <t>K7 Felújítási kiadások</t>
  </si>
  <si>
    <t>BEVÉTELEK</t>
  </si>
  <si>
    <t>B16 Műk.c.tám.ért.bev. Helyi önkormányzattól</t>
  </si>
  <si>
    <t>B16 Műk.c.tám.ért.bev. elk.állami pénzalapoktól</t>
  </si>
  <si>
    <t>B16 Egyéb fejezeti kezelésű működési c. támogatás</t>
  </si>
  <si>
    <t>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</si>
</sst>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_-;\-* #,##0_-;_-* &quot;-&quot;??_-;_-@_-"/>
    <numFmt numFmtId="166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9F46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9" fillId="0" borderId="0"/>
    <xf numFmtId="164" fontId="5" fillId="0" borderId="0" applyFont="0" applyFill="0" applyBorder="0" applyAlignment="0" applyProtection="0"/>
  </cellStyleXfs>
  <cellXfs count="186">
    <xf numFmtId="0" fontId="0" fillId="0" borderId="0" xfId="0"/>
    <xf numFmtId="49" fontId="0" fillId="0" borderId="0" xfId="0" applyNumberFormat="1"/>
    <xf numFmtId="165" fontId="0" fillId="0" borderId="0" xfId="1" applyNumberFormat="1" applyFont="1"/>
    <xf numFmtId="166" fontId="0" fillId="0" borderId="1" xfId="1" applyNumberFormat="1" applyFont="1" applyBorder="1"/>
    <xf numFmtId="0" fontId="0" fillId="0" borderId="0" xfId="0" applyFill="1"/>
    <xf numFmtId="0" fontId="0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165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Fill="1"/>
    <xf numFmtId="3" fontId="0" fillId="0" borderId="0" xfId="0" applyNumberFormat="1" applyAlignment="1">
      <alignment wrapText="1"/>
    </xf>
    <xf numFmtId="3" fontId="3" fillId="0" borderId="0" xfId="0" applyNumberFormat="1" applyFont="1" applyFill="1"/>
    <xf numFmtId="3" fontId="0" fillId="0" borderId="0" xfId="0" applyNumberFormat="1" applyAlignment="1">
      <alignment horizontal="center" vertical="center" wrapText="1"/>
    </xf>
    <xf numFmtId="165" fontId="7" fillId="0" borderId="0" xfId="1" applyNumberFormat="1" applyFont="1"/>
    <xf numFmtId="165" fontId="7" fillId="0" borderId="1" xfId="1" applyNumberFormat="1" applyFont="1" applyBorder="1"/>
    <xf numFmtId="165" fontId="7" fillId="0" borderId="1" xfId="1" applyNumberFormat="1" applyFont="1" applyFill="1" applyBorder="1"/>
    <xf numFmtId="0" fontId="7" fillId="0" borderId="0" xfId="0" applyFont="1"/>
    <xf numFmtId="3" fontId="0" fillId="0" borderId="0" xfId="0" applyNumberFormat="1" applyFill="1"/>
    <xf numFmtId="0" fontId="10" fillId="0" borderId="0" xfId="0" applyFont="1"/>
    <xf numFmtId="165" fontId="10" fillId="0" borderId="0" xfId="1" applyNumberFormat="1" applyFont="1"/>
    <xf numFmtId="165" fontId="11" fillId="0" borderId="0" xfId="1" applyNumberFormat="1" applyFont="1"/>
    <xf numFmtId="165" fontId="10" fillId="0" borderId="1" xfId="1" applyNumberFormat="1" applyFont="1" applyBorder="1"/>
    <xf numFmtId="165" fontId="11" fillId="0" borderId="1" xfId="1" applyNumberFormat="1" applyFont="1" applyBorder="1"/>
    <xf numFmtId="165" fontId="11" fillId="0" borderId="1" xfId="1" applyNumberFormat="1" applyFont="1" applyFill="1" applyBorder="1"/>
    <xf numFmtId="165" fontId="10" fillId="0" borderId="1" xfId="1" applyNumberFormat="1" applyFont="1" applyFill="1" applyBorder="1"/>
    <xf numFmtId="3" fontId="7" fillId="0" borderId="0" xfId="0" applyNumberFormat="1" applyFont="1"/>
    <xf numFmtId="165" fontId="5" fillId="3" borderId="3" xfId="1" applyNumberFormat="1" applyFont="1" applyFill="1" applyBorder="1" applyAlignment="1" applyProtection="1">
      <alignment horizontal="center" vertical="center" wrapText="1"/>
      <protection locked="0"/>
    </xf>
    <xf numFmtId="165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165" fontId="12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8" borderId="1" xfId="2" applyFont="1" applyFill="1" applyBorder="1" applyAlignment="1" applyProtection="1">
      <alignment horizontal="center" vertical="center" wrapText="1"/>
      <protection locked="0"/>
    </xf>
    <xf numFmtId="3" fontId="2" fillId="0" borderId="0" xfId="0" applyNumberFormat="1" applyFont="1" applyFill="1"/>
    <xf numFmtId="0" fontId="2" fillId="0" borderId="0" xfId="0" applyFont="1" applyFill="1"/>
    <xf numFmtId="165" fontId="14" fillId="3" borderId="3" xfId="1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166" fontId="11" fillId="0" borderId="1" xfId="1" applyNumberFormat="1" applyFont="1" applyBorder="1"/>
    <xf numFmtId="166" fontId="10" fillId="0" borderId="1" xfId="1" applyNumberFormat="1" applyFont="1" applyBorder="1" applyAlignment="1">
      <alignment wrapText="1"/>
    </xf>
    <xf numFmtId="166" fontId="10" fillId="0" borderId="1" xfId="1" applyNumberFormat="1" applyFont="1" applyBorder="1"/>
    <xf numFmtId="49" fontId="10" fillId="0" borderId="1" xfId="0" applyNumberFormat="1" applyFont="1" applyBorder="1" applyAlignment="1">
      <alignment horizontal="center" vertical="center"/>
    </xf>
    <xf numFmtId="166" fontId="10" fillId="0" borderId="1" xfId="1" applyNumberFormat="1" applyFont="1" applyFill="1" applyBorder="1"/>
    <xf numFmtId="0" fontId="10" fillId="0" borderId="9" xfId="0" applyFont="1" applyBorder="1"/>
    <xf numFmtId="165" fontId="10" fillId="0" borderId="9" xfId="1" applyNumberFormat="1" applyFont="1" applyBorder="1"/>
    <xf numFmtId="166" fontId="11" fillId="0" borderId="9" xfId="1" applyNumberFormat="1" applyFont="1" applyBorder="1"/>
    <xf numFmtId="166" fontId="10" fillId="0" borderId="9" xfId="1" applyNumberFormat="1" applyFont="1" applyFill="1" applyBorder="1"/>
    <xf numFmtId="0" fontId="10" fillId="0" borderId="10" xfId="0" applyFont="1" applyBorder="1"/>
    <xf numFmtId="165" fontId="10" fillId="0" borderId="10" xfId="1" applyNumberFormat="1" applyFont="1" applyBorder="1"/>
    <xf numFmtId="165" fontId="10" fillId="0" borderId="3" xfId="1" applyNumberFormat="1" applyFont="1" applyBorder="1"/>
    <xf numFmtId="166" fontId="11" fillId="0" borderId="10" xfId="1" applyNumberFormat="1" applyFont="1" applyBorder="1"/>
    <xf numFmtId="166" fontId="10" fillId="0" borderId="3" xfId="1" applyNumberFormat="1" applyFont="1" applyBorder="1"/>
    <xf numFmtId="49" fontId="10" fillId="0" borderId="9" xfId="0" applyNumberFormat="1" applyFont="1" applyBorder="1" applyAlignment="1">
      <alignment horizontal="center" vertical="center"/>
    </xf>
    <xf numFmtId="0" fontId="10" fillId="0" borderId="3" xfId="0" applyFont="1" applyBorder="1"/>
    <xf numFmtId="166" fontId="11" fillId="0" borderId="3" xfId="1" applyNumberFormat="1" applyFont="1" applyBorder="1"/>
    <xf numFmtId="49" fontId="10" fillId="0" borderId="2" xfId="0" applyNumberFormat="1" applyFont="1" applyBorder="1" applyAlignment="1">
      <alignment horizontal="center" vertical="center"/>
    </xf>
    <xf numFmtId="0" fontId="10" fillId="0" borderId="2" xfId="0" applyFont="1" applyBorder="1"/>
    <xf numFmtId="165" fontId="10" fillId="0" borderId="2" xfId="1" applyNumberFormat="1" applyFont="1" applyBorder="1"/>
    <xf numFmtId="166" fontId="11" fillId="0" borderId="2" xfId="1" applyNumberFormat="1" applyFont="1" applyBorder="1"/>
    <xf numFmtId="49" fontId="10" fillId="0" borderId="1" xfId="0" applyNumberFormat="1" applyFont="1" applyBorder="1" applyAlignment="1">
      <alignment horizontal="center"/>
    </xf>
    <xf numFmtId="166" fontId="10" fillId="0" borderId="9" xfId="1" applyNumberFormat="1" applyFont="1" applyBorder="1"/>
    <xf numFmtId="49" fontId="10" fillId="0" borderId="2" xfId="0" applyNumberFormat="1" applyFont="1" applyBorder="1" applyAlignment="1">
      <alignment horizontal="center"/>
    </xf>
    <xf numFmtId="165" fontId="10" fillId="0" borderId="2" xfId="1" applyNumberFormat="1" applyFont="1" applyFill="1" applyBorder="1"/>
    <xf numFmtId="0" fontId="10" fillId="0" borderId="2" xfId="0" applyFont="1" applyFill="1" applyBorder="1"/>
    <xf numFmtId="166" fontId="10" fillId="0" borderId="2" xfId="1" applyNumberFormat="1" applyFont="1" applyBorder="1"/>
    <xf numFmtId="166" fontId="10" fillId="0" borderId="2" xfId="1" applyNumberFormat="1" applyFont="1" applyFill="1" applyBorder="1"/>
    <xf numFmtId="166" fontId="10" fillId="0" borderId="10" xfId="1" applyNumberFormat="1" applyFont="1" applyBorder="1"/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166" fontId="11" fillId="0" borderId="1" xfId="1" applyNumberFormat="1" applyFont="1" applyFill="1" applyBorder="1"/>
    <xf numFmtId="0" fontId="11" fillId="0" borderId="18" xfId="0" applyFont="1" applyBorder="1"/>
    <xf numFmtId="165" fontId="11" fillId="0" borderId="18" xfId="1" applyNumberFormat="1" applyFont="1" applyBorder="1"/>
    <xf numFmtId="165" fontId="11" fillId="0" borderId="18" xfId="1" applyNumberFormat="1" applyFont="1" applyFill="1" applyBorder="1"/>
    <xf numFmtId="165" fontId="10" fillId="0" borderId="18" xfId="1" applyNumberFormat="1" applyFont="1" applyBorder="1"/>
    <xf numFmtId="166" fontId="11" fillId="0" borderId="18" xfId="1" applyNumberFormat="1" applyFont="1" applyBorder="1"/>
    <xf numFmtId="166" fontId="11" fillId="0" borderId="18" xfId="1" applyNumberFormat="1" applyFont="1" applyFill="1" applyBorder="1"/>
    <xf numFmtId="49" fontId="10" fillId="0" borderId="9" xfId="0" applyNumberFormat="1" applyFont="1" applyBorder="1" applyAlignment="1">
      <alignment horizontal="center"/>
    </xf>
    <xf numFmtId="165" fontId="10" fillId="0" borderId="3" xfId="1" applyNumberFormat="1" applyFont="1" applyFill="1" applyBorder="1"/>
    <xf numFmtId="0" fontId="10" fillId="0" borderId="1" xfId="0" applyFont="1" applyFill="1" applyBorder="1"/>
    <xf numFmtId="49" fontId="10" fillId="0" borderId="5" xfId="0" applyNumberFormat="1" applyFont="1" applyBorder="1" applyAlignment="1">
      <alignment horizontal="center" vertical="center"/>
    </xf>
    <xf numFmtId="0" fontId="10" fillId="0" borderId="5" xfId="0" applyFont="1" applyFill="1" applyBorder="1"/>
    <xf numFmtId="165" fontId="10" fillId="0" borderId="5" xfId="1" applyNumberFormat="1" applyFont="1" applyBorder="1"/>
    <xf numFmtId="166" fontId="11" fillId="0" borderId="5" xfId="1" applyNumberFormat="1" applyFont="1" applyBorder="1"/>
    <xf numFmtId="165" fontId="15" fillId="5" borderId="3" xfId="1" applyNumberFormat="1" applyFont="1" applyFill="1" applyBorder="1" applyAlignment="1">
      <alignment vertical="center"/>
    </xf>
    <xf numFmtId="166" fontId="16" fillId="5" borderId="3" xfId="1" applyNumberFormat="1" applyFont="1" applyFill="1" applyBorder="1" applyAlignment="1">
      <alignment vertical="center"/>
    </xf>
    <xf numFmtId="166" fontId="15" fillId="5" borderId="3" xfId="1" applyNumberFormat="1" applyFont="1" applyFill="1" applyBorder="1" applyAlignment="1">
      <alignment vertical="center"/>
    </xf>
    <xf numFmtId="0" fontId="15" fillId="2" borderId="1" xfId="0" applyFont="1" applyFill="1" applyBorder="1"/>
    <xf numFmtId="165" fontId="15" fillId="2" borderId="1" xfId="1" applyNumberFormat="1" applyFont="1" applyFill="1" applyBorder="1"/>
    <xf numFmtId="166" fontId="16" fillId="2" borderId="1" xfId="1" applyNumberFormat="1" applyFont="1" applyFill="1" applyBorder="1"/>
    <xf numFmtId="166" fontId="15" fillId="2" borderId="1" xfId="1" applyNumberFormat="1" applyFont="1" applyFill="1" applyBorder="1"/>
    <xf numFmtId="0" fontId="15" fillId="6" borderId="1" xfId="0" applyFont="1" applyFill="1" applyBorder="1"/>
    <xf numFmtId="165" fontId="15" fillId="6" borderId="1" xfId="1" applyNumberFormat="1" applyFont="1" applyFill="1" applyBorder="1"/>
    <xf numFmtId="165" fontId="10" fillId="6" borderId="1" xfId="1" applyNumberFormat="1" applyFont="1" applyFill="1" applyBorder="1"/>
    <xf numFmtId="166" fontId="16" fillId="6" borderId="1" xfId="1" applyNumberFormat="1" applyFont="1" applyFill="1" applyBorder="1"/>
    <xf numFmtId="166" fontId="10" fillId="6" borderId="1" xfId="1" applyNumberFormat="1" applyFont="1" applyFill="1" applyBorder="1"/>
    <xf numFmtId="0" fontId="11" fillId="0" borderId="1" xfId="0" applyFont="1" applyFill="1" applyBorder="1"/>
    <xf numFmtId="166" fontId="15" fillId="7" borderId="1" xfId="1" applyNumberFormat="1" applyFont="1" applyFill="1" applyBorder="1" applyAlignment="1">
      <alignment vertical="center"/>
    </xf>
    <xf numFmtId="165" fontId="15" fillId="7" borderId="1" xfId="1" applyNumberFormat="1" applyFont="1" applyFill="1" applyBorder="1" applyAlignment="1">
      <alignment vertical="center"/>
    </xf>
    <xf numFmtId="166" fontId="16" fillId="7" borderId="1" xfId="1" applyNumberFormat="1" applyFont="1" applyFill="1" applyBorder="1" applyAlignment="1">
      <alignment vertical="center"/>
    </xf>
    <xf numFmtId="165" fontId="15" fillId="7" borderId="8" xfId="1" applyNumberFormat="1" applyFont="1" applyFill="1" applyBorder="1" applyAlignment="1">
      <alignment horizontal="right" vertical="center"/>
    </xf>
    <xf numFmtId="165" fontId="15" fillId="7" borderId="1" xfId="1" applyNumberFormat="1" applyFont="1" applyFill="1" applyBorder="1"/>
    <xf numFmtId="166" fontId="16" fillId="7" borderId="1" xfId="1" applyNumberFormat="1" applyFont="1" applyFill="1" applyBorder="1"/>
    <xf numFmtId="166" fontId="15" fillId="7" borderId="1" xfId="1" applyNumberFormat="1" applyFont="1" applyFill="1" applyBorder="1"/>
    <xf numFmtId="165" fontId="15" fillId="7" borderId="1" xfId="1" applyNumberFormat="1" applyFont="1" applyFill="1" applyBorder="1" applyAlignment="1">
      <alignment horizontal="right"/>
    </xf>
    <xf numFmtId="166" fontId="16" fillId="7" borderId="1" xfId="1" applyNumberFormat="1" applyFont="1" applyFill="1" applyBorder="1" applyAlignment="1">
      <alignment horizontal="right"/>
    </xf>
    <xf numFmtId="166" fontId="15" fillId="7" borderId="1" xfId="1" applyNumberFormat="1" applyFont="1" applyFill="1" applyBorder="1" applyAlignment="1">
      <alignment horizontal="right"/>
    </xf>
    <xf numFmtId="49" fontId="10" fillId="0" borderId="1" xfId="0" applyNumberFormat="1" applyFont="1" applyBorder="1"/>
    <xf numFmtId="3" fontId="15" fillId="2" borderId="1" xfId="0" applyNumberFormat="1" applyFont="1" applyFill="1" applyBorder="1"/>
    <xf numFmtId="166" fontId="11" fillId="6" borderId="1" xfId="1" applyNumberFormat="1" applyFont="1" applyFill="1" applyBorder="1"/>
    <xf numFmtId="165" fontId="10" fillId="2" borderId="1" xfId="1" applyNumberFormat="1" applyFont="1" applyFill="1" applyBorder="1"/>
    <xf numFmtId="166" fontId="10" fillId="2" borderId="1" xfId="1" applyNumberFormat="1" applyFont="1" applyFill="1" applyBorder="1"/>
    <xf numFmtId="165" fontId="15" fillId="0" borderId="1" xfId="1" applyNumberFormat="1" applyFont="1" applyBorder="1"/>
    <xf numFmtId="165" fontId="16" fillId="7" borderId="2" xfId="1" applyNumberFormat="1" applyFont="1" applyFill="1" applyBorder="1"/>
    <xf numFmtId="166" fontId="16" fillId="7" borderId="2" xfId="1" applyNumberFormat="1" applyFont="1" applyFill="1" applyBorder="1"/>
    <xf numFmtId="165" fontId="15" fillId="5" borderId="1" xfId="1" applyNumberFormat="1" applyFont="1" applyFill="1" applyBorder="1" applyAlignment="1">
      <alignment vertical="center"/>
    </xf>
    <xf numFmtId="166" fontId="15" fillId="5" borderId="1" xfId="1" applyNumberFormat="1" applyFont="1" applyFill="1" applyBorder="1" applyAlignment="1">
      <alignment vertical="center"/>
    </xf>
    <xf numFmtId="0" fontId="17" fillId="0" borderId="0" xfId="2" applyFont="1" applyFill="1" applyProtection="1">
      <protection locked="0"/>
    </xf>
    <xf numFmtId="165" fontId="14" fillId="8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/>
    <xf numFmtId="165" fontId="6" fillId="3" borderId="1" xfId="1" applyNumberFormat="1" applyFont="1" applyFill="1" applyBorder="1"/>
    <xf numFmtId="165" fontId="8" fillId="3" borderId="1" xfId="1" applyNumberFormat="1" applyFont="1" applyFill="1" applyBorder="1"/>
    <xf numFmtId="165" fontId="4" fillId="0" borderId="1" xfId="1" applyNumberFormat="1" applyFont="1" applyFill="1" applyBorder="1"/>
    <xf numFmtId="165" fontId="6" fillId="4" borderId="1" xfId="1" applyNumberFormat="1" applyFont="1" applyFill="1" applyBorder="1"/>
    <xf numFmtId="165" fontId="8" fillId="4" borderId="1" xfId="1" applyNumberFormat="1" applyFont="1" applyFill="1" applyBorder="1"/>
    <xf numFmtId="165" fontId="14" fillId="3" borderId="2" xfId="1" applyNumberFormat="1" applyFont="1" applyFill="1" applyBorder="1" applyAlignment="1">
      <alignment horizontal="center" vertical="center" wrapText="1"/>
    </xf>
    <xf numFmtId="165" fontId="14" fillId="3" borderId="3" xfId="1" applyNumberFormat="1" applyFont="1" applyFill="1" applyBorder="1" applyAlignment="1">
      <alignment horizontal="center" vertical="center" wrapText="1"/>
    </xf>
    <xf numFmtId="165" fontId="10" fillId="0" borderId="20" xfId="1" applyNumberFormat="1" applyFont="1" applyBorder="1"/>
    <xf numFmtId="0" fontId="18" fillId="0" borderId="1" xfId="0" applyFont="1" applyFill="1" applyBorder="1"/>
    <xf numFmtId="165" fontId="18" fillId="0" borderId="1" xfId="1" applyNumberFormat="1" applyFont="1" applyFill="1" applyBorder="1"/>
    <xf numFmtId="166" fontId="19" fillId="0" borderId="1" xfId="1" applyNumberFormat="1" applyFont="1" applyFill="1" applyBorder="1"/>
    <xf numFmtId="166" fontId="18" fillId="0" borderId="1" xfId="1" applyNumberFormat="1" applyFont="1" applyFill="1" applyBorder="1"/>
    <xf numFmtId="0" fontId="15" fillId="0" borderId="1" xfId="0" applyFont="1" applyFill="1" applyBorder="1"/>
    <xf numFmtId="165" fontId="15" fillId="0" borderId="1" xfId="1" applyNumberFormat="1" applyFont="1" applyFill="1" applyBorder="1"/>
    <xf numFmtId="166" fontId="4" fillId="0" borderId="1" xfId="1" applyNumberFormat="1" applyFont="1" applyBorder="1"/>
    <xf numFmtId="166" fontId="4" fillId="0" borderId="1" xfId="1" applyNumberFormat="1" applyFont="1" applyFill="1" applyBorder="1"/>
    <xf numFmtId="166" fontId="10" fillId="10" borderId="1" xfId="1" applyNumberFormat="1" applyFont="1" applyFill="1" applyBorder="1"/>
    <xf numFmtId="166" fontId="10" fillId="10" borderId="9" xfId="1" applyNumberFormat="1" applyFont="1" applyFill="1" applyBorder="1"/>
    <xf numFmtId="165" fontId="10" fillId="0" borderId="21" xfId="1" applyNumberFormat="1" applyFont="1" applyBorder="1"/>
    <xf numFmtId="166" fontId="11" fillId="0" borderId="2" xfId="1" applyNumberFormat="1" applyFont="1" applyFill="1" applyBorder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5" fillId="7" borderId="6" xfId="0" applyFont="1" applyFill="1" applyBorder="1" applyAlignment="1">
      <alignment horizontal="right" vertical="center"/>
    </xf>
    <xf numFmtId="0" fontId="15" fillId="7" borderId="7" xfId="0" applyFont="1" applyFill="1" applyBorder="1" applyAlignment="1">
      <alignment horizontal="right" vertical="center"/>
    </xf>
    <xf numFmtId="0" fontId="15" fillId="7" borderId="8" xfId="0" applyFont="1" applyFill="1" applyBorder="1" applyAlignment="1">
      <alignment horizontal="right" vertical="center"/>
    </xf>
    <xf numFmtId="0" fontId="15" fillId="5" borderId="6" xfId="0" applyFont="1" applyFill="1" applyBorder="1" applyAlignment="1">
      <alignment horizontal="right" vertical="center"/>
    </xf>
    <xf numFmtId="0" fontId="15" fillId="5" borderId="7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0" fontId="15" fillId="5" borderId="13" xfId="0" applyFont="1" applyFill="1" applyBorder="1" applyAlignment="1">
      <alignment horizontal="right" vertical="center"/>
    </xf>
    <xf numFmtId="0" fontId="15" fillId="5" borderId="4" xfId="0" applyFont="1" applyFill="1" applyBorder="1" applyAlignment="1">
      <alignment horizontal="right" vertical="center"/>
    </xf>
    <xf numFmtId="0" fontId="15" fillId="5" borderId="14" xfId="0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13" fillId="9" borderId="0" xfId="0" applyFont="1" applyFill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165" fontId="14" fillId="3" borderId="2" xfId="1" applyNumberFormat="1" applyFont="1" applyFill="1" applyBorder="1" applyAlignment="1">
      <alignment horizontal="center" vertical="center" wrapText="1"/>
    </xf>
    <xf numFmtId="165" fontId="14" fillId="3" borderId="3" xfId="1" applyNumberFormat="1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 applyProtection="1">
      <alignment horizontal="center" vertical="center"/>
      <protection locked="0"/>
    </xf>
    <xf numFmtId="0" fontId="5" fillId="3" borderId="1" xfId="4" applyFont="1" applyFill="1" applyBorder="1" applyAlignment="1" applyProtection="1">
      <alignment horizontal="center" vertical="center" wrapText="1"/>
      <protection locked="0"/>
    </xf>
    <xf numFmtId="165" fontId="14" fillId="3" borderId="6" xfId="1" applyNumberFormat="1" applyFont="1" applyFill="1" applyBorder="1" applyAlignment="1">
      <alignment horizontal="center" vertical="center"/>
    </xf>
    <xf numFmtId="165" fontId="14" fillId="3" borderId="7" xfId="1" applyNumberFormat="1" applyFont="1" applyFill="1" applyBorder="1" applyAlignment="1">
      <alignment horizontal="center" vertical="center"/>
    </xf>
    <xf numFmtId="165" fontId="14" fillId="3" borderId="8" xfId="1" applyNumberFormat="1" applyFont="1" applyFill="1" applyBorder="1" applyAlignment="1">
      <alignment horizontal="center" vertical="center"/>
    </xf>
    <xf numFmtId="165" fontId="14" fillId="3" borderId="6" xfId="1" applyNumberFormat="1" applyFont="1" applyFill="1" applyBorder="1" applyAlignment="1">
      <alignment horizontal="center" vertical="center" wrapText="1"/>
    </xf>
    <xf numFmtId="165" fontId="14" fillId="3" borderId="7" xfId="1" applyNumberFormat="1" applyFont="1" applyFill="1" applyBorder="1" applyAlignment="1">
      <alignment horizontal="center" vertical="center" wrapText="1"/>
    </xf>
    <xf numFmtId="165" fontId="14" fillId="3" borderId="8" xfId="1" applyNumberFormat="1" applyFont="1" applyFill="1" applyBorder="1" applyAlignment="1">
      <alignment horizontal="center" vertical="center" wrapText="1"/>
    </xf>
    <xf numFmtId="165" fontId="20" fillId="0" borderId="0" xfId="1" applyNumberFormat="1" applyFont="1"/>
  </cellXfs>
  <cellStyles count="6">
    <cellStyle name="Ezres" xfId="1" builtinId="3"/>
    <cellStyle name="Ezres 2" xfId="3"/>
    <cellStyle name="Ezres 3" xfId="5"/>
    <cellStyle name="Normál" xfId="0" builtinId="0"/>
    <cellStyle name="Normál 2" xfId="2"/>
    <cellStyle name="Normál 3" xfId="4"/>
  </cellStyles>
  <dxfs count="0"/>
  <tableStyles count="0" defaultTableStyle="TableStyleMedium2" defaultPivotStyle="PivotStyleLight16"/>
  <colors>
    <mruColors>
      <color rgb="FFCCFFCC"/>
      <color rgb="FFC9F468"/>
      <color rgb="FFFF99CC"/>
      <color rgb="FFEDF4AA"/>
      <color rgb="FFBACC0E"/>
      <color rgb="FFC9BA81"/>
      <color rgb="FFC2BA52"/>
      <color rgb="FFB6C33B"/>
      <color rgb="FFCCCC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68"/>
  <sheetViews>
    <sheetView tabSelected="1" zoomScale="110" zoomScaleNormal="110" zoomScaleSheetLayoutView="110" workbookViewId="0">
      <pane xSplit="3" ySplit="4" topLeftCell="M5" activePane="bottomRight" state="frozen"/>
      <selection pane="topRight" activeCell="D1" sqref="D1"/>
      <selection pane="bottomLeft" activeCell="A5" sqref="A5"/>
      <selection pane="bottomRight" activeCell="M5" sqref="M5"/>
    </sheetView>
  </sheetViews>
  <sheetFormatPr defaultRowHeight="15" x14ac:dyDescent="0.25"/>
  <cols>
    <col min="1" max="1" width="49.42578125" customWidth="1"/>
    <col min="2" max="2" width="8.42578125" customWidth="1"/>
    <col min="3" max="3" width="6.5703125" customWidth="1"/>
    <col min="4" max="4" width="14.7109375" style="2" hidden="1" customWidth="1"/>
    <col min="5" max="6" width="12.5703125" style="2" hidden="1" customWidth="1"/>
    <col min="7" max="7" width="12.42578125" style="2" hidden="1" customWidth="1"/>
    <col min="8" max="9" width="10.7109375" style="2" hidden="1" customWidth="1"/>
    <col min="10" max="10" width="9.7109375" style="2" hidden="1" customWidth="1"/>
    <col min="11" max="12" width="10.7109375" style="2" hidden="1" customWidth="1"/>
    <col min="13" max="17" width="14.5703125" style="2" customWidth="1"/>
    <col min="18" max="19" width="14.5703125" style="2" hidden="1" customWidth="1"/>
    <col min="20" max="20" width="14.5703125" style="2" customWidth="1"/>
    <col min="21" max="21" width="14.7109375" style="14" customWidth="1"/>
    <col min="22" max="22" width="14.140625" style="5" customWidth="1"/>
    <col min="23" max="23" width="10.140625" style="6" bestFit="1" customWidth="1"/>
  </cols>
  <sheetData>
    <row r="1" spans="1:23" ht="15.75" customHeight="1" x14ac:dyDescent="0.25">
      <c r="A1" s="170" t="s">
        <v>152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</row>
    <row r="2" spans="1:23" x14ac:dyDescent="0.25">
      <c r="B2" s="1"/>
      <c r="V2" s="2"/>
    </row>
    <row r="3" spans="1:23" ht="15" customHeight="1" x14ac:dyDescent="0.25">
      <c r="A3" s="171" t="s">
        <v>0</v>
      </c>
      <c r="B3" s="173" t="s">
        <v>1</v>
      </c>
      <c r="C3" s="171" t="s">
        <v>2</v>
      </c>
      <c r="D3" s="175" t="s">
        <v>3</v>
      </c>
      <c r="E3" s="179" t="s">
        <v>154</v>
      </c>
      <c r="F3" s="180"/>
      <c r="G3" s="180"/>
      <c r="H3" s="180"/>
      <c r="I3" s="180"/>
      <c r="J3" s="180"/>
      <c r="K3" s="180"/>
      <c r="L3" s="181"/>
      <c r="M3" s="175" t="s">
        <v>150</v>
      </c>
      <c r="N3" s="182" t="s">
        <v>157</v>
      </c>
      <c r="O3" s="183"/>
      <c r="P3" s="183"/>
      <c r="Q3" s="184"/>
      <c r="R3" s="121"/>
      <c r="S3" s="121"/>
      <c r="T3" s="175" t="s">
        <v>158</v>
      </c>
      <c r="U3" s="177" t="s">
        <v>155</v>
      </c>
      <c r="V3" s="178" t="s">
        <v>149</v>
      </c>
    </row>
    <row r="4" spans="1:23" s="7" customFormat="1" ht="74.25" customHeight="1" x14ac:dyDescent="0.25">
      <c r="A4" s="172"/>
      <c r="B4" s="174"/>
      <c r="C4" s="172"/>
      <c r="D4" s="176"/>
      <c r="E4" s="27" t="s">
        <v>4</v>
      </c>
      <c r="F4" s="33" t="s">
        <v>151</v>
      </c>
      <c r="G4" s="33" t="s">
        <v>153</v>
      </c>
      <c r="H4" s="33"/>
      <c r="I4" s="33"/>
      <c r="J4" s="33"/>
      <c r="K4" s="33"/>
      <c r="L4" s="33" t="s">
        <v>148</v>
      </c>
      <c r="M4" s="176"/>
      <c r="N4" s="27" t="s">
        <v>4</v>
      </c>
      <c r="O4" s="27" t="s">
        <v>156</v>
      </c>
      <c r="P4" s="27"/>
      <c r="Q4" s="122"/>
      <c r="R4" s="122"/>
      <c r="S4" s="122"/>
      <c r="T4" s="176"/>
      <c r="U4" s="177"/>
      <c r="V4" s="178"/>
      <c r="W4" s="11"/>
    </row>
    <row r="5" spans="1:23" x14ac:dyDescent="0.25">
      <c r="A5" s="136" t="s">
        <v>5</v>
      </c>
      <c r="B5" s="138" t="s">
        <v>6</v>
      </c>
      <c r="C5" s="34" t="s">
        <v>7</v>
      </c>
      <c r="D5" s="22">
        <v>33202157</v>
      </c>
      <c r="E5" s="22"/>
      <c r="F5" s="22"/>
      <c r="G5" s="22">
        <v>-2774548</v>
      </c>
      <c r="H5" s="22"/>
      <c r="I5" s="22"/>
      <c r="J5" s="25"/>
      <c r="K5" s="25"/>
      <c r="L5" s="25"/>
      <c r="M5" s="22">
        <f t="shared" ref="M5:M38" si="0">D5+E5+F5+G5+H5+J5+I5+K5+L5</f>
        <v>30427609</v>
      </c>
      <c r="N5" s="22"/>
      <c r="O5" s="22"/>
      <c r="P5" s="22"/>
      <c r="Q5" s="22"/>
      <c r="R5" s="22"/>
      <c r="S5" s="22"/>
      <c r="T5" s="22">
        <f>SUM(M5:S5)</f>
        <v>30427609</v>
      </c>
      <c r="U5" s="35">
        <v>17651610</v>
      </c>
      <c r="V5" s="36">
        <f>T5-U5</f>
        <v>12775999</v>
      </c>
    </row>
    <row r="6" spans="1:23" x14ac:dyDescent="0.25">
      <c r="A6" s="136"/>
      <c r="B6" s="138"/>
      <c r="C6" s="34" t="s">
        <v>134</v>
      </c>
      <c r="D6" s="22">
        <v>450000</v>
      </c>
      <c r="E6" s="22"/>
      <c r="F6" s="22"/>
      <c r="G6" s="22"/>
      <c r="H6" s="22"/>
      <c r="I6" s="22"/>
      <c r="J6" s="22"/>
      <c r="K6" s="22"/>
      <c r="L6" s="22"/>
      <c r="M6" s="22">
        <f t="shared" si="0"/>
        <v>450000</v>
      </c>
      <c r="N6" s="22"/>
      <c r="O6" s="22"/>
      <c r="P6" s="22"/>
      <c r="Q6" s="22"/>
      <c r="R6" s="22"/>
      <c r="S6" s="22"/>
      <c r="T6" s="22">
        <f t="shared" ref="T6:T71" si="1">SUM(M6:S6)</f>
        <v>450000</v>
      </c>
      <c r="U6" s="35">
        <v>0</v>
      </c>
      <c r="V6" s="37">
        <f t="shared" ref="V6:V71" si="2">T6-U6</f>
        <v>450000</v>
      </c>
    </row>
    <row r="7" spans="1:23" x14ac:dyDescent="0.25">
      <c r="A7" s="136"/>
      <c r="B7" s="138"/>
      <c r="C7" s="34" t="s">
        <v>8</v>
      </c>
      <c r="D7" s="22">
        <v>23135313</v>
      </c>
      <c r="E7" s="22"/>
      <c r="F7" s="22"/>
      <c r="G7" s="22"/>
      <c r="H7" s="22"/>
      <c r="I7" s="22"/>
      <c r="J7" s="22"/>
      <c r="K7" s="22"/>
      <c r="L7" s="22"/>
      <c r="M7" s="22">
        <f t="shared" si="0"/>
        <v>23135313</v>
      </c>
      <c r="N7" s="22"/>
      <c r="O7" s="22"/>
      <c r="P7" s="22"/>
      <c r="Q7" s="22"/>
      <c r="R7" s="22"/>
      <c r="S7" s="22"/>
      <c r="T7" s="22">
        <f t="shared" si="1"/>
        <v>23135313</v>
      </c>
      <c r="U7" s="35">
        <v>23135313</v>
      </c>
      <c r="V7" s="37">
        <f t="shared" si="2"/>
        <v>0</v>
      </c>
    </row>
    <row r="8" spans="1:23" x14ac:dyDescent="0.25">
      <c r="A8" s="136"/>
      <c r="B8" s="138"/>
      <c r="C8" s="34" t="s">
        <v>9</v>
      </c>
      <c r="D8" s="22">
        <v>190751443</v>
      </c>
      <c r="E8" s="22"/>
      <c r="F8" s="24">
        <v>3399000</v>
      </c>
      <c r="G8" s="24">
        <v>2774548</v>
      </c>
      <c r="H8" s="22"/>
      <c r="I8" s="22"/>
      <c r="J8" s="22"/>
      <c r="K8" s="22"/>
      <c r="L8" s="22"/>
      <c r="M8" s="22">
        <f t="shared" si="0"/>
        <v>196924991</v>
      </c>
      <c r="N8" s="22"/>
      <c r="O8" s="22">
        <v>-2912576</v>
      </c>
      <c r="P8" s="22"/>
      <c r="Q8" s="22"/>
      <c r="R8" s="22"/>
      <c r="S8" s="22"/>
      <c r="T8" s="22">
        <f t="shared" si="1"/>
        <v>194012415</v>
      </c>
      <c r="U8" s="35">
        <v>123517208</v>
      </c>
      <c r="V8" s="37">
        <f t="shared" si="2"/>
        <v>70495207</v>
      </c>
    </row>
    <row r="9" spans="1:23" x14ac:dyDescent="0.25">
      <c r="A9" s="136"/>
      <c r="B9" s="38" t="s">
        <v>10</v>
      </c>
      <c r="C9" s="34" t="s">
        <v>11</v>
      </c>
      <c r="D9" s="22">
        <v>180000</v>
      </c>
      <c r="E9" s="22"/>
      <c r="F9" s="22"/>
      <c r="G9" s="22"/>
      <c r="H9" s="22"/>
      <c r="I9" s="22"/>
      <c r="J9" s="22"/>
      <c r="K9" s="22"/>
      <c r="L9" s="22"/>
      <c r="M9" s="22">
        <f t="shared" si="0"/>
        <v>180000</v>
      </c>
      <c r="N9" s="22">
        <v>-100000</v>
      </c>
      <c r="O9" s="22"/>
      <c r="P9" s="22"/>
      <c r="Q9" s="22"/>
      <c r="R9" s="22"/>
      <c r="S9" s="22"/>
      <c r="T9" s="22">
        <f t="shared" si="1"/>
        <v>80000</v>
      </c>
      <c r="U9" s="66">
        <v>41070</v>
      </c>
      <c r="V9" s="37">
        <f t="shared" si="2"/>
        <v>38930</v>
      </c>
    </row>
    <row r="10" spans="1:23" x14ac:dyDescent="0.25">
      <c r="A10" s="136"/>
      <c r="B10" s="139" t="s">
        <v>12</v>
      </c>
      <c r="C10" s="34" t="s">
        <v>135</v>
      </c>
      <c r="D10" s="22">
        <v>0</v>
      </c>
      <c r="E10" s="22"/>
      <c r="F10" s="22"/>
      <c r="G10" s="22"/>
      <c r="H10" s="22"/>
      <c r="I10" s="22"/>
      <c r="J10" s="22"/>
      <c r="K10" s="22"/>
      <c r="L10" s="22"/>
      <c r="M10" s="22">
        <f t="shared" si="0"/>
        <v>0</v>
      </c>
      <c r="N10" s="22"/>
      <c r="O10" s="22"/>
      <c r="P10" s="22"/>
      <c r="Q10" s="22"/>
      <c r="R10" s="22"/>
      <c r="S10" s="22"/>
      <c r="T10" s="22">
        <f t="shared" si="1"/>
        <v>0</v>
      </c>
      <c r="U10" s="66">
        <v>0</v>
      </c>
      <c r="V10" s="37">
        <f t="shared" si="2"/>
        <v>0</v>
      </c>
    </row>
    <row r="11" spans="1:23" x14ac:dyDescent="0.25">
      <c r="A11" s="136"/>
      <c r="B11" s="151"/>
      <c r="C11" s="34" t="s">
        <v>11</v>
      </c>
      <c r="D11" s="22">
        <v>740000</v>
      </c>
      <c r="E11" s="22"/>
      <c r="F11" s="22"/>
      <c r="G11" s="22"/>
      <c r="H11" s="22"/>
      <c r="I11" s="22"/>
      <c r="J11" s="22"/>
      <c r="K11" s="22"/>
      <c r="L11" s="22"/>
      <c r="M11" s="22">
        <f t="shared" si="0"/>
        <v>740000</v>
      </c>
      <c r="N11" s="22">
        <v>-100000</v>
      </c>
      <c r="O11" s="22"/>
      <c r="P11" s="22"/>
      <c r="Q11" s="22"/>
      <c r="R11" s="22"/>
      <c r="S11" s="22"/>
      <c r="T11" s="22">
        <f t="shared" si="1"/>
        <v>640000</v>
      </c>
      <c r="U11" s="66">
        <v>402375</v>
      </c>
      <c r="V11" s="39">
        <f t="shared" si="2"/>
        <v>237625</v>
      </c>
    </row>
    <row r="12" spans="1:23" x14ac:dyDescent="0.25">
      <c r="A12" s="136"/>
      <c r="B12" s="138" t="s">
        <v>13</v>
      </c>
      <c r="C12" s="34" t="s">
        <v>11</v>
      </c>
      <c r="D12" s="22">
        <v>2800000</v>
      </c>
      <c r="E12" s="22"/>
      <c r="F12" s="22"/>
      <c r="G12" s="22"/>
      <c r="H12" s="22"/>
      <c r="I12" s="22"/>
      <c r="J12" s="22"/>
      <c r="K12" s="22"/>
      <c r="L12" s="22"/>
      <c r="M12" s="22">
        <f t="shared" si="0"/>
        <v>2800000</v>
      </c>
      <c r="N12" s="22"/>
      <c r="O12" s="22"/>
      <c r="P12" s="22"/>
      <c r="Q12" s="22"/>
      <c r="R12" s="22"/>
      <c r="S12" s="22"/>
      <c r="T12" s="22">
        <f t="shared" si="1"/>
        <v>2800000</v>
      </c>
      <c r="U12" s="66">
        <f>1799820-17660</f>
        <v>1782160</v>
      </c>
      <c r="V12" s="39">
        <f t="shared" si="2"/>
        <v>1017840</v>
      </c>
    </row>
    <row r="13" spans="1:23" x14ac:dyDescent="0.25">
      <c r="A13" s="136"/>
      <c r="B13" s="138"/>
      <c r="C13" s="34" t="s">
        <v>14</v>
      </c>
      <c r="D13" s="22">
        <v>0</v>
      </c>
      <c r="E13" s="22"/>
      <c r="F13" s="22"/>
      <c r="G13" s="22"/>
      <c r="H13" s="22"/>
      <c r="I13" s="22"/>
      <c r="J13" s="22"/>
      <c r="K13" s="22"/>
      <c r="L13" s="22"/>
      <c r="M13" s="22">
        <f t="shared" si="0"/>
        <v>0</v>
      </c>
      <c r="N13" s="22"/>
      <c r="O13" s="22"/>
      <c r="P13" s="22"/>
      <c r="Q13" s="22"/>
      <c r="R13" s="22"/>
      <c r="S13" s="22"/>
      <c r="T13" s="22">
        <f t="shared" si="1"/>
        <v>0</v>
      </c>
      <c r="U13" s="66">
        <v>0</v>
      </c>
      <c r="V13" s="39">
        <f t="shared" si="2"/>
        <v>0</v>
      </c>
    </row>
    <row r="14" spans="1:23" x14ac:dyDescent="0.25">
      <c r="A14" s="136"/>
      <c r="B14" s="138"/>
      <c r="C14" s="34" t="s">
        <v>15</v>
      </c>
      <c r="D14" s="22">
        <v>0</v>
      </c>
      <c r="E14" s="22"/>
      <c r="F14" s="22"/>
      <c r="G14" s="22"/>
      <c r="H14" s="22"/>
      <c r="I14" s="22"/>
      <c r="J14" s="22"/>
      <c r="K14" s="22"/>
      <c r="L14" s="22"/>
      <c r="M14" s="22">
        <f t="shared" si="0"/>
        <v>0</v>
      </c>
      <c r="N14" s="22"/>
      <c r="O14" s="22"/>
      <c r="P14" s="22"/>
      <c r="Q14" s="22"/>
      <c r="R14" s="22"/>
      <c r="S14" s="22"/>
      <c r="T14" s="22">
        <f t="shared" si="1"/>
        <v>0</v>
      </c>
      <c r="U14" s="66">
        <v>0</v>
      </c>
      <c r="V14" s="39">
        <f t="shared" si="2"/>
        <v>0</v>
      </c>
    </row>
    <row r="15" spans="1:23" x14ac:dyDescent="0.25">
      <c r="A15" s="136"/>
      <c r="B15" s="138" t="s">
        <v>16</v>
      </c>
      <c r="C15" s="34" t="s">
        <v>11</v>
      </c>
      <c r="D15" s="22">
        <v>5800000</v>
      </c>
      <c r="E15" s="22"/>
      <c r="F15" s="22"/>
      <c r="G15" s="22"/>
      <c r="H15" s="22"/>
      <c r="I15" s="22"/>
      <c r="J15" s="22"/>
      <c r="K15" s="22"/>
      <c r="L15" s="22"/>
      <c r="M15" s="22">
        <f t="shared" si="0"/>
        <v>5800000</v>
      </c>
      <c r="N15" s="22">
        <v>-365000</v>
      </c>
      <c r="O15" s="22"/>
      <c r="P15" s="22"/>
      <c r="Q15" s="22"/>
      <c r="R15" s="22"/>
      <c r="S15" s="22"/>
      <c r="T15" s="22">
        <f t="shared" si="1"/>
        <v>5435000</v>
      </c>
      <c r="U15" s="66">
        <f>3668945-16344</f>
        <v>3652601</v>
      </c>
      <c r="V15" s="39">
        <f t="shared" si="2"/>
        <v>1782399</v>
      </c>
    </row>
    <row r="16" spans="1:23" x14ac:dyDescent="0.25">
      <c r="A16" s="136"/>
      <c r="B16" s="138"/>
      <c r="C16" s="34" t="s">
        <v>14</v>
      </c>
      <c r="D16" s="22">
        <v>1500000</v>
      </c>
      <c r="E16" s="22">
        <v>-14580</v>
      </c>
      <c r="F16" s="22"/>
      <c r="G16" s="22"/>
      <c r="H16" s="22"/>
      <c r="I16" s="22"/>
      <c r="J16" s="22"/>
      <c r="K16" s="22"/>
      <c r="L16" s="22"/>
      <c r="M16" s="22">
        <f t="shared" si="0"/>
        <v>1485420</v>
      </c>
      <c r="N16" s="22"/>
      <c r="O16" s="22"/>
      <c r="P16" s="22"/>
      <c r="Q16" s="22"/>
      <c r="R16" s="22"/>
      <c r="S16" s="22"/>
      <c r="T16" s="22">
        <f t="shared" si="1"/>
        <v>1485420</v>
      </c>
      <c r="U16" s="66">
        <f>990645-4416</f>
        <v>986229</v>
      </c>
      <c r="V16" s="39">
        <f t="shared" si="2"/>
        <v>499191</v>
      </c>
    </row>
    <row r="17" spans="1:22" x14ac:dyDescent="0.25">
      <c r="A17" s="136"/>
      <c r="B17" s="138"/>
      <c r="C17" s="34" t="s">
        <v>17</v>
      </c>
      <c r="D17" s="22">
        <v>422000</v>
      </c>
      <c r="E17" s="22"/>
      <c r="F17" s="22"/>
      <c r="G17" s="22"/>
      <c r="H17" s="22"/>
      <c r="I17" s="22"/>
      <c r="J17" s="22"/>
      <c r="K17" s="22"/>
      <c r="L17" s="22"/>
      <c r="M17" s="22">
        <f t="shared" si="0"/>
        <v>422000</v>
      </c>
      <c r="N17" s="22">
        <v>365000</v>
      </c>
      <c r="O17" s="22"/>
      <c r="P17" s="22"/>
      <c r="Q17" s="22"/>
      <c r="R17" s="22"/>
      <c r="S17" s="22"/>
      <c r="T17" s="22">
        <f t="shared" si="1"/>
        <v>787000</v>
      </c>
      <c r="U17" s="66">
        <v>787000</v>
      </c>
      <c r="V17" s="39">
        <f t="shared" si="2"/>
        <v>0</v>
      </c>
    </row>
    <row r="18" spans="1:22" x14ac:dyDescent="0.25">
      <c r="A18" s="136"/>
      <c r="B18" s="138" t="s">
        <v>18</v>
      </c>
      <c r="C18" s="34" t="s">
        <v>19</v>
      </c>
      <c r="D18" s="22">
        <v>10000</v>
      </c>
      <c r="E18" s="23"/>
      <c r="F18" s="22"/>
      <c r="G18" s="22"/>
      <c r="H18" s="22"/>
      <c r="I18" s="22"/>
      <c r="J18" s="22"/>
      <c r="K18" s="22"/>
      <c r="L18" s="22"/>
      <c r="M18" s="22">
        <f t="shared" si="0"/>
        <v>10000</v>
      </c>
      <c r="N18" s="22"/>
      <c r="O18" s="22"/>
      <c r="P18" s="22"/>
      <c r="Q18" s="22"/>
      <c r="R18" s="22"/>
      <c r="S18" s="22"/>
      <c r="T18" s="22">
        <f t="shared" si="1"/>
        <v>10000</v>
      </c>
      <c r="U18" s="66">
        <v>4000</v>
      </c>
      <c r="V18" s="39">
        <f t="shared" si="2"/>
        <v>6000</v>
      </c>
    </row>
    <row r="19" spans="1:22" x14ac:dyDescent="0.25">
      <c r="A19" s="136"/>
      <c r="B19" s="138"/>
      <c r="C19" s="34" t="s">
        <v>11</v>
      </c>
      <c r="D19" s="22">
        <v>5200000</v>
      </c>
      <c r="E19" s="23"/>
      <c r="F19" s="22"/>
      <c r="G19" s="22"/>
      <c r="H19" s="22"/>
      <c r="I19" s="22"/>
      <c r="J19" s="22"/>
      <c r="K19" s="22"/>
      <c r="L19" s="22"/>
      <c r="M19" s="22">
        <f t="shared" si="0"/>
        <v>5200000</v>
      </c>
      <c r="N19" s="22">
        <v>200000</v>
      </c>
      <c r="O19" s="22"/>
      <c r="P19" s="22"/>
      <c r="Q19" s="22"/>
      <c r="R19" s="22"/>
      <c r="S19" s="22"/>
      <c r="T19" s="22">
        <f t="shared" si="1"/>
        <v>5400000</v>
      </c>
      <c r="U19" s="66">
        <f>3724530-665</f>
        <v>3723865</v>
      </c>
      <c r="V19" s="132">
        <f t="shared" si="2"/>
        <v>1676135</v>
      </c>
    </row>
    <row r="20" spans="1:22" x14ac:dyDescent="0.25">
      <c r="A20" s="136"/>
      <c r="B20" s="138"/>
      <c r="C20" s="34" t="s">
        <v>14</v>
      </c>
      <c r="D20" s="22">
        <v>2500</v>
      </c>
      <c r="E20" s="23"/>
      <c r="F20" s="22"/>
      <c r="G20" s="22"/>
      <c r="H20" s="22"/>
      <c r="I20" s="22"/>
      <c r="J20" s="22"/>
      <c r="K20" s="22"/>
      <c r="L20" s="22"/>
      <c r="M20" s="22">
        <f t="shared" si="0"/>
        <v>2500</v>
      </c>
      <c r="N20" s="22"/>
      <c r="O20" s="22"/>
      <c r="P20" s="22"/>
      <c r="Q20" s="22"/>
      <c r="R20" s="22"/>
      <c r="S20" s="22"/>
      <c r="T20" s="22">
        <f t="shared" si="1"/>
        <v>2500</v>
      </c>
      <c r="U20" s="66">
        <v>586</v>
      </c>
      <c r="V20" s="37">
        <f t="shared" si="2"/>
        <v>1914</v>
      </c>
    </row>
    <row r="21" spans="1:22" x14ac:dyDescent="0.25">
      <c r="A21" s="136"/>
      <c r="B21" s="138"/>
      <c r="C21" s="34" t="s">
        <v>20</v>
      </c>
      <c r="D21" s="22">
        <v>2000</v>
      </c>
      <c r="E21" s="23"/>
      <c r="F21" s="22"/>
      <c r="G21" s="22"/>
      <c r="H21" s="22"/>
      <c r="I21" s="22"/>
      <c r="J21" s="22"/>
      <c r="K21" s="22"/>
      <c r="L21" s="22"/>
      <c r="M21" s="22">
        <f t="shared" si="0"/>
        <v>2000</v>
      </c>
      <c r="N21" s="22"/>
      <c r="O21" s="22"/>
      <c r="P21" s="22"/>
      <c r="Q21" s="22"/>
      <c r="R21" s="22"/>
      <c r="S21" s="22"/>
      <c r="T21" s="22">
        <f t="shared" si="1"/>
        <v>2000</v>
      </c>
      <c r="U21" s="66">
        <v>1460</v>
      </c>
      <c r="V21" s="39">
        <f t="shared" si="2"/>
        <v>540</v>
      </c>
    </row>
    <row r="22" spans="1:22" x14ac:dyDescent="0.25">
      <c r="A22" s="136"/>
      <c r="B22" s="138"/>
      <c r="C22" s="34" t="s">
        <v>15</v>
      </c>
      <c r="D22" s="22">
        <v>7000</v>
      </c>
      <c r="E22" s="23"/>
      <c r="F22" s="22"/>
      <c r="G22" s="22"/>
      <c r="H22" s="22"/>
      <c r="I22" s="22"/>
      <c r="J22" s="22"/>
      <c r="K22" s="22"/>
      <c r="L22" s="22"/>
      <c r="M22" s="22">
        <f t="shared" si="0"/>
        <v>7000</v>
      </c>
      <c r="N22" s="22"/>
      <c r="O22" s="22"/>
      <c r="P22" s="22"/>
      <c r="Q22" s="22"/>
      <c r="R22" s="22"/>
      <c r="S22" s="22"/>
      <c r="T22" s="22">
        <f t="shared" si="1"/>
        <v>7000</v>
      </c>
      <c r="U22" s="66">
        <f>2130-78</f>
        <v>2052</v>
      </c>
      <c r="V22" s="39">
        <f t="shared" si="2"/>
        <v>4948</v>
      </c>
    </row>
    <row r="23" spans="1:22" x14ac:dyDescent="0.25">
      <c r="A23" s="136"/>
      <c r="B23" s="138" t="s">
        <v>21</v>
      </c>
      <c r="C23" s="34" t="s">
        <v>19</v>
      </c>
      <c r="D23" s="22">
        <v>54000</v>
      </c>
      <c r="E23" s="23"/>
      <c r="F23" s="22"/>
      <c r="G23" s="22"/>
      <c r="H23" s="22"/>
      <c r="I23" s="22"/>
      <c r="J23" s="22"/>
      <c r="K23" s="22"/>
      <c r="L23" s="22"/>
      <c r="M23" s="22">
        <f t="shared" si="0"/>
        <v>54000</v>
      </c>
      <c r="N23" s="22"/>
      <c r="O23" s="22"/>
      <c r="P23" s="22"/>
      <c r="Q23" s="22"/>
      <c r="R23" s="22"/>
      <c r="S23" s="22"/>
      <c r="T23" s="22">
        <f t="shared" si="1"/>
        <v>54000</v>
      </c>
      <c r="U23" s="66">
        <v>42000</v>
      </c>
      <c r="V23" s="37">
        <f t="shared" si="2"/>
        <v>12000</v>
      </c>
    </row>
    <row r="24" spans="1:22" x14ac:dyDescent="0.25">
      <c r="A24" s="136"/>
      <c r="B24" s="138"/>
      <c r="C24" s="34" t="s">
        <v>11</v>
      </c>
      <c r="D24" s="22">
        <v>1400000</v>
      </c>
      <c r="E24" s="22"/>
      <c r="F24" s="22"/>
      <c r="G24" s="22"/>
      <c r="H24" s="22"/>
      <c r="I24" s="22"/>
      <c r="J24" s="22"/>
      <c r="K24" s="22"/>
      <c r="L24" s="22"/>
      <c r="M24" s="22">
        <f t="shared" si="0"/>
        <v>1400000</v>
      </c>
      <c r="N24" s="22"/>
      <c r="O24" s="22"/>
      <c r="P24" s="22"/>
      <c r="Q24" s="22"/>
      <c r="R24" s="22"/>
      <c r="S24" s="22"/>
      <c r="T24" s="22">
        <f t="shared" si="1"/>
        <v>1400000</v>
      </c>
      <c r="U24" s="66">
        <f>1043185-840</f>
        <v>1042345</v>
      </c>
      <c r="V24" s="132">
        <f t="shared" si="2"/>
        <v>357655</v>
      </c>
    </row>
    <row r="25" spans="1:22" ht="15.75" thickBot="1" x14ac:dyDescent="0.3">
      <c r="A25" s="164"/>
      <c r="B25" s="169"/>
      <c r="C25" s="40" t="s">
        <v>14</v>
      </c>
      <c r="D25" s="41">
        <v>1500</v>
      </c>
      <c r="E25" s="41">
        <v>14580</v>
      </c>
      <c r="F25" s="41"/>
      <c r="G25" s="41"/>
      <c r="H25" s="41"/>
      <c r="I25" s="41"/>
      <c r="J25" s="41"/>
      <c r="K25" s="41"/>
      <c r="L25" s="41"/>
      <c r="M25" s="41">
        <f t="shared" si="0"/>
        <v>16080</v>
      </c>
      <c r="N25" s="41"/>
      <c r="O25" s="41"/>
      <c r="P25" s="41"/>
      <c r="Q25" s="41"/>
      <c r="R25" s="41"/>
      <c r="S25" s="41"/>
      <c r="T25" s="41">
        <f t="shared" si="1"/>
        <v>16080</v>
      </c>
      <c r="U25" s="42">
        <v>11340</v>
      </c>
      <c r="V25" s="43">
        <f t="shared" si="2"/>
        <v>4740</v>
      </c>
    </row>
    <row r="26" spans="1:22" ht="15.75" thickTop="1" x14ac:dyDescent="0.25">
      <c r="A26" s="165" t="s">
        <v>22</v>
      </c>
      <c r="B26" s="162" t="s">
        <v>6</v>
      </c>
      <c r="C26" s="44" t="s">
        <v>7</v>
      </c>
      <c r="D26" s="45">
        <v>1054183</v>
      </c>
      <c r="E26" s="45"/>
      <c r="F26" s="45"/>
      <c r="G26" s="45"/>
      <c r="H26" s="45"/>
      <c r="I26" s="46"/>
      <c r="J26" s="46"/>
      <c r="K26" s="46"/>
      <c r="L26" s="46"/>
      <c r="M26" s="46">
        <f t="shared" si="0"/>
        <v>1054183</v>
      </c>
      <c r="N26" s="46"/>
      <c r="O26" s="46"/>
      <c r="P26" s="46"/>
      <c r="Q26" s="46"/>
      <c r="R26" s="46"/>
      <c r="S26" s="46"/>
      <c r="T26" s="46">
        <f t="shared" si="1"/>
        <v>1054183</v>
      </c>
      <c r="U26" s="47">
        <v>721487</v>
      </c>
      <c r="V26" s="48">
        <f t="shared" si="2"/>
        <v>332696</v>
      </c>
    </row>
    <row r="27" spans="1:22" x14ac:dyDescent="0.25">
      <c r="A27" s="136"/>
      <c r="B27" s="138"/>
      <c r="C27" s="34" t="s">
        <v>8</v>
      </c>
      <c r="D27" s="22">
        <v>0</v>
      </c>
      <c r="E27" s="22"/>
      <c r="F27" s="22"/>
      <c r="G27" s="22"/>
      <c r="H27" s="22"/>
      <c r="I27" s="22"/>
      <c r="J27" s="22"/>
      <c r="K27" s="22"/>
      <c r="L27" s="22"/>
      <c r="M27" s="22">
        <f t="shared" si="0"/>
        <v>0</v>
      </c>
      <c r="N27" s="22"/>
      <c r="O27" s="22"/>
      <c r="P27" s="22"/>
      <c r="Q27" s="22"/>
      <c r="R27" s="22"/>
      <c r="S27" s="22"/>
      <c r="T27" s="22">
        <f t="shared" si="1"/>
        <v>0</v>
      </c>
      <c r="U27" s="35">
        <v>0</v>
      </c>
      <c r="V27" s="37">
        <f t="shared" si="2"/>
        <v>0</v>
      </c>
    </row>
    <row r="28" spans="1:22" ht="15.75" thickBot="1" x14ac:dyDescent="0.3">
      <c r="A28" s="164"/>
      <c r="B28" s="49" t="s">
        <v>18</v>
      </c>
      <c r="C28" s="40" t="s">
        <v>11</v>
      </c>
      <c r="D28" s="41">
        <v>1000000</v>
      </c>
      <c r="E28" s="41"/>
      <c r="F28" s="41"/>
      <c r="G28" s="41"/>
      <c r="H28" s="41"/>
      <c r="I28" s="41"/>
      <c r="J28" s="41"/>
      <c r="K28" s="41"/>
      <c r="L28" s="41"/>
      <c r="M28" s="41">
        <f t="shared" si="0"/>
        <v>1000000</v>
      </c>
      <c r="N28" s="41"/>
      <c r="O28" s="41"/>
      <c r="P28" s="41"/>
      <c r="Q28" s="41"/>
      <c r="R28" s="41"/>
      <c r="S28" s="41"/>
      <c r="T28" s="41">
        <f t="shared" si="1"/>
        <v>1000000</v>
      </c>
      <c r="U28" s="42">
        <v>718845</v>
      </c>
      <c r="V28" s="133">
        <f t="shared" si="2"/>
        <v>281155</v>
      </c>
    </row>
    <row r="29" spans="1:22" ht="15.75" thickTop="1" x14ac:dyDescent="0.25">
      <c r="A29" s="149" t="s">
        <v>23</v>
      </c>
      <c r="B29" s="151" t="s">
        <v>24</v>
      </c>
      <c r="C29" s="50" t="s">
        <v>7</v>
      </c>
      <c r="D29" s="46">
        <v>0</v>
      </c>
      <c r="E29" s="46"/>
      <c r="F29" s="46"/>
      <c r="G29" s="46"/>
      <c r="H29" s="46"/>
      <c r="I29" s="46"/>
      <c r="J29" s="46"/>
      <c r="K29" s="46"/>
      <c r="L29" s="46"/>
      <c r="M29" s="46">
        <f t="shared" si="0"/>
        <v>0</v>
      </c>
      <c r="N29" s="46"/>
      <c r="O29" s="46"/>
      <c r="P29" s="46"/>
      <c r="Q29" s="46"/>
      <c r="R29" s="46"/>
      <c r="S29" s="46"/>
      <c r="T29" s="46">
        <f t="shared" si="1"/>
        <v>0</v>
      </c>
      <c r="U29" s="51">
        <v>0</v>
      </c>
      <c r="V29" s="48">
        <f t="shared" si="2"/>
        <v>0</v>
      </c>
    </row>
    <row r="30" spans="1:22" x14ac:dyDescent="0.25">
      <c r="A30" s="149"/>
      <c r="B30" s="151"/>
      <c r="C30" s="50" t="s">
        <v>134</v>
      </c>
      <c r="D30" s="46">
        <v>0</v>
      </c>
      <c r="E30" s="46"/>
      <c r="F30" s="46"/>
      <c r="G30" s="46"/>
      <c r="H30" s="46"/>
      <c r="I30" s="46"/>
      <c r="J30" s="46"/>
      <c r="K30" s="46"/>
      <c r="L30" s="46"/>
      <c r="M30" s="22">
        <f t="shared" si="0"/>
        <v>0</v>
      </c>
      <c r="N30" s="46"/>
      <c r="O30" s="46"/>
      <c r="P30" s="46"/>
      <c r="Q30" s="46"/>
      <c r="R30" s="46"/>
      <c r="S30" s="46"/>
      <c r="T30" s="46">
        <f t="shared" si="1"/>
        <v>0</v>
      </c>
      <c r="U30" s="51">
        <v>0</v>
      </c>
      <c r="V30" s="37">
        <f t="shared" si="2"/>
        <v>0</v>
      </c>
    </row>
    <row r="31" spans="1:22" x14ac:dyDescent="0.25">
      <c r="A31" s="136"/>
      <c r="B31" s="138"/>
      <c r="C31" s="34" t="s">
        <v>8</v>
      </c>
      <c r="D31" s="22">
        <v>365668</v>
      </c>
      <c r="E31" s="22"/>
      <c r="F31" s="22"/>
      <c r="G31" s="22"/>
      <c r="H31" s="22"/>
      <c r="I31" s="22"/>
      <c r="J31" s="22"/>
      <c r="K31" s="22"/>
      <c r="L31" s="22"/>
      <c r="M31" s="22">
        <f t="shared" si="0"/>
        <v>365668</v>
      </c>
      <c r="N31" s="22"/>
      <c r="O31" s="22"/>
      <c r="P31" s="22"/>
      <c r="Q31" s="22"/>
      <c r="R31" s="22"/>
      <c r="S31" s="22"/>
      <c r="T31" s="22">
        <f t="shared" si="1"/>
        <v>365668</v>
      </c>
      <c r="U31" s="35">
        <v>365668</v>
      </c>
      <c r="V31" s="37">
        <f t="shared" si="2"/>
        <v>0</v>
      </c>
    </row>
    <row r="32" spans="1:22" x14ac:dyDescent="0.25">
      <c r="A32" s="136"/>
      <c r="B32" s="38" t="s">
        <v>18</v>
      </c>
      <c r="C32" s="34" t="s">
        <v>11</v>
      </c>
      <c r="D32" s="22">
        <v>440000</v>
      </c>
      <c r="E32" s="22"/>
      <c r="F32" s="22"/>
      <c r="G32" s="22"/>
      <c r="H32" s="25"/>
      <c r="I32" s="25"/>
      <c r="J32" s="22"/>
      <c r="K32" s="22"/>
      <c r="L32" s="22"/>
      <c r="M32" s="22">
        <f t="shared" si="0"/>
        <v>440000</v>
      </c>
      <c r="N32" s="22"/>
      <c r="O32" s="22"/>
      <c r="P32" s="22"/>
      <c r="Q32" s="22"/>
      <c r="R32" s="22"/>
      <c r="S32" s="22"/>
      <c r="T32" s="22">
        <f t="shared" si="1"/>
        <v>440000</v>
      </c>
      <c r="U32" s="35">
        <v>314715</v>
      </c>
      <c r="V32" s="132">
        <f t="shared" si="2"/>
        <v>125285</v>
      </c>
    </row>
    <row r="33" spans="1:22" x14ac:dyDescent="0.25">
      <c r="A33" s="137"/>
      <c r="B33" s="139" t="s">
        <v>21</v>
      </c>
      <c r="C33" s="60" t="s">
        <v>19</v>
      </c>
      <c r="D33" s="54"/>
      <c r="E33" s="54"/>
      <c r="F33" s="54"/>
      <c r="G33" s="54"/>
      <c r="H33" s="59"/>
      <c r="I33" s="59"/>
      <c r="J33" s="54"/>
      <c r="K33" s="54"/>
      <c r="L33" s="54"/>
      <c r="M33" s="134"/>
      <c r="N33" s="54">
        <v>4000</v>
      </c>
      <c r="O33" s="54"/>
      <c r="P33" s="54"/>
      <c r="Q33" s="54"/>
      <c r="R33" s="54"/>
      <c r="S33" s="54"/>
      <c r="T33" s="22">
        <f t="shared" si="1"/>
        <v>4000</v>
      </c>
      <c r="U33" s="55">
        <v>4000</v>
      </c>
      <c r="V33" s="62">
        <f t="shared" si="2"/>
        <v>0</v>
      </c>
    </row>
    <row r="34" spans="1:22" x14ac:dyDescent="0.25">
      <c r="A34" s="137"/>
      <c r="B34" s="150"/>
      <c r="C34" s="60" t="s">
        <v>14</v>
      </c>
      <c r="D34" s="54"/>
      <c r="E34" s="54"/>
      <c r="F34" s="54"/>
      <c r="G34" s="54"/>
      <c r="H34" s="59"/>
      <c r="I34" s="59"/>
      <c r="J34" s="54"/>
      <c r="K34" s="54"/>
      <c r="L34" s="54"/>
      <c r="M34" s="134"/>
      <c r="N34" s="54">
        <v>1080</v>
      </c>
      <c r="O34" s="54"/>
      <c r="P34" s="54"/>
      <c r="Q34" s="54"/>
      <c r="R34" s="54"/>
      <c r="S34" s="54"/>
      <c r="T34" s="22">
        <f t="shared" si="1"/>
        <v>1080</v>
      </c>
      <c r="U34" s="55">
        <v>1080</v>
      </c>
      <c r="V34" s="62">
        <f t="shared" si="2"/>
        <v>0</v>
      </c>
    </row>
    <row r="35" spans="1:22" ht="15.75" thickBot="1" x14ac:dyDescent="0.3">
      <c r="A35" s="137"/>
      <c r="B35" s="163"/>
      <c r="C35" s="53" t="s">
        <v>11</v>
      </c>
      <c r="D35" s="54">
        <v>60000</v>
      </c>
      <c r="E35" s="54"/>
      <c r="F35" s="54"/>
      <c r="G35" s="54"/>
      <c r="H35" s="54"/>
      <c r="I35" s="54"/>
      <c r="J35" s="54"/>
      <c r="K35" s="41"/>
      <c r="L35" s="41"/>
      <c r="M35" s="123">
        <f t="shared" si="0"/>
        <v>60000</v>
      </c>
      <c r="N35" s="41">
        <v>-5080</v>
      </c>
      <c r="O35" s="41"/>
      <c r="P35" s="41"/>
      <c r="Q35" s="41"/>
      <c r="R35" s="41"/>
      <c r="S35" s="41"/>
      <c r="T35" s="41">
        <f t="shared" si="1"/>
        <v>54920</v>
      </c>
      <c r="U35" s="55">
        <v>40990</v>
      </c>
      <c r="V35" s="133">
        <f t="shared" si="2"/>
        <v>13930</v>
      </c>
    </row>
    <row r="36" spans="1:22" ht="15.75" thickTop="1" x14ac:dyDescent="0.25">
      <c r="A36" s="165" t="s">
        <v>25</v>
      </c>
      <c r="B36" s="162" t="s">
        <v>24</v>
      </c>
      <c r="C36" s="44" t="s">
        <v>7</v>
      </c>
      <c r="D36" s="45">
        <v>1054183</v>
      </c>
      <c r="E36" s="45"/>
      <c r="F36" s="45"/>
      <c r="G36" s="45"/>
      <c r="H36" s="45"/>
      <c r="I36" s="45"/>
      <c r="J36" s="45"/>
      <c r="K36" s="46"/>
      <c r="L36" s="46"/>
      <c r="M36" s="46">
        <f t="shared" si="0"/>
        <v>1054183</v>
      </c>
      <c r="N36" s="46"/>
      <c r="O36" s="46"/>
      <c r="P36" s="46"/>
      <c r="Q36" s="46"/>
      <c r="R36" s="46"/>
      <c r="S36" s="46"/>
      <c r="T36" s="46">
        <f t="shared" si="1"/>
        <v>1054183</v>
      </c>
      <c r="U36" s="47">
        <v>721487</v>
      </c>
      <c r="V36" s="48">
        <f t="shared" si="2"/>
        <v>332696</v>
      </c>
    </row>
    <row r="37" spans="1:22" x14ac:dyDescent="0.25">
      <c r="A37" s="149"/>
      <c r="B37" s="151"/>
      <c r="C37" s="50" t="s">
        <v>134</v>
      </c>
      <c r="D37" s="46">
        <v>0</v>
      </c>
      <c r="E37" s="46"/>
      <c r="F37" s="46"/>
      <c r="G37" s="46"/>
      <c r="H37" s="46"/>
      <c r="I37" s="46"/>
      <c r="J37" s="46"/>
      <c r="K37" s="46"/>
      <c r="L37" s="46"/>
      <c r="M37" s="22">
        <f t="shared" si="0"/>
        <v>0</v>
      </c>
      <c r="N37" s="46"/>
      <c r="O37" s="46"/>
      <c r="P37" s="46"/>
      <c r="Q37" s="46"/>
      <c r="R37" s="46"/>
      <c r="S37" s="46"/>
      <c r="T37" s="46">
        <f t="shared" si="1"/>
        <v>0</v>
      </c>
      <c r="U37" s="51">
        <v>0</v>
      </c>
      <c r="V37" s="37">
        <f t="shared" si="2"/>
        <v>0</v>
      </c>
    </row>
    <row r="38" spans="1:22" x14ac:dyDescent="0.25">
      <c r="A38" s="136"/>
      <c r="B38" s="138"/>
      <c r="C38" s="34" t="s">
        <v>8</v>
      </c>
      <c r="D38" s="22">
        <v>1542397</v>
      </c>
      <c r="E38" s="22"/>
      <c r="F38" s="22"/>
      <c r="G38" s="22"/>
      <c r="H38" s="22"/>
      <c r="I38" s="22"/>
      <c r="J38" s="22"/>
      <c r="K38" s="22"/>
      <c r="L38" s="22"/>
      <c r="M38" s="22">
        <f t="shared" si="0"/>
        <v>1542397</v>
      </c>
      <c r="N38" s="22"/>
      <c r="O38" s="22"/>
      <c r="P38" s="22"/>
      <c r="Q38" s="22"/>
      <c r="R38" s="22"/>
      <c r="S38" s="22"/>
      <c r="T38" s="22">
        <f t="shared" si="1"/>
        <v>1542397</v>
      </c>
      <c r="U38" s="35">
        <v>1542397</v>
      </c>
      <c r="V38" s="37">
        <f t="shared" si="2"/>
        <v>0</v>
      </c>
    </row>
    <row r="39" spans="1:22" x14ac:dyDescent="0.25">
      <c r="A39" s="136"/>
      <c r="B39" s="38" t="s">
        <v>10</v>
      </c>
      <c r="C39" s="34" t="s">
        <v>11</v>
      </c>
      <c r="D39" s="22">
        <v>350000</v>
      </c>
      <c r="E39" s="22"/>
      <c r="F39" s="22"/>
      <c r="G39" s="22"/>
      <c r="H39" s="22"/>
      <c r="I39" s="22"/>
      <c r="J39" s="22"/>
      <c r="K39" s="22"/>
      <c r="L39" s="22"/>
      <c r="M39" s="22">
        <f t="shared" ref="M39:M70" si="3">D39+E39+F39+G39+H39+J39+I39+K39+L39</f>
        <v>350000</v>
      </c>
      <c r="N39" s="22">
        <v>-50000</v>
      </c>
      <c r="O39" s="22"/>
      <c r="P39" s="22"/>
      <c r="Q39" s="22"/>
      <c r="R39" s="22"/>
      <c r="S39" s="22"/>
      <c r="T39" s="22">
        <f t="shared" si="1"/>
        <v>300000</v>
      </c>
      <c r="U39" s="35">
        <v>220130</v>
      </c>
      <c r="V39" s="39">
        <f t="shared" si="2"/>
        <v>79870</v>
      </c>
    </row>
    <row r="40" spans="1:22" x14ac:dyDescent="0.25">
      <c r="A40" s="136"/>
      <c r="B40" s="56" t="s">
        <v>18</v>
      </c>
      <c r="C40" s="34" t="s">
        <v>11</v>
      </c>
      <c r="D40" s="22">
        <v>950000</v>
      </c>
      <c r="E40" s="22"/>
      <c r="F40" s="22"/>
      <c r="G40" s="22"/>
      <c r="H40" s="22"/>
      <c r="I40" s="22"/>
      <c r="J40" s="22"/>
      <c r="K40" s="22"/>
      <c r="L40" s="22"/>
      <c r="M40" s="22">
        <f t="shared" si="3"/>
        <v>950000</v>
      </c>
      <c r="N40" s="22">
        <v>50000</v>
      </c>
      <c r="O40" s="22"/>
      <c r="P40" s="22"/>
      <c r="Q40" s="22"/>
      <c r="R40" s="22"/>
      <c r="S40" s="22"/>
      <c r="T40" s="22">
        <f t="shared" si="1"/>
        <v>1000000</v>
      </c>
      <c r="U40" s="35">
        <v>677090</v>
      </c>
      <c r="V40" s="39">
        <f t="shared" si="2"/>
        <v>322910</v>
      </c>
    </row>
    <row r="41" spans="1:22" x14ac:dyDescent="0.25">
      <c r="A41" s="136"/>
      <c r="B41" s="138" t="s">
        <v>21</v>
      </c>
      <c r="C41" s="34" t="s">
        <v>11</v>
      </c>
      <c r="D41" s="22">
        <v>0</v>
      </c>
      <c r="E41" s="22"/>
      <c r="F41" s="22"/>
      <c r="G41" s="22"/>
      <c r="H41" s="22"/>
      <c r="I41" s="22"/>
      <c r="J41" s="22"/>
      <c r="K41" s="22"/>
      <c r="L41" s="22"/>
      <c r="M41" s="22">
        <f t="shared" si="3"/>
        <v>0</v>
      </c>
      <c r="N41" s="22"/>
      <c r="O41" s="22"/>
      <c r="P41" s="22"/>
      <c r="Q41" s="22"/>
      <c r="R41" s="22"/>
      <c r="S41" s="22"/>
      <c r="T41" s="22">
        <f t="shared" si="1"/>
        <v>0</v>
      </c>
      <c r="U41" s="35">
        <v>0</v>
      </c>
      <c r="V41" s="37">
        <f t="shared" si="2"/>
        <v>0</v>
      </c>
    </row>
    <row r="42" spans="1:22" ht="15.75" thickBot="1" x14ac:dyDescent="0.3">
      <c r="A42" s="164"/>
      <c r="B42" s="169"/>
      <c r="C42" s="40" t="s">
        <v>14</v>
      </c>
      <c r="D42" s="41">
        <v>0</v>
      </c>
      <c r="E42" s="41"/>
      <c r="F42" s="41"/>
      <c r="G42" s="41"/>
      <c r="H42" s="41"/>
      <c r="I42" s="41"/>
      <c r="J42" s="41"/>
      <c r="K42" s="41"/>
      <c r="L42" s="41"/>
      <c r="M42" s="41">
        <f t="shared" si="3"/>
        <v>0</v>
      </c>
      <c r="N42" s="41"/>
      <c r="O42" s="41"/>
      <c r="P42" s="41"/>
      <c r="Q42" s="41"/>
      <c r="R42" s="41"/>
      <c r="S42" s="41"/>
      <c r="T42" s="41">
        <f t="shared" si="1"/>
        <v>0</v>
      </c>
      <c r="U42" s="42">
        <v>0</v>
      </c>
      <c r="V42" s="57">
        <f t="shared" si="2"/>
        <v>0</v>
      </c>
    </row>
    <row r="43" spans="1:22" ht="15.75" thickTop="1" x14ac:dyDescent="0.25">
      <c r="A43" s="165" t="s">
        <v>26</v>
      </c>
      <c r="B43" s="162" t="s">
        <v>6</v>
      </c>
      <c r="C43" s="44" t="s">
        <v>7</v>
      </c>
      <c r="D43" s="45">
        <v>1054183</v>
      </c>
      <c r="E43" s="45"/>
      <c r="F43" s="45"/>
      <c r="G43" s="45"/>
      <c r="H43" s="45"/>
      <c r="I43" s="46"/>
      <c r="J43" s="46"/>
      <c r="K43" s="46"/>
      <c r="L43" s="46"/>
      <c r="M43" s="46">
        <f t="shared" si="3"/>
        <v>1054183</v>
      </c>
      <c r="N43" s="46"/>
      <c r="O43" s="46"/>
      <c r="P43" s="46"/>
      <c r="Q43" s="46"/>
      <c r="R43" s="46"/>
      <c r="S43" s="46"/>
      <c r="T43" s="46">
        <f t="shared" si="1"/>
        <v>1054183</v>
      </c>
      <c r="U43" s="47">
        <v>687842</v>
      </c>
      <c r="V43" s="48">
        <f t="shared" si="2"/>
        <v>366341</v>
      </c>
    </row>
    <row r="44" spans="1:22" x14ac:dyDescent="0.25">
      <c r="A44" s="149"/>
      <c r="B44" s="151"/>
      <c r="C44" s="50" t="s">
        <v>134</v>
      </c>
      <c r="D44" s="46">
        <v>0</v>
      </c>
      <c r="E44" s="46"/>
      <c r="F44" s="46"/>
      <c r="G44" s="46"/>
      <c r="H44" s="46"/>
      <c r="I44" s="46"/>
      <c r="J44" s="46"/>
      <c r="K44" s="46"/>
      <c r="L44" s="46"/>
      <c r="M44" s="22">
        <f t="shared" si="3"/>
        <v>0</v>
      </c>
      <c r="N44" s="46"/>
      <c r="O44" s="46"/>
      <c r="P44" s="46"/>
      <c r="Q44" s="46"/>
      <c r="R44" s="46"/>
      <c r="S44" s="46"/>
      <c r="T44" s="46">
        <f t="shared" si="1"/>
        <v>0</v>
      </c>
      <c r="U44" s="51">
        <v>0</v>
      </c>
      <c r="V44" s="37">
        <f t="shared" si="2"/>
        <v>0</v>
      </c>
    </row>
    <row r="45" spans="1:22" x14ac:dyDescent="0.25">
      <c r="A45" s="136"/>
      <c r="B45" s="138"/>
      <c r="C45" s="34" t="s">
        <v>8</v>
      </c>
      <c r="D45" s="22">
        <v>222349</v>
      </c>
      <c r="E45" s="22"/>
      <c r="F45" s="22"/>
      <c r="G45" s="22"/>
      <c r="H45" s="22"/>
      <c r="I45" s="22"/>
      <c r="J45" s="22"/>
      <c r="K45" s="22"/>
      <c r="L45" s="22"/>
      <c r="M45" s="22">
        <f t="shared" si="3"/>
        <v>222349</v>
      </c>
      <c r="N45" s="22"/>
      <c r="O45" s="22"/>
      <c r="P45" s="22"/>
      <c r="Q45" s="22"/>
      <c r="R45" s="22"/>
      <c r="S45" s="22"/>
      <c r="T45" s="22">
        <f t="shared" si="1"/>
        <v>222349</v>
      </c>
      <c r="U45" s="35">
        <v>222349</v>
      </c>
      <c r="V45" s="37">
        <f t="shared" si="2"/>
        <v>0</v>
      </c>
    </row>
    <row r="46" spans="1:22" x14ac:dyDescent="0.25">
      <c r="A46" s="136"/>
      <c r="B46" s="38" t="s">
        <v>18</v>
      </c>
      <c r="C46" s="34" t="s">
        <v>11</v>
      </c>
      <c r="D46" s="22">
        <v>550000</v>
      </c>
      <c r="E46" s="22"/>
      <c r="F46" s="22"/>
      <c r="G46" s="22"/>
      <c r="H46" s="22"/>
      <c r="I46" s="22"/>
      <c r="J46" s="22"/>
      <c r="K46" s="22"/>
      <c r="L46" s="22"/>
      <c r="M46" s="22">
        <f t="shared" si="3"/>
        <v>550000</v>
      </c>
      <c r="N46" s="22"/>
      <c r="O46" s="22"/>
      <c r="P46" s="22"/>
      <c r="Q46" s="22"/>
      <c r="R46" s="22"/>
      <c r="S46" s="22"/>
      <c r="T46" s="22">
        <f t="shared" si="1"/>
        <v>550000</v>
      </c>
      <c r="U46" s="35">
        <v>402090</v>
      </c>
      <c r="V46" s="132">
        <f t="shared" si="2"/>
        <v>147910</v>
      </c>
    </row>
    <row r="47" spans="1:22" x14ac:dyDescent="0.25">
      <c r="A47" s="136"/>
      <c r="B47" s="138" t="s">
        <v>21</v>
      </c>
      <c r="C47" s="34" t="s">
        <v>19</v>
      </c>
      <c r="D47" s="22">
        <v>0</v>
      </c>
      <c r="E47" s="22"/>
      <c r="F47" s="22"/>
      <c r="G47" s="22"/>
      <c r="H47" s="22"/>
      <c r="I47" s="22"/>
      <c r="J47" s="22"/>
      <c r="K47" s="22"/>
      <c r="L47" s="22"/>
      <c r="M47" s="22">
        <f t="shared" si="3"/>
        <v>0</v>
      </c>
      <c r="N47" s="22"/>
      <c r="O47" s="22"/>
      <c r="P47" s="22"/>
      <c r="Q47" s="22"/>
      <c r="R47" s="22"/>
      <c r="S47" s="22"/>
      <c r="T47" s="22">
        <f t="shared" si="1"/>
        <v>0</v>
      </c>
      <c r="U47" s="35">
        <v>0</v>
      </c>
      <c r="V47" s="37">
        <f t="shared" si="2"/>
        <v>0</v>
      </c>
    </row>
    <row r="48" spans="1:22" x14ac:dyDescent="0.25">
      <c r="A48" s="136"/>
      <c r="B48" s="138"/>
      <c r="C48" s="34" t="s">
        <v>11</v>
      </c>
      <c r="D48" s="22">
        <v>0</v>
      </c>
      <c r="E48" s="22"/>
      <c r="F48" s="22"/>
      <c r="G48" s="22"/>
      <c r="H48" s="22"/>
      <c r="I48" s="22"/>
      <c r="J48" s="22"/>
      <c r="K48" s="22"/>
      <c r="L48" s="22"/>
      <c r="M48" s="22">
        <f t="shared" si="3"/>
        <v>0</v>
      </c>
      <c r="N48" s="22"/>
      <c r="O48" s="22"/>
      <c r="P48" s="22"/>
      <c r="Q48" s="22"/>
      <c r="R48" s="22"/>
      <c r="S48" s="22"/>
      <c r="T48" s="22">
        <f t="shared" si="1"/>
        <v>0</v>
      </c>
      <c r="U48" s="35">
        <v>0</v>
      </c>
      <c r="V48" s="37">
        <f t="shared" si="2"/>
        <v>0</v>
      </c>
    </row>
    <row r="49" spans="1:22" ht="15.75" thickBot="1" x14ac:dyDescent="0.3">
      <c r="A49" s="164"/>
      <c r="B49" s="169"/>
      <c r="C49" s="40" t="s">
        <v>14</v>
      </c>
      <c r="D49" s="41">
        <v>0</v>
      </c>
      <c r="E49" s="41"/>
      <c r="F49" s="41"/>
      <c r="G49" s="41"/>
      <c r="H49" s="41"/>
      <c r="I49" s="41"/>
      <c r="J49" s="41"/>
      <c r="K49" s="41"/>
      <c r="L49" s="41"/>
      <c r="M49" s="41">
        <f t="shared" si="3"/>
        <v>0</v>
      </c>
      <c r="N49" s="41"/>
      <c r="O49" s="41"/>
      <c r="P49" s="41"/>
      <c r="Q49" s="41"/>
      <c r="R49" s="41"/>
      <c r="S49" s="41"/>
      <c r="T49" s="41">
        <f t="shared" si="1"/>
        <v>0</v>
      </c>
      <c r="U49" s="42">
        <v>0</v>
      </c>
      <c r="V49" s="57">
        <f t="shared" si="2"/>
        <v>0</v>
      </c>
    </row>
    <row r="50" spans="1:22" ht="15.75" thickTop="1" x14ac:dyDescent="0.25">
      <c r="A50" s="149" t="s">
        <v>27</v>
      </c>
      <c r="B50" s="151" t="s">
        <v>6</v>
      </c>
      <c r="C50" s="50" t="s">
        <v>7</v>
      </c>
      <c r="D50" s="46">
        <v>1054183</v>
      </c>
      <c r="E50" s="46"/>
      <c r="F50" s="46"/>
      <c r="G50" s="46"/>
      <c r="H50" s="46"/>
      <c r="I50" s="46"/>
      <c r="J50" s="46"/>
      <c r="K50" s="46"/>
      <c r="L50" s="46"/>
      <c r="M50" s="46">
        <f t="shared" si="3"/>
        <v>1054183</v>
      </c>
      <c r="N50" s="46"/>
      <c r="O50" s="46"/>
      <c r="P50" s="46"/>
      <c r="Q50" s="46"/>
      <c r="R50" s="46"/>
      <c r="S50" s="46"/>
      <c r="T50" s="46">
        <f t="shared" si="1"/>
        <v>1054183</v>
      </c>
      <c r="U50" s="51">
        <v>639129</v>
      </c>
      <c r="V50" s="48">
        <f t="shared" si="2"/>
        <v>415054</v>
      </c>
    </row>
    <row r="51" spans="1:22" x14ac:dyDescent="0.25">
      <c r="A51" s="136"/>
      <c r="B51" s="138"/>
      <c r="C51" s="34" t="s">
        <v>8</v>
      </c>
      <c r="D51" s="22">
        <v>820507</v>
      </c>
      <c r="E51" s="22"/>
      <c r="F51" s="22"/>
      <c r="G51" s="22"/>
      <c r="H51" s="22"/>
      <c r="I51" s="22"/>
      <c r="J51" s="22"/>
      <c r="K51" s="22"/>
      <c r="L51" s="22"/>
      <c r="M51" s="22">
        <f t="shared" si="3"/>
        <v>820507</v>
      </c>
      <c r="N51" s="22"/>
      <c r="O51" s="22"/>
      <c r="P51" s="22"/>
      <c r="Q51" s="22"/>
      <c r="R51" s="22"/>
      <c r="S51" s="22"/>
      <c r="T51" s="22">
        <f t="shared" si="1"/>
        <v>820507</v>
      </c>
      <c r="U51" s="35">
        <v>820507</v>
      </c>
      <c r="V51" s="37">
        <f t="shared" si="2"/>
        <v>0</v>
      </c>
    </row>
    <row r="52" spans="1:22" ht="15.75" thickBot="1" x14ac:dyDescent="0.3">
      <c r="A52" s="137"/>
      <c r="B52" s="58" t="s">
        <v>18</v>
      </c>
      <c r="C52" s="53" t="s">
        <v>11</v>
      </c>
      <c r="D52" s="54">
        <v>460000</v>
      </c>
      <c r="E52" s="54"/>
      <c r="F52" s="59"/>
      <c r="G52" s="54"/>
      <c r="H52" s="54"/>
      <c r="I52" s="54"/>
      <c r="J52" s="54"/>
      <c r="K52" s="41"/>
      <c r="L52" s="41"/>
      <c r="M52" s="41">
        <f t="shared" si="3"/>
        <v>460000</v>
      </c>
      <c r="N52" s="41"/>
      <c r="O52" s="41"/>
      <c r="P52" s="41"/>
      <c r="Q52" s="41"/>
      <c r="R52" s="41"/>
      <c r="S52" s="41"/>
      <c r="T52" s="41">
        <f t="shared" si="1"/>
        <v>460000</v>
      </c>
      <c r="U52" s="55">
        <v>278023</v>
      </c>
      <c r="V52" s="43">
        <f t="shared" si="2"/>
        <v>181977</v>
      </c>
    </row>
    <row r="53" spans="1:22" ht="15.75" thickTop="1" x14ac:dyDescent="0.25">
      <c r="A53" s="165" t="s">
        <v>28</v>
      </c>
      <c r="B53" s="162" t="s">
        <v>6</v>
      </c>
      <c r="C53" s="44" t="s">
        <v>7</v>
      </c>
      <c r="D53" s="45">
        <v>1243550</v>
      </c>
      <c r="E53" s="45"/>
      <c r="F53" s="45"/>
      <c r="G53" s="45"/>
      <c r="H53" s="45"/>
      <c r="I53" s="45"/>
      <c r="J53" s="45"/>
      <c r="K53" s="46"/>
      <c r="L53" s="46"/>
      <c r="M53" s="46">
        <f t="shared" si="3"/>
        <v>1243550</v>
      </c>
      <c r="N53" s="46"/>
      <c r="O53" s="46"/>
      <c r="P53" s="46"/>
      <c r="Q53" s="46"/>
      <c r="R53" s="46"/>
      <c r="S53" s="46"/>
      <c r="T53" s="46">
        <f t="shared" si="1"/>
        <v>1243550</v>
      </c>
      <c r="U53" s="47">
        <v>847099</v>
      </c>
      <c r="V53" s="48">
        <f t="shared" si="2"/>
        <v>396451</v>
      </c>
    </row>
    <row r="54" spans="1:22" x14ac:dyDescent="0.25">
      <c r="A54" s="136"/>
      <c r="B54" s="138"/>
      <c r="C54" s="34" t="s">
        <v>8</v>
      </c>
      <c r="D54" s="22">
        <v>267322</v>
      </c>
      <c r="E54" s="22"/>
      <c r="F54" s="22"/>
      <c r="G54" s="22"/>
      <c r="H54" s="22"/>
      <c r="I54" s="22"/>
      <c r="J54" s="22"/>
      <c r="K54" s="22"/>
      <c r="L54" s="22"/>
      <c r="M54" s="22">
        <f t="shared" si="3"/>
        <v>267322</v>
      </c>
      <c r="N54" s="22"/>
      <c r="O54" s="22"/>
      <c r="P54" s="22"/>
      <c r="Q54" s="22"/>
      <c r="R54" s="22"/>
      <c r="S54" s="22"/>
      <c r="T54" s="22">
        <f t="shared" si="1"/>
        <v>267322</v>
      </c>
      <c r="U54" s="35">
        <v>267322</v>
      </c>
      <c r="V54" s="37">
        <f t="shared" si="2"/>
        <v>0</v>
      </c>
    </row>
    <row r="55" spans="1:22" ht="15.75" thickBot="1" x14ac:dyDescent="0.3">
      <c r="A55" s="164"/>
      <c r="B55" s="49" t="s">
        <v>18</v>
      </c>
      <c r="C55" s="40" t="s">
        <v>11</v>
      </c>
      <c r="D55" s="41">
        <v>620000</v>
      </c>
      <c r="E55" s="41"/>
      <c r="F55" s="41"/>
      <c r="G55" s="41"/>
      <c r="H55" s="41"/>
      <c r="I55" s="41"/>
      <c r="J55" s="41"/>
      <c r="K55" s="41"/>
      <c r="L55" s="41"/>
      <c r="M55" s="41">
        <f t="shared" si="3"/>
        <v>620000</v>
      </c>
      <c r="N55" s="41"/>
      <c r="O55" s="41"/>
      <c r="P55" s="41"/>
      <c r="Q55" s="41"/>
      <c r="R55" s="41"/>
      <c r="S55" s="41"/>
      <c r="T55" s="41">
        <f t="shared" si="1"/>
        <v>620000</v>
      </c>
      <c r="U55" s="42">
        <v>432555</v>
      </c>
      <c r="V55" s="133">
        <f t="shared" si="2"/>
        <v>187445</v>
      </c>
    </row>
    <row r="56" spans="1:22" ht="15.75" thickTop="1" x14ac:dyDescent="0.25">
      <c r="A56" s="149" t="s">
        <v>29</v>
      </c>
      <c r="B56" s="151" t="s">
        <v>6</v>
      </c>
      <c r="C56" s="50" t="s">
        <v>7</v>
      </c>
      <c r="D56" s="46">
        <v>0</v>
      </c>
      <c r="E56" s="46"/>
      <c r="F56" s="46"/>
      <c r="G56" s="46"/>
      <c r="H56" s="46"/>
      <c r="I56" s="46"/>
      <c r="J56" s="46"/>
      <c r="K56" s="46"/>
      <c r="L56" s="46"/>
      <c r="M56" s="46">
        <f t="shared" si="3"/>
        <v>0</v>
      </c>
      <c r="N56" s="46"/>
      <c r="O56" s="46"/>
      <c r="P56" s="46"/>
      <c r="Q56" s="46"/>
      <c r="R56" s="46"/>
      <c r="S56" s="46"/>
      <c r="T56" s="46">
        <f t="shared" si="1"/>
        <v>0</v>
      </c>
      <c r="U56" s="51">
        <v>0</v>
      </c>
      <c r="V56" s="48">
        <f t="shared" si="2"/>
        <v>0</v>
      </c>
    </row>
    <row r="57" spans="1:22" x14ac:dyDescent="0.25">
      <c r="A57" s="136"/>
      <c r="B57" s="138"/>
      <c r="C57" s="34" t="s">
        <v>8</v>
      </c>
      <c r="D57" s="22">
        <v>627506</v>
      </c>
      <c r="E57" s="22"/>
      <c r="F57" s="22"/>
      <c r="G57" s="22"/>
      <c r="H57" s="22"/>
      <c r="I57" s="22"/>
      <c r="J57" s="22"/>
      <c r="K57" s="22"/>
      <c r="L57" s="22"/>
      <c r="M57" s="22">
        <f t="shared" si="3"/>
        <v>627506</v>
      </c>
      <c r="N57" s="22"/>
      <c r="O57" s="22"/>
      <c r="P57" s="22"/>
      <c r="Q57" s="22"/>
      <c r="R57" s="22"/>
      <c r="S57" s="22"/>
      <c r="T57" s="22">
        <f t="shared" si="1"/>
        <v>627506</v>
      </c>
      <c r="U57" s="35">
        <v>627506</v>
      </c>
      <c r="V57" s="37">
        <f t="shared" si="2"/>
        <v>0</v>
      </c>
    </row>
    <row r="58" spans="1:22" ht="15.75" thickBot="1" x14ac:dyDescent="0.3">
      <c r="A58" s="137"/>
      <c r="B58" s="52" t="s">
        <v>18</v>
      </c>
      <c r="C58" s="53" t="s">
        <v>11</v>
      </c>
      <c r="D58" s="54">
        <v>650000</v>
      </c>
      <c r="E58" s="54"/>
      <c r="F58" s="54"/>
      <c r="G58" s="54"/>
      <c r="H58" s="54"/>
      <c r="I58" s="54"/>
      <c r="J58" s="54"/>
      <c r="K58" s="41"/>
      <c r="L58" s="41"/>
      <c r="M58" s="41">
        <f t="shared" si="3"/>
        <v>650000</v>
      </c>
      <c r="N58" s="41"/>
      <c r="O58" s="41"/>
      <c r="P58" s="41"/>
      <c r="Q58" s="41"/>
      <c r="R58" s="41"/>
      <c r="S58" s="41"/>
      <c r="T58" s="41">
        <f t="shared" si="1"/>
        <v>650000</v>
      </c>
      <c r="U58" s="55">
        <v>419425</v>
      </c>
      <c r="V58" s="57">
        <f t="shared" si="2"/>
        <v>230575</v>
      </c>
    </row>
    <row r="59" spans="1:22" ht="15.75" thickTop="1" x14ac:dyDescent="0.25">
      <c r="A59" s="165" t="s">
        <v>30</v>
      </c>
      <c r="B59" s="162" t="s">
        <v>24</v>
      </c>
      <c r="C59" s="44" t="s">
        <v>7</v>
      </c>
      <c r="D59" s="45">
        <v>267146</v>
      </c>
      <c r="E59" s="45"/>
      <c r="F59" s="45"/>
      <c r="G59" s="45"/>
      <c r="H59" s="45"/>
      <c r="I59" s="45"/>
      <c r="J59" s="45"/>
      <c r="K59" s="46"/>
      <c r="L59" s="46"/>
      <c r="M59" s="46">
        <f t="shared" si="3"/>
        <v>267146</v>
      </c>
      <c r="N59" s="46"/>
      <c r="O59" s="46"/>
      <c r="P59" s="46"/>
      <c r="Q59" s="46"/>
      <c r="R59" s="46"/>
      <c r="S59" s="46"/>
      <c r="T59" s="46">
        <f t="shared" si="1"/>
        <v>267146</v>
      </c>
      <c r="U59" s="47">
        <v>200358</v>
      </c>
      <c r="V59" s="48">
        <f t="shared" si="2"/>
        <v>66788</v>
      </c>
    </row>
    <row r="60" spans="1:22" x14ac:dyDescent="0.25">
      <c r="A60" s="149"/>
      <c r="B60" s="151"/>
      <c r="C60" s="50" t="s">
        <v>134</v>
      </c>
      <c r="D60" s="46">
        <v>0</v>
      </c>
      <c r="E60" s="46"/>
      <c r="F60" s="46"/>
      <c r="G60" s="46"/>
      <c r="H60" s="46"/>
      <c r="I60" s="46"/>
      <c r="J60" s="46"/>
      <c r="K60" s="46"/>
      <c r="L60" s="46"/>
      <c r="M60" s="22">
        <f t="shared" si="3"/>
        <v>0</v>
      </c>
      <c r="N60" s="46"/>
      <c r="O60" s="46"/>
      <c r="P60" s="46"/>
      <c r="Q60" s="46"/>
      <c r="R60" s="46"/>
      <c r="S60" s="46"/>
      <c r="T60" s="46">
        <f t="shared" si="1"/>
        <v>0</v>
      </c>
      <c r="U60" s="51">
        <v>0</v>
      </c>
      <c r="V60" s="37">
        <f t="shared" si="2"/>
        <v>0</v>
      </c>
    </row>
    <row r="61" spans="1:22" x14ac:dyDescent="0.25">
      <c r="A61" s="136"/>
      <c r="B61" s="138"/>
      <c r="C61" s="34" t="s">
        <v>8</v>
      </c>
      <c r="D61" s="22">
        <v>153112</v>
      </c>
      <c r="E61" s="22"/>
      <c r="F61" s="22"/>
      <c r="G61" s="22"/>
      <c r="H61" s="22"/>
      <c r="I61" s="22"/>
      <c r="J61" s="22"/>
      <c r="K61" s="22"/>
      <c r="L61" s="22"/>
      <c r="M61" s="22">
        <f t="shared" si="3"/>
        <v>153112</v>
      </c>
      <c r="N61" s="22"/>
      <c r="O61" s="22"/>
      <c r="P61" s="22"/>
      <c r="Q61" s="22"/>
      <c r="R61" s="22"/>
      <c r="S61" s="22"/>
      <c r="T61" s="22">
        <f t="shared" si="1"/>
        <v>153112</v>
      </c>
      <c r="U61" s="35">
        <v>153112</v>
      </c>
      <c r="V61" s="37">
        <f t="shared" si="2"/>
        <v>0</v>
      </c>
    </row>
    <row r="62" spans="1:22" x14ac:dyDescent="0.25">
      <c r="A62" s="137"/>
      <c r="B62" s="38" t="s">
        <v>18</v>
      </c>
      <c r="C62" s="34" t="s">
        <v>11</v>
      </c>
      <c r="D62" s="22">
        <v>620000</v>
      </c>
      <c r="E62" s="54"/>
      <c r="F62" s="54"/>
      <c r="G62" s="54"/>
      <c r="H62" s="54"/>
      <c r="I62" s="54"/>
      <c r="J62" s="54"/>
      <c r="K62" s="54"/>
      <c r="L62" s="54"/>
      <c r="M62" s="22">
        <f t="shared" si="3"/>
        <v>620000</v>
      </c>
      <c r="N62" s="54">
        <v>-10000</v>
      </c>
      <c r="O62" s="54"/>
      <c r="P62" s="54"/>
      <c r="Q62" s="54"/>
      <c r="R62" s="54"/>
      <c r="S62" s="54"/>
      <c r="T62" s="54">
        <f t="shared" si="1"/>
        <v>610000</v>
      </c>
      <c r="U62" s="55">
        <v>360840</v>
      </c>
      <c r="V62" s="39">
        <f t="shared" si="2"/>
        <v>249160</v>
      </c>
    </row>
    <row r="63" spans="1:22" x14ac:dyDescent="0.25">
      <c r="A63" s="137"/>
      <c r="B63" s="139" t="s">
        <v>21</v>
      </c>
      <c r="C63" s="60" t="s">
        <v>19</v>
      </c>
      <c r="D63" s="54">
        <v>0</v>
      </c>
      <c r="E63" s="54"/>
      <c r="F63" s="54"/>
      <c r="G63" s="54"/>
      <c r="H63" s="54"/>
      <c r="I63" s="54"/>
      <c r="J63" s="54"/>
      <c r="K63" s="54"/>
      <c r="L63" s="54"/>
      <c r="M63" s="22">
        <f t="shared" si="3"/>
        <v>0</v>
      </c>
      <c r="N63" s="54"/>
      <c r="O63" s="54"/>
      <c r="P63" s="54"/>
      <c r="Q63" s="54"/>
      <c r="R63" s="54"/>
      <c r="S63" s="54"/>
      <c r="T63" s="54">
        <f t="shared" si="1"/>
        <v>0</v>
      </c>
      <c r="U63" s="55">
        <v>0</v>
      </c>
      <c r="V63" s="61">
        <f t="shared" si="2"/>
        <v>0</v>
      </c>
    </row>
    <row r="64" spans="1:22" x14ac:dyDescent="0.25">
      <c r="A64" s="137"/>
      <c r="B64" s="150"/>
      <c r="C64" s="60" t="s">
        <v>14</v>
      </c>
      <c r="D64" s="54">
        <v>0</v>
      </c>
      <c r="E64" s="54"/>
      <c r="F64" s="54"/>
      <c r="G64" s="54"/>
      <c r="H64" s="54"/>
      <c r="I64" s="54"/>
      <c r="J64" s="54"/>
      <c r="K64" s="54"/>
      <c r="L64" s="54"/>
      <c r="M64" s="22">
        <f t="shared" si="3"/>
        <v>0</v>
      </c>
      <c r="N64" s="54"/>
      <c r="O64" s="54"/>
      <c r="P64" s="54"/>
      <c r="Q64" s="54"/>
      <c r="R64" s="54"/>
      <c r="S64" s="54"/>
      <c r="T64" s="54">
        <f t="shared" si="1"/>
        <v>0</v>
      </c>
      <c r="U64" s="55">
        <v>0</v>
      </c>
      <c r="V64" s="62">
        <f t="shared" si="2"/>
        <v>0</v>
      </c>
    </row>
    <row r="65" spans="1:23" ht="15.75" thickBot="1" x14ac:dyDescent="0.3">
      <c r="A65" s="164"/>
      <c r="B65" s="163"/>
      <c r="C65" s="40" t="s">
        <v>11</v>
      </c>
      <c r="D65" s="41">
        <v>25000</v>
      </c>
      <c r="E65" s="41"/>
      <c r="F65" s="41"/>
      <c r="G65" s="41"/>
      <c r="H65" s="41"/>
      <c r="I65" s="41"/>
      <c r="J65" s="41"/>
      <c r="K65" s="41"/>
      <c r="L65" s="41"/>
      <c r="M65" s="41">
        <f t="shared" si="3"/>
        <v>25000</v>
      </c>
      <c r="N65" s="41">
        <v>10000</v>
      </c>
      <c r="O65" s="41"/>
      <c r="P65" s="41"/>
      <c r="Q65" s="41"/>
      <c r="R65" s="41"/>
      <c r="S65" s="41"/>
      <c r="T65" s="41">
        <f t="shared" si="1"/>
        <v>35000</v>
      </c>
      <c r="U65" s="42">
        <v>20635</v>
      </c>
      <c r="V65" s="43">
        <f t="shared" si="2"/>
        <v>14365</v>
      </c>
    </row>
    <row r="66" spans="1:23" ht="15.75" thickTop="1" x14ac:dyDescent="0.25">
      <c r="A66" s="149" t="s">
        <v>31</v>
      </c>
      <c r="B66" s="151" t="s">
        <v>6</v>
      </c>
      <c r="C66" s="50" t="s">
        <v>7</v>
      </c>
      <c r="D66" s="46">
        <v>311164</v>
      </c>
      <c r="E66" s="46"/>
      <c r="F66" s="46"/>
      <c r="G66" s="46"/>
      <c r="H66" s="46"/>
      <c r="I66" s="46"/>
      <c r="J66" s="46"/>
      <c r="K66" s="46"/>
      <c r="L66" s="46"/>
      <c r="M66" s="46">
        <f t="shared" si="3"/>
        <v>311164</v>
      </c>
      <c r="N66" s="46"/>
      <c r="O66" s="46"/>
      <c r="P66" s="46"/>
      <c r="Q66" s="46"/>
      <c r="R66" s="46"/>
      <c r="S66" s="46"/>
      <c r="T66" s="46">
        <f t="shared" si="1"/>
        <v>311164</v>
      </c>
      <c r="U66" s="51">
        <v>198201</v>
      </c>
      <c r="V66" s="48">
        <f t="shared" si="2"/>
        <v>112963</v>
      </c>
    </row>
    <row r="67" spans="1:23" x14ac:dyDescent="0.25">
      <c r="A67" s="149"/>
      <c r="B67" s="151"/>
      <c r="C67" s="50" t="s">
        <v>134</v>
      </c>
      <c r="D67" s="46">
        <v>0</v>
      </c>
      <c r="E67" s="46"/>
      <c r="F67" s="46"/>
      <c r="G67" s="46"/>
      <c r="H67" s="46"/>
      <c r="I67" s="46"/>
      <c r="J67" s="46"/>
      <c r="K67" s="46"/>
      <c r="L67" s="46"/>
      <c r="M67" s="22">
        <f t="shared" si="3"/>
        <v>0</v>
      </c>
      <c r="N67" s="46"/>
      <c r="O67" s="46"/>
      <c r="P67" s="46"/>
      <c r="Q67" s="46"/>
      <c r="R67" s="46"/>
      <c r="S67" s="46"/>
      <c r="T67" s="46">
        <f t="shared" si="1"/>
        <v>0</v>
      </c>
      <c r="U67" s="51">
        <v>0</v>
      </c>
      <c r="V67" s="37">
        <f t="shared" si="2"/>
        <v>0</v>
      </c>
    </row>
    <row r="68" spans="1:23" x14ac:dyDescent="0.25">
      <c r="A68" s="136"/>
      <c r="B68" s="138"/>
      <c r="C68" s="34" t="s">
        <v>8</v>
      </c>
      <c r="D68" s="22">
        <v>72941</v>
      </c>
      <c r="E68" s="22"/>
      <c r="F68" s="22"/>
      <c r="G68" s="22"/>
      <c r="H68" s="22"/>
      <c r="I68" s="22"/>
      <c r="J68" s="22"/>
      <c r="K68" s="22"/>
      <c r="L68" s="22"/>
      <c r="M68" s="22">
        <f t="shared" si="3"/>
        <v>72941</v>
      </c>
      <c r="N68" s="22"/>
      <c r="O68" s="22"/>
      <c r="P68" s="22"/>
      <c r="Q68" s="22"/>
      <c r="R68" s="22"/>
      <c r="S68" s="22"/>
      <c r="T68" s="22">
        <f t="shared" si="1"/>
        <v>72941</v>
      </c>
      <c r="U68" s="35">
        <v>72941</v>
      </c>
      <c r="V68" s="37">
        <f t="shared" si="2"/>
        <v>0</v>
      </c>
    </row>
    <row r="69" spans="1:23" x14ac:dyDescent="0.25">
      <c r="A69" s="136"/>
      <c r="B69" s="56" t="s">
        <v>18</v>
      </c>
      <c r="C69" s="34" t="s">
        <v>11</v>
      </c>
      <c r="D69" s="22">
        <v>730000</v>
      </c>
      <c r="E69" s="22"/>
      <c r="F69" s="22"/>
      <c r="G69" s="22"/>
      <c r="H69" s="22"/>
      <c r="I69" s="22"/>
      <c r="J69" s="22"/>
      <c r="K69" s="22"/>
      <c r="L69" s="22"/>
      <c r="M69" s="22">
        <f t="shared" si="3"/>
        <v>730000</v>
      </c>
      <c r="N69" s="22">
        <v>-5000</v>
      </c>
      <c r="O69" s="22"/>
      <c r="P69" s="22"/>
      <c r="Q69" s="22"/>
      <c r="R69" s="22"/>
      <c r="S69" s="22"/>
      <c r="T69" s="22">
        <f t="shared" si="1"/>
        <v>725000</v>
      </c>
      <c r="U69" s="35">
        <v>440460</v>
      </c>
      <c r="V69" s="39">
        <f t="shared" si="2"/>
        <v>284540</v>
      </c>
    </row>
    <row r="70" spans="1:23" ht="15.75" thickBot="1" x14ac:dyDescent="0.3">
      <c r="A70" s="137"/>
      <c r="B70" s="58" t="s">
        <v>21</v>
      </c>
      <c r="C70" s="53" t="s">
        <v>11</v>
      </c>
      <c r="D70" s="54">
        <v>140000</v>
      </c>
      <c r="E70" s="54"/>
      <c r="F70" s="54"/>
      <c r="G70" s="54"/>
      <c r="H70" s="54"/>
      <c r="I70" s="54"/>
      <c r="J70" s="54"/>
      <c r="K70" s="41"/>
      <c r="L70" s="41"/>
      <c r="M70" s="41">
        <f t="shared" si="3"/>
        <v>140000</v>
      </c>
      <c r="N70" s="41">
        <v>5000</v>
      </c>
      <c r="O70" s="41"/>
      <c r="P70" s="41"/>
      <c r="Q70" s="41"/>
      <c r="R70" s="41"/>
      <c r="S70" s="41"/>
      <c r="T70" s="41">
        <f t="shared" si="1"/>
        <v>145000</v>
      </c>
      <c r="U70" s="55">
        <v>95565</v>
      </c>
      <c r="V70" s="43">
        <f t="shared" si="2"/>
        <v>49435</v>
      </c>
    </row>
    <row r="71" spans="1:23" ht="15.75" thickTop="1" x14ac:dyDescent="0.25">
      <c r="A71" s="165" t="s">
        <v>32</v>
      </c>
      <c r="B71" s="162" t="s">
        <v>6</v>
      </c>
      <c r="C71" s="44" t="s">
        <v>7</v>
      </c>
      <c r="D71" s="45">
        <v>1054183</v>
      </c>
      <c r="E71" s="45"/>
      <c r="F71" s="45"/>
      <c r="G71" s="45"/>
      <c r="H71" s="45"/>
      <c r="I71" s="45"/>
      <c r="J71" s="45"/>
      <c r="K71" s="46"/>
      <c r="L71" s="46"/>
      <c r="M71" s="46">
        <f t="shared" ref="M71:M105" si="4">D71+E71+F71+G71+H71+J71+I71+K71+L71</f>
        <v>1054183</v>
      </c>
      <c r="N71" s="46"/>
      <c r="O71" s="46"/>
      <c r="P71" s="46"/>
      <c r="Q71" s="46"/>
      <c r="R71" s="46"/>
      <c r="S71" s="46"/>
      <c r="T71" s="46">
        <f t="shared" si="1"/>
        <v>1054183</v>
      </c>
      <c r="U71" s="47">
        <v>721487</v>
      </c>
      <c r="V71" s="48">
        <f t="shared" si="2"/>
        <v>332696</v>
      </c>
    </row>
    <row r="72" spans="1:23" x14ac:dyDescent="0.25">
      <c r="A72" s="136"/>
      <c r="B72" s="138"/>
      <c r="C72" s="34" t="s">
        <v>8</v>
      </c>
      <c r="D72" s="22">
        <v>0</v>
      </c>
      <c r="E72" s="22"/>
      <c r="F72" s="22"/>
      <c r="G72" s="22"/>
      <c r="H72" s="22"/>
      <c r="I72" s="22"/>
      <c r="J72" s="22"/>
      <c r="K72" s="22"/>
      <c r="L72" s="22"/>
      <c r="M72" s="22">
        <f t="shared" si="4"/>
        <v>0</v>
      </c>
      <c r="N72" s="22"/>
      <c r="O72" s="22"/>
      <c r="P72" s="22"/>
      <c r="Q72" s="22"/>
      <c r="R72" s="22"/>
      <c r="S72" s="22"/>
      <c r="T72" s="22">
        <f t="shared" ref="T72:T135" si="5">SUM(M72:S72)</f>
        <v>0</v>
      </c>
      <c r="U72" s="35">
        <v>0</v>
      </c>
      <c r="V72" s="37">
        <f t="shared" ref="V72:V135" si="6">T72-U72</f>
        <v>0</v>
      </c>
    </row>
    <row r="73" spans="1:23" ht="15.75" thickBot="1" x14ac:dyDescent="0.3">
      <c r="A73" s="164"/>
      <c r="B73" s="49" t="s">
        <v>18</v>
      </c>
      <c r="C73" s="40" t="s">
        <v>11</v>
      </c>
      <c r="D73" s="41">
        <v>1000000</v>
      </c>
      <c r="E73" s="41"/>
      <c r="F73" s="41"/>
      <c r="G73" s="41"/>
      <c r="H73" s="41"/>
      <c r="I73" s="41"/>
      <c r="J73" s="41"/>
      <c r="K73" s="41"/>
      <c r="L73" s="41"/>
      <c r="M73" s="41">
        <f t="shared" si="4"/>
        <v>1000000</v>
      </c>
      <c r="N73" s="41"/>
      <c r="O73" s="41"/>
      <c r="P73" s="41"/>
      <c r="Q73" s="41"/>
      <c r="R73" s="41"/>
      <c r="S73" s="41"/>
      <c r="T73" s="41">
        <f t="shared" si="5"/>
        <v>1000000</v>
      </c>
      <c r="U73" s="42">
        <v>745505</v>
      </c>
      <c r="V73" s="133">
        <f t="shared" si="6"/>
        <v>254495</v>
      </c>
    </row>
    <row r="74" spans="1:23" ht="15.75" thickTop="1" x14ac:dyDescent="0.25">
      <c r="A74" s="152" t="s">
        <v>33</v>
      </c>
      <c r="B74" s="162" t="s">
        <v>6</v>
      </c>
      <c r="C74" s="44" t="s">
        <v>7</v>
      </c>
      <c r="D74" s="45">
        <v>0</v>
      </c>
      <c r="E74" s="45"/>
      <c r="F74" s="45"/>
      <c r="G74" s="45"/>
      <c r="H74" s="45"/>
      <c r="I74" s="45"/>
      <c r="J74" s="45"/>
      <c r="K74" s="45"/>
      <c r="L74" s="45"/>
      <c r="M74" s="45">
        <f t="shared" si="4"/>
        <v>0</v>
      </c>
      <c r="N74" s="45"/>
      <c r="O74" s="45"/>
      <c r="P74" s="45"/>
      <c r="Q74" s="45"/>
      <c r="R74" s="45"/>
      <c r="S74" s="45"/>
      <c r="T74" s="45">
        <f t="shared" si="5"/>
        <v>0</v>
      </c>
      <c r="U74" s="47">
        <v>0</v>
      </c>
      <c r="V74" s="63">
        <f t="shared" si="6"/>
        <v>0</v>
      </c>
    </row>
    <row r="75" spans="1:23" x14ac:dyDescent="0.25">
      <c r="A75" s="148"/>
      <c r="B75" s="138"/>
      <c r="C75" s="34" t="s">
        <v>8</v>
      </c>
      <c r="D75" s="22">
        <v>576975</v>
      </c>
      <c r="E75" s="22"/>
      <c r="F75" s="22"/>
      <c r="G75" s="22"/>
      <c r="H75" s="22"/>
      <c r="I75" s="22"/>
      <c r="J75" s="22"/>
      <c r="K75" s="22"/>
      <c r="L75" s="22"/>
      <c r="M75" s="22">
        <f t="shared" si="4"/>
        <v>576975</v>
      </c>
      <c r="N75" s="22"/>
      <c r="O75" s="22"/>
      <c r="P75" s="22"/>
      <c r="Q75" s="22"/>
      <c r="R75" s="22"/>
      <c r="S75" s="22"/>
      <c r="T75" s="22">
        <f t="shared" si="5"/>
        <v>576975</v>
      </c>
      <c r="U75" s="35">
        <v>576975</v>
      </c>
      <c r="V75" s="37">
        <f t="shared" si="6"/>
        <v>0</v>
      </c>
    </row>
    <row r="76" spans="1:23" s="17" customFormat="1" x14ac:dyDescent="0.25">
      <c r="A76" s="148"/>
      <c r="B76" s="64" t="s">
        <v>18</v>
      </c>
      <c r="C76" s="65" t="s">
        <v>11</v>
      </c>
      <c r="D76" s="23">
        <v>680000</v>
      </c>
      <c r="E76" s="24"/>
      <c r="F76" s="23"/>
      <c r="G76" s="23"/>
      <c r="H76" s="23"/>
      <c r="I76" s="23"/>
      <c r="J76" s="23"/>
      <c r="K76" s="23"/>
      <c r="L76" s="23"/>
      <c r="M76" s="22">
        <f t="shared" si="4"/>
        <v>680000</v>
      </c>
      <c r="N76" s="22"/>
      <c r="O76" s="22"/>
      <c r="P76" s="22"/>
      <c r="Q76" s="22"/>
      <c r="R76" s="22"/>
      <c r="S76" s="22"/>
      <c r="T76" s="22">
        <f t="shared" si="5"/>
        <v>680000</v>
      </c>
      <c r="U76" s="35">
        <v>449413</v>
      </c>
      <c r="V76" s="66">
        <f t="shared" si="6"/>
        <v>230587</v>
      </c>
      <c r="W76" s="6"/>
    </row>
    <row r="77" spans="1:23" s="17" customFormat="1" x14ac:dyDescent="0.25">
      <c r="A77" s="148"/>
      <c r="B77" s="167" t="s">
        <v>21</v>
      </c>
      <c r="C77" s="65" t="s">
        <v>11</v>
      </c>
      <c r="D77" s="23">
        <v>20000</v>
      </c>
      <c r="E77" s="24"/>
      <c r="F77" s="23"/>
      <c r="G77" s="23"/>
      <c r="H77" s="23"/>
      <c r="I77" s="23"/>
      <c r="J77" s="23"/>
      <c r="K77" s="23"/>
      <c r="L77" s="23"/>
      <c r="M77" s="22">
        <f t="shared" si="4"/>
        <v>20000</v>
      </c>
      <c r="N77" s="22"/>
      <c r="O77" s="22"/>
      <c r="P77" s="22"/>
      <c r="Q77" s="22"/>
      <c r="R77" s="22"/>
      <c r="S77" s="22"/>
      <c r="T77" s="22">
        <f t="shared" si="5"/>
        <v>20000</v>
      </c>
      <c r="U77" s="35">
        <v>0</v>
      </c>
      <c r="V77" s="66">
        <f t="shared" si="6"/>
        <v>20000</v>
      </c>
      <c r="W77" s="6"/>
    </row>
    <row r="78" spans="1:23" s="17" customFormat="1" ht="15.75" thickBot="1" x14ac:dyDescent="0.3">
      <c r="A78" s="166"/>
      <c r="B78" s="168"/>
      <c r="C78" s="67" t="s">
        <v>14</v>
      </c>
      <c r="D78" s="68">
        <v>1350</v>
      </c>
      <c r="E78" s="69"/>
      <c r="F78" s="68"/>
      <c r="G78" s="68"/>
      <c r="H78" s="68"/>
      <c r="I78" s="68"/>
      <c r="J78" s="68"/>
      <c r="K78" s="68"/>
      <c r="L78" s="68"/>
      <c r="M78" s="70">
        <f t="shared" si="4"/>
        <v>1350</v>
      </c>
      <c r="N78" s="70"/>
      <c r="O78" s="70"/>
      <c r="P78" s="70"/>
      <c r="Q78" s="70"/>
      <c r="R78" s="70"/>
      <c r="S78" s="70"/>
      <c r="T78" s="70">
        <f t="shared" si="5"/>
        <v>1350</v>
      </c>
      <c r="U78" s="71">
        <v>0</v>
      </c>
      <c r="V78" s="72">
        <f t="shared" si="6"/>
        <v>1350</v>
      </c>
      <c r="W78" s="6"/>
    </row>
    <row r="79" spans="1:23" x14ac:dyDescent="0.25">
      <c r="A79" s="149" t="s">
        <v>34</v>
      </c>
      <c r="B79" s="151" t="s">
        <v>6</v>
      </c>
      <c r="C79" s="50" t="s">
        <v>7</v>
      </c>
      <c r="D79" s="46">
        <v>1054183</v>
      </c>
      <c r="E79" s="46"/>
      <c r="F79" s="46"/>
      <c r="G79" s="46"/>
      <c r="H79" s="46"/>
      <c r="I79" s="46"/>
      <c r="J79" s="46"/>
      <c r="K79" s="46"/>
      <c r="L79" s="46"/>
      <c r="M79" s="46">
        <f t="shared" si="4"/>
        <v>1054183</v>
      </c>
      <c r="N79" s="46"/>
      <c r="O79" s="46"/>
      <c r="P79" s="46"/>
      <c r="Q79" s="46"/>
      <c r="R79" s="46"/>
      <c r="S79" s="46"/>
      <c r="T79" s="46">
        <f t="shared" si="5"/>
        <v>1054183</v>
      </c>
      <c r="U79" s="51">
        <v>721486</v>
      </c>
      <c r="V79" s="48">
        <f t="shared" si="6"/>
        <v>332697</v>
      </c>
    </row>
    <row r="80" spans="1:23" x14ac:dyDescent="0.25">
      <c r="A80" s="136"/>
      <c r="B80" s="138"/>
      <c r="C80" s="34" t="s">
        <v>8</v>
      </c>
      <c r="D80" s="22">
        <v>173690</v>
      </c>
      <c r="E80" s="22"/>
      <c r="F80" s="22"/>
      <c r="G80" s="22"/>
      <c r="H80" s="22"/>
      <c r="I80" s="22"/>
      <c r="J80" s="22"/>
      <c r="K80" s="22"/>
      <c r="L80" s="22"/>
      <c r="M80" s="22">
        <f t="shared" si="4"/>
        <v>173690</v>
      </c>
      <c r="N80" s="22"/>
      <c r="O80" s="22"/>
      <c r="P80" s="22"/>
      <c r="Q80" s="22"/>
      <c r="R80" s="22"/>
      <c r="S80" s="22"/>
      <c r="T80" s="22">
        <f t="shared" si="5"/>
        <v>173690</v>
      </c>
      <c r="U80" s="35">
        <v>173690</v>
      </c>
      <c r="V80" s="37">
        <f t="shared" si="6"/>
        <v>0</v>
      </c>
    </row>
    <row r="81" spans="1:22" x14ac:dyDescent="0.25">
      <c r="A81" s="136"/>
      <c r="B81" s="38" t="s">
        <v>18</v>
      </c>
      <c r="C81" s="34" t="s">
        <v>11</v>
      </c>
      <c r="D81" s="22">
        <v>760000</v>
      </c>
      <c r="E81" s="22"/>
      <c r="F81" s="22"/>
      <c r="G81" s="22"/>
      <c r="H81" s="22"/>
      <c r="I81" s="22"/>
      <c r="J81" s="22"/>
      <c r="K81" s="22"/>
      <c r="L81" s="22"/>
      <c r="M81" s="22">
        <f t="shared" si="4"/>
        <v>760000</v>
      </c>
      <c r="N81" s="22">
        <f>-8250-20000-10000</f>
        <v>-38250</v>
      </c>
      <c r="O81" s="22"/>
      <c r="P81" s="22"/>
      <c r="Q81" s="22"/>
      <c r="R81" s="22"/>
      <c r="S81" s="22"/>
      <c r="T81" s="22">
        <f t="shared" si="5"/>
        <v>721750</v>
      </c>
      <c r="U81" s="35">
        <v>569452</v>
      </c>
      <c r="V81" s="132">
        <f t="shared" si="6"/>
        <v>152298</v>
      </c>
    </row>
    <row r="82" spans="1:22" x14ac:dyDescent="0.25">
      <c r="A82" s="137"/>
      <c r="B82" s="139" t="s">
        <v>21</v>
      </c>
      <c r="C82" s="53" t="s">
        <v>19</v>
      </c>
      <c r="D82" s="54">
        <v>0</v>
      </c>
      <c r="E82" s="54"/>
      <c r="F82" s="54"/>
      <c r="G82" s="54"/>
      <c r="H82" s="54"/>
      <c r="I82" s="54"/>
      <c r="J82" s="54"/>
      <c r="K82" s="54"/>
      <c r="L82" s="54"/>
      <c r="M82" s="22">
        <f t="shared" si="4"/>
        <v>0</v>
      </c>
      <c r="N82" s="54">
        <v>4000</v>
      </c>
      <c r="O82" s="54"/>
      <c r="P82" s="54"/>
      <c r="Q82" s="54"/>
      <c r="R82" s="54"/>
      <c r="S82" s="54"/>
      <c r="T82" s="54">
        <f t="shared" si="5"/>
        <v>4000</v>
      </c>
      <c r="U82" s="55">
        <v>4000</v>
      </c>
      <c r="V82" s="37">
        <f t="shared" si="6"/>
        <v>0</v>
      </c>
    </row>
    <row r="83" spans="1:22" x14ac:dyDescent="0.25">
      <c r="A83" s="137"/>
      <c r="B83" s="150"/>
      <c r="C83" s="53" t="s">
        <v>11</v>
      </c>
      <c r="D83" s="54">
        <v>40000</v>
      </c>
      <c r="E83" s="54"/>
      <c r="F83" s="54"/>
      <c r="G83" s="54"/>
      <c r="H83" s="54"/>
      <c r="I83" s="54"/>
      <c r="J83" s="54"/>
      <c r="K83" s="54"/>
      <c r="L83" s="54"/>
      <c r="M83" s="22">
        <f t="shared" si="4"/>
        <v>40000</v>
      </c>
      <c r="N83" s="54">
        <f>3170+20000+10000</f>
        <v>33170</v>
      </c>
      <c r="O83" s="54"/>
      <c r="P83" s="54"/>
      <c r="Q83" s="54"/>
      <c r="R83" s="54"/>
      <c r="S83" s="54"/>
      <c r="T83" s="54">
        <f t="shared" si="5"/>
        <v>73170</v>
      </c>
      <c r="U83" s="55">
        <v>51405</v>
      </c>
      <c r="V83" s="132">
        <f t="shared" si="6"/>
        <v>21765</v>
      </c>
    </row>
    <row r="84" spans="1:22" ht="15.75" thickBot="1" x14ac:dyDescent="0.3">
      <c r="A84" s="137"/>
      <c r="B84" s="163"/>
      <c r="C84" s="53" t="s">
        <v>14</v>
      </c>
      <c r="D84" s="54">
        <v>0</v>
      </c>
      <c r="E84" s="54"/>
      <c r="F84" s="54"/>
      <c r="G84" s="54"/>
      <c r="H84" s="54"/>
      <c r="I84" s="54"/>
      <c r="J84" s="54"/>
      <c r="K84" s="41"/>
      <c r="L84" s="41"/>
      <c r="M84" s="41">
        <f t="shared" si="4"/>
        <v>0</v>
      </c>
      <c r="N84" s="41">
        <v>1080</v>
      </c>
      <c r="O84" s="41"/>
      <c r="P84" s="41"/>
      <c r="Q84" s="41"/>
      <c r="R84" s="41"/>
      <c r="S84" s="41"/>
      <c r="T84" s="41">
        <f t="shared" si="5"/>
        <v>1080</v>
      </c>
      <c r="U84" s="55">
        <v>1080</v>
      </c>
      <c r="V84" s="57">
        <f t="shared" si="6"/>
        <v>0</v>
      </c>
    </row>
    <row r="85" spans="1:22" ht="15.75" thickTop="1" x14ac:dyDescent="0.25">
      <c r="A85" s="159" t="s">
        <v>35</v>
      </c>
      <c r="B85" s="162" t="s">
        <v>6</v>
      </c>
      <c r="C85" s="44" t="s">
        <v>7</v>
      </c>
      <c r="D85" s="45">
        <v>0</v>
      </c>
      <c r="E85" s="45"/>
      <c r="F85" s="45"/>
      <c r="G85" s="45"/>
      <c r="H85" s="45"/>
      <c r="I85" s="45"/>
      <c r="J85" s="45"/>
      <c r="K85" s="46"/>
      <c r="L85" s="46"/>
      <c r="M85" s="46">
        <f t="shared" si="4"/>
        <v>0</v>
      </c>
      <c r="N85" s="46"/>
      <c r="O85" s="46"/>
      <c r="P85" s="46"/>
      <c r="Q85" s="46"/>
      <c r="R85" s="46"/>
      <c r="S85" s="46"/>
      <c r="T85" s="46">
        <f t="shared" si="5"/>
        <v>0</v>
      </c>
      <c r="U85" s="47">
        <v>0</v>
      </c>
      <c r="V85" s="48">
        <f t="shared" si="6"/>
        <v>0</v>
      </c>
    </row>
    <row r="86" spans="1:22" x14ac:dyDescent="0.25">
      <c r="A86" s="160"/>
      <c r="B86" s="138"/>
      <c r="C86" s="34" t="s">
        <v>8</v>
      </c>
      <c r="D86" s="22">
        <v>519969</v>
      </c>
      <c r="E86" s="22"/>
      <c r="F86" s="22"/>
      <c r="G86" s="22"/>
      <c r="H86" s="22"/>
      <c r="I86" s="22"/>
      <c r="J86" s="22"/>
      <c r="K86" s="22"/>
      <c r="L86" s="22"/>
      <c r="M86" s="22">
        <f t="shared" si="4"/>
        <v>519969</v>
      </c>
      <c r="N86" s="22"/>
      <c r="O86" s="22"/>
      <c r="P86" s="22"/>
      <c r="Q86" s="22"/>
      <c r="R86" s="22"/>
      <c r="S86" s="22"/>
      <c r="T86" s="22">
        <f t="shared" si="5"/>
        <v>519969</v>
      </c>
      <c r="U86" s="35">
        <v>519969</v>
      </c>
      <c r="V86" s="37">
        <f t="shared" si="6"/>
        <v>0</v>
      </c>
    </row>
    <row r="87" spans="1:22" ht="15.75" thickBot="1" x14ac:dyDescent="0.3">
      <c r="A87" s="161"/>
      <c r="B87" s="73" t="s">
        <v>18</v>
      </c>
      <c r="C87" s="40" t="s">
        <v>11</v>
      </c>
      <c r="D87" s="41">
        <v>0</v>
      </c>
      <c r="E87" s="41"/>
      <c r="F87" s="41"/>
      <c r="G87" s="41"/>
      <c r="H87" s="41"/>
      <c r="I87" s="41"/>
      <c r="J87" s="41"/>
      <c r="K87" s="41"/>
      <c r="L87" s="41"/>
      <c r="M87" s="41">
        <f t="shared" si="4"/>
        <v>0</v>
      </c>
      <c r="N87" s="41"/>
      <c r="O87" s="41"/>
      <c r="P87" s="41"/>
      <c r="Q87" s="41"/>
      <c r="R87" s="41"/>
      <c r="S87" s="41"/>
      <c r="T87" s="41">
        <f t="shared" si="5"/>
        <v>0</v>
      </c>
      <c r="U87" s="42">
        <v>0</v>
      </c>
      <c r="V87" s="57">
        <f t="shared" si="6"/>
        <v>0</v>
      </c>
    </row>
    <row r="88" spans="1:22" ht="15.75" thickTop="1" x14ac:dyDescent="0.25">
      <c r="A88" s="152" t="s">
        <v>36</v>
      </c>
      <c r="B88" s="151" t="s">
        <v>6</v>
      </c>
      <c r="C88" s="50" t="s">
        <v>7</v>
      </c>
      <c r="D88" s="46">
        <v>1054183</v>
      </c>
      <c r="E88" s="46"/>
      <c r="F88" s="46"/>
      <c r="G88" s="46"/>
      <c r="H88" s="46"/>
      <c r="I88" s="46"/>
      <c r="J88" s="74"/>
      <c r="K88" s="74"/>
      <c r="L88" s="74"/>
      <c r="M88" s="46">
        <f t="shared" si="4"/>
        <v>1054183</v>
      </c>
      <c r="N88" s="46"/>
      <c r="O88" s="46"/>
      <c r="P88" s="46"/>
      <c r="Q88" s="46"/>
      <c r="R88" s="46"/>
      <c r="S88" s="46"/>
      <c r="T88" s="46">
        <f t="shared" si="5"/>
        <v>1054183</v>
      </c>
      <c r="U88" s="51">
        <v>721487</v>
      </c>
      <c r="V88" s="48">
        <f t="shared" si="6"/>
        <v>332696</v>
      </c>
    </row>
    <row r="89" spans="1:22" x14ac:dyDescent="0.25">
      <c r="A89" s="148"/>
      <c r="B89" s="151"/>
      <c r="C89" s="50" t="s">
        <v>134</v>
      </c>
      <c r="D89" s="46">
        <v>0</v>
      </c>
      <c r="E89" s="46"/>
      <c r="F89" s="46"/>
      <c r="G89" s="46"/>
      <c r="H89" s="46"/>
      <c r="I89" s="46"/>
      <c r="J89" s="46"/>
      <c r="K89" s="46"/>
      <c r="L89" s="46"/>
      <c r="M89" s="22">
        <f t="shared" si="4"/>
        <v>0</v>
      </c>
      <c r="N89" s="46"/>
      <c r="O89" s="46"/>
      <c r="P89" s="46"/>
      <c r="Q89" s="46"/>
      <c r="R89" s="46"/>
      <c r="S89" s="46"/>
      <c r="T89" s="46">
        <f t="shared" si="5"/>
        <v>0</v>
      </c>
      <c r="U89" s="51">
        <v>0</v>
      </c>
      <c r="V89" s="37">
        <f t="shared" si="6"/>
        <v>0</v>
      </c>
    </row>
    <row r="90" spans="1:22" x14ac:dyDescent="0.25">
      <c r="A90" s="148"/>
      <c r="B90" s="138"/>
      <c r="C90" s="34" t="s">
        <v>8</v>
      </c>
      <c r="D90" s="22">
        <v>458371</v>
      </c>
      <c r="E90" s="22"/>
      <c r="F90" s="22"/>
      <c r="G90" s="22"/>
      <c r="H90" s="22"/>
      <c r="I90" s="22"/>
      <c r="J90" s="22"/>
      <c r="K90" s="22"/>
      <c r="L90" s="22"/>
      <c r="M90" s="22">
        <f t="shared" si="4"/>
        <v>458371</v>
      </c>
      <c r="N90" s="22"/>
      <c r="O90" s="22"/>
      <c r="P90" s="22"/>
      <c r="Q90" s="22"/>
      <c r="R90" s="22"/>
      <c r="S90" s="22"/>
      <c r="T90" s="22">
        <f t="shared" si="5"/>
        <v>458371</v>
      </c>
      <c r="U90" s="35">
        <v>458371</v>
      </c>
      <c r="V90" s="37">
        <f t="shared" si="6"/>
        <v>0</v>
      </c>
    </row>
    <row r="91" spans="1:22" x14ac:dyDescent="0.25">
      <c r="A91" s="148"/>
      <c r="B91" s="139" t="s">
        <v>18</v>
      </c>
      <c r="C91" s="34" t="s">
        <v>11</v>
      </c>
      <c r="D91" s="22">
        <v>1000000</v>
      </c>
      <c r="E91" s="22">
        <v>-2788</v>
      </c>
      <c r="F91" s="22"/>
      <c r="G91" s="22"/>
      <c r="H91" s="22"/>
      <c r="I91" s="22"/>
      <c r="J91" s="22"/>
      <c r="K91" s="22"/>
      <c r="L91" s="22"/>
      <c r="M91" s="22">
        <f t="shared" si="4"/>
        <v>997212</v>
      </c>
      <c r="N91" s="22"/>
      <c r="O91" s="22"/>
      <c r="P91" s="22"/>
      <c r="Q91" s="22"/>
      <c r="R91" s="22"/>
      <c r="S91" s="22"/>
      <c r="T91" s="22">
        <f t="shared" si="5"/>
        <v>997212</v>
      </c>
      <c r="U91" s="35">
        <v>617180</v>
      </c>
      <c r="V91" s="39">
        <f t="shared" si="6"/>
        <v>380032</v>
      </c>
    </row>
    <row r="92" spans="1:22" x14ac:dyDescent="0.25">
      <c r="A92" s="148"/>
      <c r="B92" s="150"/>
      <c r="C92" s="60" t="s">
        <v>14</v>
      </c>
      <c r="D92" s="54">
        <v>0</v>
      </c>
      <c r="E92" s="54">
        <v>139</v>
      </c>
      <c r="F92" s="54"/>
      <c r="G92" s="54"/>
      <c r="H92" s="54"/>
      <c r="I92" s="54"/>
      <c r="J92" s="54"/>
      <c r="K92" s="54"/>
      <c r="L92" s="54"/>
      <c r="M92" s="22">
        <f t="shared" si="4"/>
        <v>139</v>
      </c>
      <c r="N92" s="54"/>
      <c r="O92" s="54"/>
      <c r="P92" s="54"/>
      <c r="Q92" s="54"/>
      <c r="R92" s="54"/>
      <c r="S92" s="54"/>
      <c r="T92" s="54">
        <f t="shared" si="5"/>
        <v>139</v>
      </c>
      <c r="U92" s="55">
        <v>139</v>
      </c>
      <c r="V92" s="39">
        <f t="shared" si="6"/>
        <v>0</v>
      </c>
    </row>
    <row r="93" spans="1:22" x14ac:dyDescent="0.25">
      <c r="A93" s="148"/>
      <c r="B93" s="151"/>
      <c r="C93" s="60" t="s">
        <v>15</v>
      </c>
      <c r="D93" s="54">
        <v>0</v>
      </c>
      <c r="E93" s="54">
        <v>2788</v>
      </c>
      <c r="F93" s="54"/>
      <c r="G93" s="54"/>
      <c r="H93" s="54"/>
      <c r="I93" s="54"/>
      <c r="J93" s="54"/>
      <c r="K93" s="54"/>
      <c r="L93" s="54"/>
      <c r="M93" s="22">
        <f t="shared" si="4"/>
        <v>2788</v>
      </c>
      <c r="N93" s="54"/>
      <c r="O93" s="54"/>
      <c r="P93" s="54"/>
      <c r="Q93" s="54"/>
      <c r="R93" s="54"/>
      <c r="S93" s="54"/>
      <c r="T93" s="54">
        <f t="shared" si="5"/>
        <v>2788</v>
      </c>
      <c r="U93" s="55">
        <v>2788</v>
      </c>
      <c r="V93" s="39">
        <f t="shared" si="6"/>
        <v>0</v>
      </c>
    </row>
    <row r="94" spans="1:22" x14ac:dyDescent="0.25">
      <c r="A94" s="148"/>
      <c r="B94" s="139" t="s">
        <v>21</v>
      </c>
      <c r="C94" s="53" t="s">
        <v>19</v>
      </c>
      <c r="D94" s="54">
        <v>5000</v>
      </c>
      <c r="E94" s="54"/>
      <c r="F94" s="54"/>
      <c r="G94" s="54"/>
      <c r="H94" s="54"/>
      <c r="I94" s="54"/>
      <c r="J94" s="54"/>
      <c r="K94" s="54"/>
      <c r="L94" s="54"/>
      <c r="M94" s="22">
        <f t="shared" si="4"/>
        <v>5000</v>
      </c>
      <c r="N94" s="54"/>
      <c r="O94" s="54"/>
      <c r="P94" s="54"/>
      <c r="Q94" s="54"/>
      <c r="R94" s="54"/>
      <c r="S94" s="54"/>
      <c r="T94" s="54">
        <f t="shared" si="5"/>
        <v>5000</v>
      </c>
      <c r="U94" s="55">
        <v>4000</v>
      </c>
      <c r="V94" s="37">
        <f t="shared" si="6"/>
        <v>1000</v>
      </c>
    </row>
    <row r="95" spans="1:22" x14ac:dyDescent="0.25">
      <c r="A95" s="148"/>
      <c r="B95" s="150"/>
      <c r="C95" s="53" t="s">
        <v>11</v>
      </c>
      <c r="D95" s="54">
        <v>40000</v>
      </c>
      <c r="E95" s="54"/>
      <c r="F95" s="54"/>
      <c r="G95" s="54"/>
      <c r="H95" s="54"/>
      <c r="I95" s="54"/>
      <c r="J95" s="54"/>
      <c r="K95" s="54"/>
      <c r="L95" s="54"/>
      <c r="M95" s="22">
        <f t="shared" si="4"/>
        <v>40000</v>
      </c>
      <c r="N95" s="54"/>
      <c r="O95" s="54"/>
      <c r="P95" s="54"/>
      <c r="Q95" s="54"/>
      <c r="R95" s="54"/>
      <c r="S95" s="54"/>
      <c r="T95" s="54">
        <f t="shared" si="5"/>
        <v>40000</v>
      </c>
      <c r="U95" s="55">
        <v>20960</v>
      </c>
      <c r="V95" s="66">
        <f t="shared" si="6"/>
        <v>19040</v>
      </c>
    </row>
    <row r="96" spans="1:22" ht="15.75" thickBot="1" x14ac:dyDescent="0.3">
      <c r="A96" s="153"/>
      <c r="B96" s="163"/>
      <c r="C96" s="40" t="s">
        <v>14</v>
      </c>
      <c r="D96" s="41">
        <v>1350</v>
      </c>
      <c r="E96" s="41">
        <v>-139</v>
      </c>
      <c r="F96" s="41"/>
      <c r="G96" s="41"/>
      <c r="H96" s="41"/>
      <c r="I96" s="41"/>
      <c r="J96" s="41"/>
      <c r="K96" s="41"/>
      <c r="L96" s="41"/>
      <c r="M96" s="41">
        <f t="shared" si="4"/>
        <v>1211</v>
      </c>
      <c r="N96" s="41"/>
      <c r="O96" s="41"/>
      <c r="P96" s="41"/>
      <c r="Q96" s="41"/>
      <c r="R96" s="41"/>
      <c r="S96" s="41"/>
      <c r="T96" s="41">
        <f t="shared" si="5"/>
        <v>1211</v>
      </c>
      <c r="U96" s="42">
        <v>1080</v>
      </c>
      <c r="V96" s="57">
        <f t="shared" si="6"/>
        <v>131</v>
      </c>
    </row>
    <row r="97" spans="1:22" ht="15.75" thickTop="1" x14ac:dyDescent="0.25">
      <c r="A97" s="149" t="s">
        <v>37</v>
      </c>
      <c r="B97" s="151" t="s">
        <v>6</v>
      </c>
      <c r="C97" s="50" t="s">
        <v>7</v>
      </c>
      <c r="D97" s="46">
        <v>1863840</v>
      </c>
      <c r="E97" s="46"/>
      <c r="F97" s="46"/>
      <c r="G97" s="46"/>
      <c r="H97" s="46"/>
      <c r="I97" s="46"/>
      <c r="J97" s="46"/>
      <c r="K97" s="46"/>
      <c r="L97" s="46"/>
      <c r="M97" s="46">
        <f t="shared" si="4"/>
        <v>1863840</v>
      </c>
      <c r="N97" s="46"/>
      <c r="O97" s="46"/>
      <c r="P97" s="46"/>
      <c r="Q97" s="46"/>
      <c r="R97" s="46"/>
      <c r="S97" s="46"/>
      <c r="T97" s="46">
        <f t="shared" si="5"/>
        <v>1863840</v>
      </c>
      <c r="U97" s="51">
        <v>1242560</v>
      </c>
      <c r="V97" s="48">
        <f t="shared" si="6"/>
        <v>621280</v>
      </c>
    </row>
    <row r="98" spans="1:22" x14ac:dyDescent="0.25">
      <c r="A98" s="136"/>
      <c r="B98" s="138"/>
      <c r="C98" s="34" t="s">
        <v>8</v>
      </c>
      <c r="D98" s="22">
        <v>42709</v>
      </c>
      <c r="E98" s="22"/>
      <c r="F98" s="22"/>
      <c r="G98" s="22"/>
      <c r="H98" s="22"/>
      <c r="I98" s="22"/>
      <c r="J98" s="22"/>
      <c r="K98" s="22"/>
      <c r="L98" s="22"/>
      <c r="M98" s="22">
        <f t="shared" si="4"/>
        <v>42709</v>
      </c>
      <c r="N98" s="22"/>
      <c r="O98" s="22"/>
      <c r="P98" s="22"/>
      <c r="Q98" s="22"/>
      <c r="R98" s="22"/>
      <c r="S98" s="22"/>
      <c r="T98" s="22">
        <f t="shared" si="5"/>
        <v>42709</v>
      </c>
      <c r="U98" s="35">
        <v>42709</v>
      </c>
      <c r="V98" s="37">
        <f t="shared" si="6"/>
        <v>0</v>
      </c>
    </row>
    <row r="99" spans="1:22" x14ac:dyDescent="0.25">
      <c r="A99" s="136"/>
      <c r="B99" s="139" t="s">
        <v>18</v>
      </c>
      <c r="C99" s="75" t="s">
        <v>19</v>
      </c>
      <c r="D99" s="22">
        <v>0</v>
      </c>
      <c r="E99" s="22"/>
      <c r="F99" s="22"/>
      <c r="G99" s="22"/>
      <c r="H99" s="22"/>
      <c r="I99" s="22"/>
      <c r="J99" s="22"/>
      <c r="K99" s="22"/>
      <c r="L99" s="22"/>
      <c r="M99" s="22">
        <f t="shared" si="4"/>
        <v>0</v>
      </c>
      <c r="N99" s="22"/>
      <c r="O99" s="22"/>
      <c r="P99" s="22"/>
      <c r="Q99" s="22"/>
      <c r="R99" s="22"/>
      <c r="S99" s="22"/>
      <c r="T99" s="22">
        <f t="shared" si="5"/>
        <v>0</v>
      </c>
      <c r="U99" s="35">
        <v>0</v>
      </c>
      <c r="V99" s="37">
        <f t="shared" si="6"/>
        <v>0</v>
      </c>
    </row>
    <row r="100" spans="1:22" x14ac:dyDescent="0.25">
      <c r="A100" s="136"/>
      <c r="B100" s="150"/>
      <c r="C100" s="34" t="s">
        <v>11</v>
      </c>
      <c r="D100" s="22">
        <v>1200000</v>
      </c>
      <c r="E100" s="22"/>
      <c r="F100" s="22"/>
      <c r="G100" s="22"/>
      <c r="H100" s="22"/>
      <c r="I100" s="22"/>
      <c r="J100" s="22"/>
      <c r="K100" s="22"/>
      <c r="L100" s="22"/>
      <c r="M100" s="22">
        <f t="shared" si="4"/>
        <v>1200000</v>
      </c>
      <c r="N100" s="22">
        <v>60000</v>
      </c>
      <c r="O100" s="22"/>
      <c r="P100" s="22"/>
      <c r="Q100" s="22"/>
      <c r="R100" s="22"/>
      <c r="S100" s="22"/>
      <c r="T100" s="22">
        <f t="shared" si="5"/>
        <v>1260000</v>
      </c>
      <c r="U100" s="35">
        <v>854350</v>
      </c>
      <c r="V100" s="132">
        <f t="shared" si="6"/>
        <v>405650</v>
      </c>
    </row>
    <row r="101" spans="1:22" x14ac:dyDescent="0.25">
      <c r="A101" s="137"/>
      <c r="B101" s="151"/>
      <c r="C101" s="60" t="s">
        <v>14</v>
      </c>
      <c r="D101" s="54">
        <v>0</v>
      </c>
      <c r="E101" s="54"/>
      <c r="F101" s="54"/>
      <c r="G101" s="54"/>
      <c r="H101" s="54"/>
      <c r="I101" s="54"/>
      <c r="J101" s="54"/>
      <c r="K101" s="54"/>
      <c r="L101" s="54"/>
      <c r="M101" s="22">
        <f t="shared" si="4"/>
        <v>0</v>
      </c>
      <c r="N101" s="54"/>
      <c r="O101" s="54"/>
      <c r="P101" s="54"/>
      <c r="Q101" s="54"/>
      <c r="R101" s="54"/>
      <c r="S101" s="54"/>
      <c r="T101" s="54">
        <f t="shared" si="5"/>
        <v>0</v>
      </c>
      <c r="U101" s="55">
        <v>0</v>
      </c>
      <c r="V101" s="61">
        <f t="shared" si="6"/>
        <v>0</v>
      </c>
    </row>
    <row r="102" spans="1:22" x14ac:dyDescent="0.25">
      <c r="A102" s="137"/>
      <c r="B102" s="139" t="s">
        <v>21</v>
      </c>
      <c r="C102" s="60" t="s">
        <v>19</v>
      </c>
      <c r="D102" s="54">
        <v>12000</v>
      </c>
      <c r="E102" s="54"/>
      <c r="F102" s="54"/>
      <c r="G102" s="54"/>
      <c r="H102" s="54"/>
      <c r="I102" s="54"/>
      <c r="J102" s="54"/>
      <c r="K102" s="54"/>
      <c r="L102" s="54"/>
      <c r="M102" s="22">
        <f t="shared" si="4"/>
        <v>12000</v>
      </c>
      <c r="N102" s="54"/>
      <c r="O102" s="54"/>
      <c r="P102" s="54"/>
      <c r="Q102" s="54"/>
      <c r="R102" s="54"/>
      <c r="S102" s="54"/>
      <c r="T102" s="54">
        <f t="shared" si="5"/>
        <v>12000</v>
      </c>
      <c r="U102" s="55">
        <v>12000</v>
      </c>
      <c r="V102" s="62">
        <f t="shared" si="6"/>
        <v>0</v>
      </c>
    </row>
    <row r="103" spans="1:22" x14ac:dyDescent="0.25">
      <c r="A103" s="137"/>
      <c r="B103" s="150"/>
      <c r="C103" s="60" t="s">
        <v>14</v>
      </c>
      <c r="D103" s="54">
        <v>3240</v>
      </c>
      <c r="E103" s="54"/>
      <c r="F103" s="54"/>
      <c r="G103" s="54"/>
      <c r="H103" s="54"/>
      <c r="I103" s="54"/>
      <c r="J103" s="54"/>
      <c r="K103" s="54"/>
      <c r="L103" s="54"/>
      <c r="M103" s="22">
        <f t="shared" si="4"/>
        <v>3240</v>
      </c>
      <c r="N103" s="54"/>
      <c r="O103" s="54"/>
      <c r="P103" s="54"/>
      <c r="Q103" s="54"/>
      <c r="R103" s="54"/>
      <c r="S103" s="54"/>
      <c r="T103" s="54">
        <f t="shared" si="5"/>
        <v>3240</v>
      </c>
      <c r="U103" s="55">
        <v>3240</v>
      </c>
      <c r="V103" s="62">
        <f t="shared" si="6"/>
        <v>0</v>
      </c>
    </row>
    <row r="104" spans="1:22" ht="15.75" thickBot="1" x14ac:dyDescent="0.3">
      <c r="A104" s="164"/>
      <c r="B104" s="163"/>
      <c r="C104" s="40" t="s">
        <v>11</v>
      </c>
      <c r="D104" s="41">
        <v>500000</v>
      </c>
      <c r="E104" s="41"/>
      <c r="F104" s="41"/>
      <c r="G104" s="41"/>
      <c r="H104" s="41"/>
      <c r="I104" s="41"/>
      <c r="J104" s="41"/>
      <c r="K104" s="41"/>
      <c r="L104" s="41"/>
      <c r="M104" s="41">
        <f t="shared" si="4"/>
        <v>500000</v>
      </c>
      <c r="N104" s="41">
        <v>-60000</v>
      </c>
      <c r="O104" s="41"/>
      <c r="P104" s="41"/>
      <c r="Q104" s="41"/>
      <c r="R104" s="41"/>
      <c r="S104" s="41"/>
      <c r="T104" s="41">
        <f t="shared" si="5"/>
        <v>440000</v>
      </c>
      <c r="U104" s="42">
        <f>292370-1395</f>
        <v>290975</v>
      </c>
      <c r="V104" s="43">
        <f t="shared" si="6"/>
        <v>149025</v>
      </c>
    </row>
    <row r="105" spans="1:22" ht="15.75" thickTop="1" x14ac:dyDescent="0.25">
      <c r="A105" s="152" t="s">
        <v>38</v>
      </c>
      <c r="B105" s="154" t="s">
        <v>6</v>
      </c>
      <c r="C105" s="44" t="s">
        <v>7</v>
      </c>
      <c r="D105" s="45">
        <v>281667</v>
      </c>
      <c r="E105" s="45"/>
      <c r="F105" s="45"/>
      <c r="G105" s="45"/>
      <c r="H105" s="45"/>
      <c r="I105" s="46"/>
      <c r="J105" s="46"/>
      <c r="K105" s="46"/>
      <c r="L105" s="46"/>
      <c r="M105" s="46">
        <f t="shared" si="4"/>
        <v>281667</v>
      </c>
      <c r="N105" s="46"/>
      <c r="O105" s="46"/>
      <c r="P105" s="46"/>
      <c r="Q105" s="46"/>
      <c r="R105" s="46"/>
      <c r="S105" s="46"/>
      <c r="T105" s="46">
        <f t="shared" si="5"/>
        <v>281667</v>
      </c>
      <c r="U105" s="47">
        <v>164305</v>
      </c>
      <c r="V105" s="48">
        <f t="shared" si="6"/>
        <v>117362</v>
      </c>
    </row>
    <row r="106" spans="1:22" x14ac:dyDescent="0.25">
      <c r="A106" s="148"/>
      <c r="B106" s="151"/>
      <c r="C106" s="50" t="s">
        <v>8</v>
      </c>
      <c r="D106" s="46">
        <v>0</v>
      </c>
      <c r="E106" s="46"/>
      <c r="F106" s="46"/>
      <c r="G106" s="46"/>
      <c r="H106" s="46"/>
      <c r="I106" s="46"/>
      <c r="J106" s="46"/>
      <c r="K106" s="46"/>
      <c r="L106" s="46"/>
      <c r="M106" s="22">
        <f t="shared" ref="M106:M108" si="7">D106+E106+F106+G106+H106+J106+I106+K106+L106</f>
        <v>0</v>
      </c>
      <c r="N106" s="46"/>
      <c r="O106" s="46"/>
      <c r="P106" s="46"/>
      <c r="Q106" s="46"/>
      <c r="R106" s="46"/>
      <c r="S106" s="46"/>
      <c r="T106" s="46">
        <f t="shared" si="5"/>
        <v>0</v>
      </c>
      <c r="U106" s="51">
        <v>0</v>
      </c>
      <c r="V106" s="37">
        <f t="shared" si="6"/>
        <v>0</v>
      </c>
    </row>
    <row r="107" spans="1:22" x14ac:dyDescent="0.25">
      <c r="A107" s="148"/>
      <c r="B107" s="76" t="s">
        <v>21</v>
      </c>
      <c r="C107" s="77" t="s">
        <v>11</v>
      </c>
      <c r="D107" s="78">
        <v>60000</v>
      </c>
      <c r="E107" s="78"/>
      <c r="F107" s="78"/>
      <c r="G107" s="78"/>
      <c r="H107" s="78"/>
      <c r="I107" s="78"/>
      <c r="J107" s="78"/>
      <c r="K107" s="78"/>
      <c r="L107" s="78"/>
      <c r="M107" s="22">
        <f t="shared" si="7"/>
        <v>60000</v>
      </c>
      <c r="N107" s="78">
        <v>5000</v>
      </c>
      <c r="O107" s="78"/>
      <c r="P107" s="78"/>
      <c r="Q107" s="78"/>
      <c r="R107" s="78"/>
      <c r="S107" s="78"/>
      <c r="T107" s="78">
        <f t="shared" si="5"/>
        <v>65000</v>
      </c>
      <c r="U107" s="79">
        <v>40995</v>
      </c>
      <c r="V107" s="135">
        <f t="shared" si="6"/>
        <v>24005</v>
      </c>
    </row>
    <row r="108" spans="1:22" ht="15.75" thickBot="1" x14ac:dyDescent="0.3">
      <c r="A108" s="153"/>
      <c r="B108" s="49" t="s">
        <v>18</v>
      </c>
      <c r="C108" s="40" t="s">
        <v>11</v>
      </c>
      <c r="D108" s="41">
        <v>270000</v>
      </c>
      <c r="E108" s="41"/>
      <c r="F108" s="41"/>
      <c r="G108" s="41"/>
      <c r="H108" s="41"/>
      <c r="I108" s="41"/>
      <c r="J108" s="41"/>
      <c r="K108" s="41"/>
      <c r="L108" s="41"/>
      <c r="M108" s="41">
        <f t="shared" si="7"/>
        <v>270000</v>
      </c>
      <c r="N108" s="41">
        <v>-5000</v>
      </c>
      <c r="O108" s="41"/>
      <c r="P108" s="41"/>
      <c r="Q108" s="41"/>
      <c r="R108" s="41"/>
      <c r="S108" s="41"/>
      <c r="T108" s="41">
        <f t="shared" si="5"/>
        <v>265000</v>
      </c>
      <c r="U108" s="42">
        <v>169670</v>
      </c>
      <c r="V108" s="43">
        <f t="shared" si="6"/>
        <v>95330</v>
      </c>
    </row>
    <row r="109" spans="1:22" ht="34.5" customHeight="1" thickTop="1" x14ac:dyDescent="0.25">
      <c r="A109" s="155" t="s">
        <v>115</v>
      </c>
      <c r="B109" s="156"/>
      <c r="C109" s="157"/>
      <c r="D109" s="80">
        <f t="shared" ref="D109:L109" si="8">SUM(D5:D108)</f>
        <v>295036017</v>
      </c>
      <c r="E109" s="80">
        <f t="shared" si="8"/>
        <v>0</v>
      </c>
      <c r="F109" s="80">
        <f t="shared" si="8"/>
        <v>3399000</v>
      </c>
      <c r="G109" s="80">
        <f t="shared" si="8"/>
        <v>0</v>
      </c>
      <c r="H109" s="80">
        <f t="shared" si="8"/>
        <v>0</v>
      </c>
      <c r="I109" s="80">
        <f t="shared" si="8"/>
        <v>0</v>
      </c>
      <c r="J109" s="80">
        <f t="shared" si="8"/>
        <v>0</v>
      </c>
      <c r="K109" s="80">
        <f t="shared" si="8"/>
        <v>0</v>
      </c>
      <c r="L109" s="80">
        <f t="shared" si="8"/>
        <v>0</v>
      </c>
      <c r="M109" s="80">
        <f>D109+E109+F109+G109+H109+J109+I109+K109+L109</f>
        <v>298435017</v>
      </c>
      <c r="N109" s="80">
        <f>SUM(N5:N108)</f>
        <v>0</v>
      </c>
      <c r="O109" s="80">
        <f>SUM(O5:O108)</f>
        <v>-2912576</v>
      </c>
      <c r="P109" s="80">
        <f>SUM(P5:P108)</f>
        <v>0</v>
      </c>
      <c r="Q109" s="80">
        <f>SUM(Q5:Q108)</f>
        <v>0</v>
      </c>
      <c r="R109" s="80"/>
      <c r="S109" s="80"/>
      <c r="T109" s="80">
        <f>SUM(M109:S109)</f>
        <v>295522441</v>
      </c>
      <c r="U109" s="81">
        <f>SUM(U5:U108)</f>
        <v>198478333</v>
      </c>
      <c r="V109" s="82">
        <f t="shared" si="6"/>
        <v>97044108</v>
      </c>
    </row>
    <row r="110" spans="1:22" x14ac:dyDescent="0.25">
      <c r="A110" s="158" t="s">
        <v>136</v>
      </c>
      <c r="B110" s="138" t="s">
        <v>39</v>
      </c>
      <c r="C110" s="34" t="s">
        <v>40</v>
      </c>
      <c r="D110" s="22">
        <v>0</v>
      </c>
      <c r="E110" s="22"/>
      <c r="F110" s="22"/>
      <c r="G110" s="22"/>
      <c r="H110" s="22"/>
      <c r="I110" s="22"/>
      <c r="J110" s="22"/>
      <c r="K110" s="22"/>
      <c r="L110" s="22"/>
      <c r="M110" s="22">
        <f>D110+E110+F110+G110+H110+J110+I110</f>
        <v>0</v>
      </c>
      <c r="N110" s="22"/>
      <c r="O110" s="22"/>
      <c r="P110" s="22"/>
      <c r="Q110" s="22"/>
      <c r="R110" s="22"/>
      <c r="S110" s="22"/>
      <c r="T110" s="22">
        <f t="shared" si="5"/>
        <v>0</v>
      </c>
      <c r="U110" s="35">
        <v>0</v>
      </c>
      <c r="V110" s="37">
        <f t="shared" si="6"/>
        <v>0</v>
      </c>
    </row>
    <row r="111" spans="1:22" x14ac:dyDescent="0.25">
      <c r="A111" s="158"/>
      <c r="B111" s="138"/>
      <c r="C111" s="34" t="s">
        <v>51</v>
      </c>
      <c r="D111" s="22">
        <v>0</v>
      </c>
      <c r="E111" s="22"/>
      <c r="F111" s="22"/>
      <c r="G111" s="22"/>
      <c r="H111" s="22"/>
      <c r="I111" s="22"/>
      <c r="J111" s="22"/>
      <c r="K111" s="22"/>
      <c r="L111" s="22"/>
      <c r="M111" s="22">
        <f>D111+E111+F111+G111+H111+J111+I111</f>
        <v>0</v>
      </c>
      <c r="N111" s="22"/>
      <c r="O111" s="22"/>
      <c r="P111" s="22"/>
      <c r="Q111" s="22"/>
      <c r="R111" s="22"/>
      <c r="S111" s="22"/>
      <c r="T111" s="22">
        <f t="shared" si="5"/>
        <v>0</v>
      </c>
      <c r="U111" s="35">
        <v>0</v>
      </c>
      <c r="V111" s="39">
        <f t="shared" si="6"/>
        <v>0</v>
      </c>
    </row>
    <row r="112" spans="1:22" x14ac:dyDescent="0.25">
      <c r="A112" s="158"/>
      <c r="B112" s="138"/>
      <c r="C112" s="83" t="s">
        <v>41</v>
      </c>
      <c r="D112" s="84">
        <f>SUM(D110:D111)</f>
        <v>0</v>
      </c>
      <c r="E112" s="84">
        <f t="shared" ref="E112:U112" si="9">SUM(E110:E111)</f>
        <v>0</v>
      </c>
      <c r="F112" s="84">
        <f t="shared" si="9"/>
        <v>0</v>
      </c>
      <c r="G112" s="84">
        <f t="shared" si="9"/>
        <v>0</v>
      </c>
      <c r="H112" s="84">
        <f t="shared" si="9"/>
        <v>0</v>
      </c>
      <c r="I112" s="84">
        <f t="shared" si="9"/>
        <v>0</v>
      </c>
      <c r="J112" s="84">
        <f t="shared" si="9"/>
        <v>0</v>
      </c>
      <c r="K112" s="84">
        <f t="shared" si="9"/>
        <v>0</v>
      </c>
      <c r="L112" s="84">
        <f t="shared" si="9"/>
        <v>0</v>
      </c>
      <c r="M112" s="84">
        <f>SUM(M110:M111)</f>
        <v>0</v>
      </c>
      <c r="N112" s="84">
        <f>SUM(N110:N111)</f>
        <v>0</v>
      </c>
      <c r="O112" s="84">
        <f t="shared" ref="O112:Q112" si="10">SUM(O110:O111)</f>
        <v>0</v>
      </c>
      <c r="P112" s="84">
        <f t="shared" si="10"/>
        <v>0</v>
      </c>
      <c r="Q112" s="84">
        <f t="shared" si="10"/>
        <v>0</v>
      </c>
      <c r="R112" s="84"/>
      <c r="S112" s="84"/>
      <c r="T112" s="84">
        <f t="shared" si="5"/>
        <v>0</v>
      </c>
      <c r="U112" s="85">
        <f t="shared" si="9"/>
        <v>0</v>
      </c>
      <c r="V112" s="86">
        <f t="shared" si="6"/>
        <v>0</v>
      </c>
    </row>
    <row r="113" spans="1:22" x14ac:dyDescent="0.25">
      <c r="A113" s="158"/>
      <c r="B113" s="138"/>
      <c r="C113" s="87" t="s">
        <v>42</v>
      </c>
      <c r="D113" s="88">
        <v>0</v>
      </c>
      <c r="E113" s="88"/>
      <c r="F113" s="88"/>
      <c r="G113" s="88"/>
      <c r="H113" s="88"/>
      <c r="I113" s="88"/>
      <c r="J113" s="88"/>
      <c r="K113" s="88"/>
      <c r="L113" s="88"/>
      <c r="M113" s="89">
        <f>D113+E113+F113+G113+H113+J113</f>
        <v>0</v>
      </c>
      <c r="N113" s="89"/>
      <c r="O113" s="89"/>
      <c r="P113" s="89"/>
      <c r="Q113" s="89"/>
      <c r="R113" s="89"/>
      <c r="S113" s="89"/>
      <c r="T113" s="89">
        <f t="shared" si="5"/>
        <v>0</v>
      </c>
      <c r="U113" s="90">
        <v>0</v>
      </c>
      <c r="V113" s="91">
        <f t="shared" si="6"/>
        <v>0</v>
      </c>
    </row>
    <row r="114" spans="1:22" x14ac:dyDescent="0.25">
      <c r="A114" s="158"/>
      <c r="B114" s="138"/>
      <c r="C114" s="34" t="s">
        <v>43</v>
      </c>
      <c r="D114" s="22">
        <v>0</v>
      </c>
      <c r="E114" s="22"/>
      <c r="F114" s="22"/>
      <c r="G114" s="22"/>
      <c r="H114" s="22"/>
      <c r="I114" s="22"/>
      <c r="J114" s="22"/>
      <c r="K114" s="22"/>
      <c r="L114" s="22"/>
      <c r="M114" s="22">
        <f>D114+E114+F114+G114+H114+J114+I114</f>
        <v>0</v>
      </c>
      <c r="N114" s="22"/>
      <c r="O114" s="22"/>
      <c r="P114" s="22"/>
      <c r="Q114" s="22"/>
      <c r="R114" s="22"/>
      <c r="S114" s="22"/>
      <c r="T114" s="22">
        <f t="shared" si="5"/>
        <v>0</v>
      </c>
      <c r="U114" s="35">
        <v>0</v>
      </c>
      <c r="V114" s="66">
        <f t="shared" si="6"/>
        <v>0</v>
      </c>
    </row>
    <row r="115" spans="1:22" x14ac:dyDescent="0.25">
      <c r="A115" s="158"/>
      <c r="B115" s="138"/>
      <c r="C115" s="34" t="s">
        <v>53</v>
      </c>
      <c r="D115" s="22">
        <v>0</v>
      </c>
      <c r="E115" s="22"/>
      <c r="F115" s="22"/>
      <c r="G115" s="22"/>
      <c r="H115" s="22"/>
      <c r="I115" s="22"/>
      <c r="J115" s="22"/>
      <c r="K115" s="22"/>
      <c r="L115" s="22"/>
      <c r="M115" s="22">
        <f>D115+E115+F115+G115+H115+J115+I115</f>
        <v>0</v>
      </c>
      <c r="N115" s="22"/>
      <c r="O115" s="22"/>
      <c r="P115" s="22"/>
      <c r="Q115" s="22"/>
      <c r="R115" s="22"/>
      <c r="S115" s="22"/>
      <c r="T115" s="22">
        <f t="shared" si="5"/>
        <v>0</v>
      </c>
      <c r="U115" s="35">
        <v>0</v>
      </c>
      <c r="V115" s="66">
        <f t="shared" si="6"/>
        <v>0</v>
      </c>
    </row>
    <row r="116" spans="1:22" x14ac:dyDescent="0.25">
      <c r="A116" s="158"/>
      <c r="B116" s="138"/>
      <c r="C116" s="34" t="s">
        <v>44</v>
      </c>
      <c r="D116" s="22">
        <v>0</v>
      </c>
      <c r="E116" s="22"/>
      <c r="F116" s="22"/>
      <c r="G116" s="22"/>
      <c r="H116" s="22"/>
      <c r="I116" s="22"/>
      <c r="J116" s="22"/>
      <c r="K116" s="22"/>
      <c r="L116" s="22"/>
      <c r="M116" s="22">
        <f>D116+E116+F116+G116+H116+J116+I116</f>
        <v>0</v>
      </c>
      <c r="N116" s="22"/>
      <c r="O116" s="22"/>
      <c r="P116" s="22"/>
      <c r="Q116" s="22"/>
      <c r="R116" s="22"/>
      <c r="S116" s="22"/>
      <c r="T116" s="22">
        <f t="shared" si="5"/>
        <v>0</v>
      </c>
      <c r="U116" s="35">
        <v>0</v>
      </c>
      <c r="V116" s="66">
        <f t="shared" si="6"/>
        <v>0</v>
      </c>
    </row>
    <row r="117" spans="1:22" x14ac:dyDescent="0.25">
      <c r="A117" s="158"/>
      <c r="B117" s="138"/>
      <c r="C117" s="34" t="s">
        <v>45</v>
      </c>
      <c r="D117" s="22">
        <v>0</v>
      </c>
      <c r="E117" s="22"/>
      <c r="F117" s="22"/>
      <c r="G117" s="22"/>
      <c r="H117" s="22"/>
      <c r="I117" s="22"/>
      <c r="J117" s="22"/>
      <c r="K117" s="22"/>
      <c r="L117" s="22"/>
      <c r="M117" s="22">
        <f>D117+E117+F117+G117+H117+J117+I117</f>
        <v>0</v>
      </c>
      <c r="N117" s="22"/>
      <c r="O117" s="22"/>
      <c r="P117" s="22"/>
      <c r="Q117" s="22"/>
      <c r="R117" s="22"/>
      <c r="S117" s="22"/>
      <c r="T117" s="22">
        <f t="shared" si="5"/>
        <v>0</v>
      </c>
      <c r="U117" s="35">
        <v>0</v>
      </c>
      <c r="V117" s="66">
        <f t="shared" si="6"/>
        <v>0</v>
      </c>
    </row>
    <row r="118" spans="1:22" x14ac:dyDescent="0.25">
      <c r="A118" s="158"/>
      <c r="B118" s="138"/>
      <c r="C118" s="83" t="s">
        <v>46</v>
      </c>
      <c r="D118" s="84">
        <f>SUM(D114:D117)</f>
        <v>0</v>
      </c>
      <c r="E118" s="84">
        <f t="shared" ref="E118:U118" si="11">SUM(E114:E117)</f>
        <v>0</v>
      </c>
      <c r="F118" s="84">
        <f t="shared" si="11"/>
        <v>0</v>
      </c>
      <c r="G118" s="84">
        <f t="shared" si="11"/>
        <v>0</v>
      </c>
      <c r="H118" s="84">
        <f t="shared" si="11"/>
        <v>0</v>
      </c>
      <c r="I118" s="84">
        <f t="shared" si="11"/>
        <v>0</v>
      </c>
      <c r="J118" s="84">
        <f t="shared" si="11"/>
        <v>0</v>
      </c>
      <c r="K118" s="84">
        <f t="shared" si="11"/>
        <v>0</v>
      </c>
      <c r="L118" s="84">
        <f t="shared" si="11"/>
        <v>0</v>
      </c>
      <c r="M118" s="84">
        <f t="shared" si="11"/>
        <v>0</v>
      </c>
      <c r="N118" s="84">
        <f t="shared" si="11"/>
        <v>0</v>
      </c>
      <c r="O118" s="84">
        <f t="shared" si="11"/>
        <v>0</v>
      </c>
      <c r="P118" s="84">
        <f t="shared" si="11"/>
        <v>0</v>
      </c>
      <c r="Q118" s="84">
        <f t="shared" si="11"/>
        <v>0</v>
      </c>
      <c r="R118" s="84"/>
      <c r="S118" s="84"/>
      <c r="T118" s="84">
        <f t="shared" si="5"/>
        <v>0</v>
      </c>
      <c r="U118" s="85">
        <f t="shared" si="11"/>
        <v>0</v>
      </c>
      <c r="V118" s="85">
        <f t="shared" si="6"/>
        <v>0</v>
      </c>
    </row>
    <row r="119" spans="1:22" x14ac:dyDescent="0.25">
      <c r="A119" s="158"/>
      <c r="B119" s="139" t="s">
        <v>10</v>
      </c>
      <c r="C119" s="34" t="s">
        <v>40</v>
      </c>
      <c r="D119" s="22">
        <v>4401289</v>
      </c>
      <c r="E119" s="25"/>
      <c r="F119" s="22"/>
      <c r="G119" s="22"/>
      <c r="H119" s="22"/>
      <c r="I119" s="22"/>
      <c r="J119" s="22"/>
      <c r="K119" s="22"/>
      <c r="L119" s="22"/>
      <c r="M119" s="22">
        <f t="shared" ref="M119:M125" si="12">D119+E119+F119+G119+H119+J119+I119</f>
        <v>4401289</v>
      </c>
      <c r="N119" s="22"/>
      <c r="O119" s="22"/>
      <c r="P119" s="22"/>
      <c r="Q119" s="22"/>
      <c r="R119" s="22"/>
      <c r="S119" s="22"/>
      <c r="T119" s="22">
        <f t="shared" si="5"/>
        <v>4401289</v>
      </c>
      <c r="U119" s="35">
        <v>3305678</v>
      </c>
      <c r="V119" s="37">
        <f t="shared" si="6"/>
        <v>1095611</v>
      </c>
    </row>
    <row r="120" spans="1:22" x14ac:dyDescent="0.25">
      <c r="A120" s="158"/>
      <c r="B120" s="150"/>
      <c r="C120" s="34" t="s">
        <v>47</v>
      </c>
      <c r="D120" s="22">
        <v>200000</v>
      </c>
      <c r="E120" s="22"/>
      <c r="F120" s="22"/>
      <c r="G120" s="22"/>
      <c r="H120" s="22"/>
      <c r="I120" s="22"/>
      <c r="J120" s="22"/>
      <c r="K120" s="22"/>
      <c r="L120" s="22"/>
      <c r="M120" s="22">
        <f t="shared" si="12"/>
        <v>200000</v>
      </c>
      <c r="N120" s="22"/>
      <c r="O120" s="22"/>
      <c r="P120" s="22"/>
      <c r="Q120" s="22"/>
      <c r="R120" s="22"/>
      <c r="S120" s="22"/>
      <c r="T120" s="22">
        <f t="shared" si="5"/>
        <v>200000</v>
      </c>
      <c r="U120" s="35">
        <v>135346</v>
      </c>
      <c r="V120" s="37">
        <f t="shared" si="6"/>
        <v>64654</v>
      </c>
    </row>
    <row r="121" spans="1:22" x14ac:dyDescent="0.25">
      <c r="A121" s="158"/>
      <c r="B121" s="150"/>
      <c r="C121" s="34" t="s">
        <v>48</v>
      </c>
      <c r="D121" s="22">
        <v>20000</v>
      </c>
      <c r="E121" s="22"/>
      <c r="F121" s="22"/>
      <c r="G121" s="22"/>
      <c r="H121" s="22"/>
      <c r="I121" s="22"/>
      <c r="J121" s="22"/>
      <c r="K121" s="22"/>
      <c r="L121" s="22"/>
      <c r="M121" s="22">
        <f t="shared" si="12"/>
        <v>20000</v>
      </c>
      <c r="N121" s="22"/>
      <c r="O121" s="22"/>
      <c r="P121" s="22"/>
      <c r="Q121" s="22"/>
      <c r="R121" s="22"/>
      <c r="S121" s="22"/>
      <c r="T121" s="22">
        <f t="shared" si="5"/>
        <v>20000</v>
      </c>
      <c r="U121" s="35">
        <v>0</v>
      </c>
      <c r="V121" s="37">
        <f t="shared" si="6"/>
        <v>20000</v>
      </c>
    </row>
    <row r="122" spans="1:22" x14ac:dyDescent="0.25">
      <c r="A122" s="158"/>
      <c r="B122" s="150"/>
      <c r="C122" s="34" t="s">
        <v>49</v>
      </c>
      <c r="D122" s="22">
        <v>0</v>
      </c>
      <c r="E122" s="22"/>
      <c r="F122" s="22"/>
      <c r="G122" s="22"/>
      <c r="H122" s="22"/>
      <c r="I122" s="22"/>
      <c r="J122" s="22"/>
      <c r="K122" s="22"/>
      <c r="L122" s="22"/>
      <c r="M122" s="22">
        <f t="shared" si="12"/>
        <v>0</v>
      </c>
      <c r="N122" s="22"/>
      <c r="O122" s="22"/>
      <c r="P122" s="22"/>
      <c r="Q122" s="22"/>
      <c r="R122" s="22"/>
      <c r="S122" s="22"/>
      <c r="T122" s="22">
        <f t="shared" si="5"/>
        <v>0</v>
      </c>
      <c r="U122" s="35">
        <v>0</v>
      </c>
      <c r="V122" s="37">
        <f t="shared" si="6"/>
        <v>0</v>
      </c>
    </row>
    <row r="123" spans="1:22" x14ac:dyDescent="0.25">
      <c r="A123" s="158"/>
      <c r="B123" s="150"/>
      <c r="C123" s="34" t="s">
        <v>50</v>
      </c>
      <c r="D123" s="22">
        <v>24000</v>
      </c>
      <c r="E123" s="22"/>
      <c r="F123" s="22"/>
      <c r="G123" s="22"/>
      <c r="H123" s="22"/>
      <c r="I123" s="22"/>
      <c r="J123" s="22"/>
      <c r="K123" s="22"/>
      <c r="L123" s="22"/>
      <c r="M123" s="22">
        <f t="shared" si="12"/>
        <v>24000</v>
      </c>
      <c r="N123" s="22"/>
      <c r="O123" s="22"/>
      <c r="P123" s="22"/>
      <c r="Q123" s="22"/>
      <c r="R123" s="22"/>
      <c r="S123" s="22"/>
      <c r="T123" s="22">
        <f t="shared" si="5"/>
        <v>24000</v>
      </c>
      <c r="U123" s="35">
        <v>16000</v>
      </c>
      <c r="V123" s="37">
        <f t="shared" si="6"/>
        <v>8000</v>
      </c>
    </row>
    <row r="124" spans="1:22" x14ac:dyDescent="0.25">
      <c r="A124" s="158"/>
      <c r="B124" s="150"/>
      <c r="C124" s="34" t="s">
        <v>51</v>
      </c>
      <c r="D124" s="22">
        <v>0</v>
      </c>
      <c r="E124" s="22"/>
      <c r="F124" s="22"/>
      <c r="G124" s="22"/>
      <c r="H124" s="22"/>
      <c r="I124" s="22"/>
      <c r="J124" s="22"/>
      <c r="K124" s="22"/>
      <c r="L124" s="22"/>
      <c r="M124" s="22">
        <f t="shared" si="12"/>
        <v>0</v>
      </c>
      <c r="N124" s="22"/>
      <c r="O124" s="22"/>
      <c r="P124" s="22"/>
      <c r="Q124" s="22"/>
      <c r="R124" s="22"/>
      <c r="S124" s="22"/>
      <c r="T124" s="22">
        <f t="shared" si="5"/>
        <v>0</v>
      </c>
      <c r="U124" s="35">
        <v>0</v>
      </c>
      <c r="V124" s="37">
        <f t="shared" si="6"/>
        <v>0</v>
      </c>
    </row>
    <row r="125" spans="1:22" x14ac:dyDescent="0.25">
      <c r="A125" s="158"/>
      <c r="B125" s="150"/>
      <c r="C125" s="34" t="s">
        <v>52</v>
      </c>
      <c r="D125" s="22">
        <v>50000</v>
      </c>
      <c r="E125" s="22"/>
      <c r="F125" s="22"/>
      <c r="G125" s="22"/>
      <c r="H125" s="22"/>
      <c r="I125" s="22"/>
      <c r="J125" s="22"/>
      <c r="K125" s="22"/>
      <c r="L125" s="22"/>
      <c r="M125" s="22">
        <f t="shared" si="12"/>
        <v>50000</v>
      </c>
      <c r="N125" s="22"/>
      <c r="O125" s="22"/>
      <c r="P125" s="22"/>
      <c r="Q125" s="22"/>
      <c r="R125" s="22"/>
      <c r="S125" s="22"/>
      <c r="T125" s="22">
        <f t="shared" si="5"/>
        <v>50000</v>
      </c>
      <c r="U125" s="35">
        <v>0</v>
      </c>
      <c r="V125" s="37">
        <f t="shared" si="6"/>
        <v>50000</v>
      </c>
    </row>
    <row r="126" spans="1:22" x14ac:dyDescent="0.25">
      <c r="A126" s="158"/>
      <c r="B126" s="150"/>
      <c r="C126" s="83" t="s">
        <v>41</v>
      </c>
      <c r="D126" s="84">
        <f>SUM(D119:D125)</f>
        <v>4695289</v>
      </c>
      <c r="E126" s="84">
        <f t="shared" ref="E126:U126" si="13">SUM(E119:E125)</f>
        <v>0</v>
      </c>
      <c r="F126" s="84">
        <f t="shared" si="13"/>
        <v>0</v>
      </c>
      <c r="G126" s="84">
        <f t="shared" si="13"/>
        <v>0</v>
      </c>
      <c r="H126" s="84">
        <f t="shared" si="13"/>
        <v>0</v>
      </c>
      <c r="I126" s="84">
        <f t="shared" si="13"/>
        <v>0</v>
      </c>
      <c r="J126" s="84">
        <f t="shared" si="13"/>
        <v>0</v>
      </c>
      <c r="K126" s="84">
        <f t="shared" si="13"/>
        <v>0</v>
      </c>
      <c r="L126" s="84">
        <f t="shared" si="13"/>
        <v>0</v>
      </c>
      <c r="M126" s="84">
        <f t="shared" si="13"/>
        <v>4695289</v>
      </c>
      <c r="N126" s="84">
        <f t="shared" ref="N126:Q126" si="14">SUM(N119:N125)</f>
        <v>0</v>
      </c>
      <c r="O126" s="84">
        <f t="shared" si="14"/>
        <v>0</v>
      </c>
      <c r="P126" s="84">
        <f t="shared" si="14"/>
        <v>0</v>
      </c>
      <c r="Q126" s="84">
        <f t="shared" si="14"/>
        <v>0</v>
      </c>
      <c r="R126" s="84"/>
      <c r="S126" s="84"/>
      <c r="T126" s="84">
        <f t="shared" si="5"/>
        <v>4695289</v>
      </c>
      <c r="U126" s="85">
        <f t="shared" si="13"/>
        <v>3457024</v>
      </c>
      <c r="V126" s="86">
        <f t="shared" si="6"/>
        <v>1238265</v>
      </c>
    </row>
    <row r="127" spans="1:22" x14ac:dyDescent="0.25">
      <c r="A127" s="158"/>
      <c r="B127" s="150"/>
      <c r="C127" s="87" t="s">
        <v>42</v>
      </c>
      <c r="D127" s="88">
        <v>756034</v>
      </c>
      <c r="E127" s="88"/>
      <c r="F127" s="88"/>
      <c r="G127" s="88"/>
      <c r="H127" s="88"/>
      <c r="I127" s="88"/>
      <c r="J127" s="88"/>
      <c r="K127" s="88"/>
      <c r="L127" s="88"/>
      <c r="M127" s="89">
        <f>D127+E127+F127+G127+H127+J127</f>
        <v>756034</v>
      </c>
      <c r="N127" s="89"/>
      <c r="O127" s="89"/>
      <c r="P127" s="89"/>
      <c r="Q127" s="89"/>
      <c r="R127" s="89"/>
      <c r="S127" s="89"/>
      <c r="T127" s="89">
        <f t="shared" si="5"/>
        <v>756034</v>
      </c>
      <c r="U127" s="90">
        <v>422162</v>
      </c>
      <c r="V127" s="91">
        <f t="shared" si="6"/>
        <v>333872</v>
      </c>
    </row>
    <row r="128" spans="1:22" x14ac:dyDescent="0.25">
      <c r="A128" s="158"/>
      <c r="B128" s="150"/>
      <c r="C128" s="34" t="s">
        <v>43</v>
      </c>
      <c r="D128" s="22">
        <v>50000</v>
      </c>
      <c r="E128" s="22"/>
      <c r="F128" s="22"/>
      <c r="G128" s="22"/>
      <c r="H128" s="22"/>
      <c r="I128" s="22"/>
      <c r="J128" s="22"/>
      <c r="K128" s="22"/>
      <c r="L128" s="22"/>
      <c r="M128" s="22">
        <f t="shared" ref="M128:M138" si="15">D128+E128+F128+G128+H128+J128+I128</f>
        <v>50000</v>
      </c>
      <c r="N128" s="22"/>
      <c r="O128" s="22"/>
      <c r="P128" s="22"/>
      <c r="Q128" s="22"/>
      <c r="R128" s="22"/>
      <c r="S128" s="22"/>
      <c r="T128" s="22">
        <f t="shared" si="5"/>
        <v>50000</v>
      </c>
      <c r="U128" s="35">
        <v>0</v>
      </c>
      <c r="V128" s="37">
        <f t="shared" si="6"/>
        <v>50000</v>
      </c>
    </row>
    <row r="129" spans="1:22" x14ac:dyDescent="0.25">
      <c r="A129" s="158"/>
      <c r="B129" s="150"/>
      <c r="C129" s="34" t="s">
        <v>53</v>
      </c>
      <c r="D129" s="22">
        <v>90000</v>
      </c>
      <c r="E129" s="22"/>
      <c r="F129" s="22"/>
      <c r="G129" s="22"/>
      <c r="H129" s="22"/>
      <c r="I129" s="22"/>
      <c r="J129" s="22"/>
      <c r="K129" s="22"/>
      <c r="L129" s="22"/>
      <c r="M129" s="22">
        <f t="shared" si="15"/>
        <v>90000</v>
      </c>
      <c r="N129" s="22"/>
      <c r="O129" s="22"/>
      <c r="P129" s="22"/>
      <c r="Q129" s="22"/>
      <c r="R129" s="22"/>
      <c r="S129" s="22"/>
      <c r="T129" s="22">
        <f t="shared" si="5"/>
        <v>90000</v>
      </c>
      <c r="U129" s="35">
        <v>0</v>
      </c>
      <c r="V129" s="37">
        <f t="shared" si="6"/>
        <v>90000</v>
      </c>
    </row>
    <row r="130" spans="1:22" x14ac:dyDescent="0.25">
      <c r="A130" s="158"/>
      <c r="B130" s="150"/>
      <c r="C130" s="34" t="s">
        <v>54</v>
      </c>
      <c r="D130" s="22">
        <v>72648</v>
      </c>
      <c r="E130" s="22"/>
      <c r="F130" s="22"/>
      <c r="G130" s="22"/>
      <c r="H130" s="22"/>
      <c r="I130" s="22"/>
      <c r="J130" s="22"/>
      <c r="K130" s="22"/>
      <c r="L130" s="22"/>
      <c r="M130" s="22">
        <f t="shared" si="15"/>
        <v>72648</v>
      </c>
      <c r="N130" s="22"/>
      <c r="O130" s="22"/>
      <c r="P130" s="22"/>
      <c r="Q130" s="22"/>
      <c r="R130" s="22"/>
      <c r="S130" s="22"/>
      <c r="T130" s="22">
        <f t="shared" si="5"/>
        <v>72648</v>
      </c>
      <c r="U130" s="35">
        <v>48372</v>
      </c>
      <c r="V130" s="39">
        <f t="shared" si="6"/>
        <v>24276</v>
      </c>
    </row>
    <row r="131" spans="1:22" x14ac:dyDescent="0.25">
      <c r="A131" s="158"/>
      <c r="B131" s="150"/>
      <c r="C131" s="34" t="s">
        <v>55</v>
      </c>
      <c r="D131" s="22">
        <v>58666</v>
      </c>
      <c r="E131" s="22"/>
      <c r="F131" s="22"/>
      <c r="G131" s="22"/>
      <c r="H131" s="22"/>
      <c r="I131" s="22"/>
      <c r="J131" s="22"/>
      <c r="K131" s="22"/>
      <c r="L131" s="22"/>
      <c r="M131" s="22">
        <f t="shared" si="15"/>
        <v>58666</v>
      </c>
      <c r="N131" s="22"/>
      <c r="O131" s="22"/>
      <c r="P131" s="22"/>
      <c r="Q131" s="22"/>
      <c r="R131" s="22"/>
      <c r="S131" s="22"/>
      <c r="T131" s="22">
        <f t="shared" si="5"/>
        <v>58666</v>
      </c>
      <c r="U131" s="35">
        <v>43208</v>
      </c>
      <c r="V131" s="39">
        <f t="shared" si="6"/>
        <v>15458</v>
      </c>
    </row>
    <row r="132" spans="1:22" x14ac:dyDescent="0.25">
      <c r="A132" s="158"/>
      <c r="B132" s="150"/>
      <c r="C132" s="34" t="s">
        <v>56</v>
      </c>
      <c r="D132" s="22">
        <v>840000</v>
      </c>
      <c r="E132" s="22"/>
      <c r="F132" s="22"/>
      <c r="G132" s="22"/>
      <c r="H132" s="22"/>
      <c r="I132" s="22"/>
      <c r="J132" s="22"/>
      <c r="K132" s="22"/>
      <c r="L132" s="22"/>
      <c r="M132" s="22">
        <f t="shared" si="15"/>
        <v>840000</v>
      </c>
      <c r="N132" s="22"/>
      <c r="O132" s="22"/>
      <c r="P132" s="22"/>
      <c r="Q132" s="22"/>
      <c r="R132" s="22"/>
      <c r="S132" s="22"/>
      <c r="T132" s="22">
        <f t="shared" si="5"/>
        <v>840000</v>
      </c>
      <c r="U132" s="35">
        <f>654351-17965</f>
        <v>636386</v>
      </c>
      <c r="V132" s="39">
        <f t="shared" si="6"/>
        <v>203614</v>
      </c>
    </row>
    <row r="133" spans="1:22" x14ac:dyDescent="0.25">
      <c r="A133" s="158"/>
      <c r="B133" s="150"/>
      <c r="C133" s="34" t="s">
        <v>57</v>
      </c>
      <c r="D133" s="25">
        <v>40000</v>
      </c>
      <c r="E133" s="22"/>
      <c r="F133" s="22"/>
      <c r="G133" s="22"/>
      <c r="H133" s="22"/>
      <c r="I133" s="22"/>
      <c r="J133" s="22"/>
      <c r="K133" s="22"/>
      <c r="L133" s="22"/>
      <c r="M133" s="22">
        <f t="shared" si="15"/>
        <v>40000</v>
      </c>
      <c r="N133" s="22"/>
      <c r="O133" s="22"/>
      <c r="P133" s="22"/>
      <c r="Q133" s="22"/>
      <c r="R133" s="22"/>
      <c r="S133" s="22"/>
      <c r="T133" s="22">
        <f t="shared" si="5"/>
        <v>40000</v>
      </c>
      <c r="U133" s="35">
        <v>35000</v>
      </c>
      <c r="V133" s="39">
        <f t="shared" si="6"/>
        <v>5000</v>
      </c>
    </row>
    <row r="134" spans="1:22" x14ac:dyDescent="0.25">
      <c r="A134" s="158"/>
      <c r="B134" s="150"/>
      <c r="C134" s="34" t="s">
        <v>44</v>
      </c>
      <c r="D134" s="22">
        <v>25400</v>
      </c>
      <c r="E134" s="22"/>
      <c r="F134" s="22"/>
      <c r="G134" s="22"/>
      <c r="H134" s="22"/>
      <c r="I134" s="22"/>
      <c r="J134" s="22"/>
      <c r="K134" s="22"/>
      <c r="L134" s="22"/>
      <c r="M134" s="22">
        <f t="shared" si="15"/>
        <v>25400</v>
      </c>
      <c r="N134" s="22"/>
      <c r="O134" s="22"/>
      <c r="P134" s="22"/>
      <c r="Q134" s="22"/>
      <c r="R134" s="22"/>
      <c r="S134" s="22"/>
      <c r="T134" s="22">
        <f t="shared" si="5"/>
        <v>25400</v>
      </c>
      <c r="U134" s="35">
        <v>3350</v>
      </c>
      <c r="V134" s="39">
        <f t="shared" si="6"/>
        <v>22050</v>
      </c>
    </row>
    <row r="135" spans="1:22" x14ac:dyDescent="0.25">
      <c r="A135" s="158"/>
      <c r="B135" s="150"/>
      <c r="C135" s="34" t="s">
        <v>58</v>
      </c>
      <c r="D135" s="22">
        <v>25592</v>
      </c>
      <c r="E135" s="22"/>
      <c r="F135" s="22"/>
      <c r="G135" s="22"/>
      <c r="H135" s="22"/>
      <c r="I135" s="22"/>
      <c r="J135" s="22"/>
      <c r="K135" s="22"/>
      <c r="L135" s="22"/>
      <c r="M135" s="22">
        <f t="shared" si="15"/>
        <v>25592</v>
      </c>
      <c r="N135" s="22">
        <v>19852</v>
      </c>
      <c r="O135" s="22"/>
      <c r="P135" s="22"/>
      <c r="Q135" s="22"/>
      <c r="R135" s="22"/>
      <c r="S135" s="22"/>
      <c r="T135" s="22">
        <f t="shared" si="5"/>
        <v>45444</v>
      </c>
      <c r="U135" s="35">
        <v>45444</v>
      </c>
      <c r="V135" s="39">
        <f t="shared" si="6"/>
        <v>0</v>
      </c>
    </row>
    <row r="136" spans="1:22" x14ac:dyDescent="0.25">
      <c r="A136" s="158"/>
      <c r="B136" s="150"/>
      <c r="C136" s="34" t="s">
        <v>59</v>
      </c>
      <c r="D136" s="22">
        <v>0</v>
      </c>
      <c r="E136" s="22"/>
      <c r="F136" s="22"/>
      <c r="G136" s="22"/>
      <c r="H136" s="22"/>
      <c r="I136" s="22"/>
      <c r="J136" s="22"/>
      <c r="K136" s="22"/>
      <c r="L136" s="22"/>
      <c r="M136" s="22">
        <f t="shared" si="15"/>
        <v>0</v>
      </c>
      <c r="N136" s="22">
        <v>20034</v>
      </c>
      <c r="O136" s="22"/>
      <c r="P136" s="22"/>
      <c r="Q136" s="22"/>
      <c r="R136" s="22"/>
      <c r="S136" s="22"/>
      <c r="T136" s="22">
        <f t="shared" ref="T136:T202" si="16">SUM(M136:S136)</f>
        <v>20034</v>
      </c>
      <c r="U136" s="35">
        <v>20034</v>
      </c>
      <c r="V136" s="39">
        <f t="shared" ref="V136:V199" si="17">T136-U136</f>
        <v>0</v>
      </c>
    </row>
    <row r="137" spans="1:22" x14ac:dyDescent="0.25">
      <c r="A137" s="158"/>
      <c r="B137" s="150"/>
      <c r="C137" s="34" t="s">
        <v>45</v>
      </c>
      <c r="D137" s="22">
        <v>167272</v>
      </c>
      <c r="E137" s="22"/>
      <c r="F137" s="22"/>
      <c r="G137" s="22"/>
      <c r="H137" s="22"/>
      <c r="I137" s="22"/>
      <c r="J137" s="22"/>
      <c r="K137" s="22"/>
      <c r="L137" s="22"/>
      <c r="M137" s="22">
        <f t="shared" si="15"/>
        <v>167272</v>
      </c>
      <c r="N137" s="22"/>
      <c r="O137" s="22"/>
      <c r="P137" s="22"/>
      <c r="Q137" s="22"/>
      <c r="R137" s="22"/>
      <c r="S137" s="22"/>
      <c r="T137" s="22">
        <f t="shared" si="16"/>
        <v>167272</v>
      </c>
      <c r="U137" s="35">
        <f>88898-4355</f>
        <v>84543</v>
      </c>
      <c r="V137" s="37">
        <f t="shared" si="17"/>
        <v>82729</v>
      </c>
    </row>
    <row r="138" spans="1:22" x14ac:dyDescent="0.25">
      <c r="A138" s="158"/>
      <c r="B138" s="150"/>
      <c r="C138" s="34" t="s">
        <v>60</v>
      </c>
      <c r="D138" s="22">
        <v>0</v>
      </c>
      <c r="E138" s="22"/>
      <c r="F138" s="22"/>
      <c r="G138" s="22"/>
      <c r="H138" s="22"/>
      <c r="I138" s="22"/>
      <c r="J138" s="22"/>
      <c r="K138" s="22"/>
      <c r="L138" s="22"/>
      <c r="M138" s="22">
        <f t="shared" si="15"/>
        <v>0</v>
      </c>
      <c r="N138" s="22"/>
      <c r="O138" s="22"/>
      <c r="P138" s="22"/>
      <c r="Q138" s="22"/>
      <c r="R138" s="22"/>
      <c r="S138" s="22"/>
      <c r="T138" s="22">
        <f t="shared" si="16"/>
        <v>0</v>
      </c>
      <c r="U138" s="35">
        <v>0</v>
      </c>
      <c r="V138" s="37">
        <f t="shared" si="17"/>
        <v>0</v>
      </c>
    </row>
    <row r="139" spans="1:22" x14ac:dyDescent="0.25">
      <c r="A139" s="158"/>
      <c r="B139" s="150"/>
      <c r="C139" s="83" t="s">
        <v>46</v>
      </c>
      <c r="D139" s="84">
        <f>SUM(D128:D138)</f>
        <v>1369578</v>
      </c>
      <c r="E139" s="84">
        <f t="shared" ref="E139:U139" si="18">SUM(E128:E138)</f>
        <v>0</v>
      </c>
      <c r="F139" s="84">
        <f t="shared" si="18"/>
        <v>0</v>
      </c>
      <c r="G139" s="84">
        <f t="shared" si="18"/>
        <v>0</v>
      </c>
      <c r="H139" s="84">
        <f t="shared" si="18"/>
        <v>0</v>
      </c>
      <c r="I139" s="84">
        <f t="shared" si="18"/>
        <v>0</v>
      </c>
      <c r="J139" s="84">
        <f t="shared" si="18"/>
        <v>0</v>
      </c>
      <c r="K139" s="84">
        <f t="shared" si="18"/>
        <v>0</v>
      </c>
      <c r="L139" s="84">
        <f t="shared" si="18"/>
        <v>0</v>
      </c>
      <c r="M139" s="84">
        <f t="shared" si="18"/>
        <v>1369578</v>
      </c>
      <c r="N139" s="84">
        <f t="shared" si="18"/>
        <v>39886</v>
      </c>
      <c r="O139" s="84">
        <f t="shared" si="18"/>
        <v>0</v>
      </c>
      <c r="P139" s="84">
        <f t="shared" si="18"/>
        <v>0</v>
      </c>
      <c r="Q139" s="84">
        <f t="shared" si="18"/>
        <v>0</v>
      </c>
      <c r="R139" s="84">
        <f t="shared" si="18"/>
        <v>0</v>
      </c>
      <c r="S139" s="84">
        <f t="shared" si="18"/>
        <v>0</v>
      </c>
      <c r="T139" s="84">
        <f t="shared" si="16"/>
        <v>1409464</v>
      </c>
      <c r="U139" s="85">
        <f t="shared" si="18"/>
        <v>916337</v>
      </c>
      <c r="V139" s="86">
        <f t="shared" si="17"/>
        <v>493127</v>
      </c>
    </row>
    <row r="140" spans="1:22" x14ac:dyDescent="0.25">
      <c r="A140" s="158"/>
      <c r="B140" s="150"/>
      <c r="C140" s="124" t="s">
        <v>112</v>
      </c>
      <c r="D140" s="125"/>
      <c r="E140" s="125"/>
      <c r="F140" s="125"/>
      <c r="G140" s="125"/>
      <c r="H140" s="125"/>
      <c r="I140" s="125"/>
      <c r="J140" s="125"/>
      <c r="K140" s="125"/>
      <c r="L140" s="125"/>
      <c r="M140" s="125">
        <v>0</v>
      </c>
      <c r="N140" s="125">
        <v>154330</v>
      </c>
      <c r="O140" s="125"/>
      <c r="P140" s="125"/>
      <c r="Q140" s="125"/>
      <c r="R140" s="125"/>
      <c r="S140" s="125"/>
      <c r="T140" s="125">
        <f t="shared" si="16"/>
        <v>154330</v>
      </c>
      <c r="U140" s="126">
        <v>154330</v>
      </c>
      <c r="V140" s="127">
        <f t="shared" si="17"/>
        <v>0</v>
      </c>
    </row>
    <row r="141" spans="1:22" x14ac:dyDescent="0.25">
      <c r="A141" s="158"/>
      <c r="B141" s="150"/>
      <c r="C141" s="128" t="s">
        <v>113</v>
      </c>
      <c r="D141" s="129"/>
      <c r="E141" s="129"/>
      <c r="F141" s="129"/>
      <c r="G141" s="129"/>
      <c r="H141" s="129"/>
      <c r="I141" s="129"/>
      <c r="J141" s="129"/>
      <c r="K141" s="129"/>
      <c r="L141" s="129"/>
      <c r="M141" s="129">
        <v>0</v>
      </c>
      <c r="N141" s="125">
        <v>41669</v>
      </c>
      <c r="O141" s="125"/>
      <c r="P141" s="125"/>
      <c r="Q141" s="125"/>
      <c r="R141" s="125"/>
      <c r="S141" s="125"/>
      <c r="T141" s="125">
        <f t="shared" si="16"/>
        <v>41669</v>
      </c>
      <c r="U141" s="126">
        <v>41669</v>
      </c>
      <c r="V141" s="127">
        <f t="shared" si="17"/>
        <v>0</v>
      </c>
    </row>
    <row r="142" spans="1:22" x14ac:dyDescent="0.25">
      <c r="A142" s="158"/>
      <c r="B142" s="151"/>
      <c r="C142" s="83" t="s">
        <v>114</v>
      </c>
      <c r="D142" s="84"/>
      <c r="E142" s="84"/>
      <c r="F142" s="84"/>
      <c r="G142" s="84"/>
      <c r="H142" s="84"/>
      <c r="I142" s="84"/>
      <c r="J142" s="84"/>
      <c r="K142" s="84"/>
      <c r="L142" s="84"/>
      <c r="M142" s="84">
        <f>SUM(M140:M141)</f>
        <v>0</v>
      </c>
      <c r="N142" s="84">
        <f t="shared" ref="N142:Q142" si="19">SUM(N140:N141)</f>
        <v>195999</v>
      </c>
      <c r="O142" s="84">
        <f t="shared" si="19"/>
        <v>0</v>
      </c>
      <c r="P142" s="84">
        <f t="shared" si="19"/>
        <v>0</v>
      </c>
      <c r="Q142" s="84">
        <f t="shared" si="19"/>
        <v>0</v>
      </c>
      <c r="R142" s="84"/>
      <c r="S142" s="84"/>
      <c r="T142" s="84">
        <f>SUM(T140:T141)</f>
        <v>195999</v>
      </c>
      <c r="U142" s="84">
        <f t="shared" ref="U142" si="20">SUM(U140:U141)</f>
        <v>195999</v>
      </c>
      <c r="V142" s="84">
        <f t="shared" si="17"/>
        <v>0</v>
      </c>
    </row>
    <row r="143" spans="1:22" x14ac:dyDescent="0.25">
      <c r="A143" s="158"/>
      <c r="B143" s="138" t="s">
        <v>12</v>
      </c>
      <c r="C143" s="34" t="s">
        <v>40</v>
      </c>
      <c r="D143" s="22">
        <v>7773566</v>
      </c>
      <c r="E143" s="25"/>
      <c r="F143" s="22">
        <v>0</v>
      </c>
      <c r="G143" s="22"/>
      <c r="H143" s="22"/>
      <c r="I143" s="22"/>
      <c r="J143" s="22"/>
      <c r="K143" s="22"/>
      <c r="L143" s="22"/>
      <c r="M143" s="22">
        <f>D143+E143+F143+G143+H143+J143+I143+K143+L143</f>
        <v>7773566</v>
      </c>
      <c r="N143" s="22">
        <v>-18481</v>
      </c>
      <c r="O143" s="22"/>
      <c r="P143" s="22"/>
      <c r="Q143" s="22"/>
      <c r="R143" s="22"/>
      <c r="S143" s="22"/>
      <c r="T143" s="22">
        <f t="shared" si="16"/>
        <v>7755085</v>
      </c>
      <c r="U143" s="35">
        <v>4191722</v>
      </c>
      <c r="V143" s="39">
        <f t="shared" si="17"/>
        <v>3563363</v>
      </c>
    </row>
    <row r="144" spans="1:22" x14ac:dyDescent="0.25">
      <c r="A144" s="158"/>
      <c r="B144" s="138"/>
      <c r="C144" s="75" t="s">
        <v>63</v>
      </c>
      <c r="D144" s="22">
        <v>1095000</v>
      </c>
      <c r="E144" s="25"/>
      <c r="F144" s="22"/>
      <c r="G144" s="22"/>
      <c r="H144" s="22"/>
      <c r="I144" s="22"/>
      <c r="J144" s="22"/>
      <c r="K144" s="22"/>
      <c r="L144" s="22"/>
      <c r="M144" s="22">
        <f>D144+E144+F144+G144+H144+J144+I144+K144+L144</f>
        <v>1095000</v>
      </c>
      <c r="N144" s="22"/>
      <c r="O144" s="22"/>
      <c r="P144" s="22"/>
      <c r="Q144" s="22"/>
      <c r="R144" s="22"/>
      <c r="S144" s="22"/>
      <c r="T144" s="22">
        <f t="shared" si="16"/>
        <v>1095000</v>
      </c>
      <c r="U144" s="35">
        <v>1095000</v>
      </c>
      <c r="V144" s="39">
        <f t="shared" si="17"/>
        <v>0</v>
      </c>
    </row>
    <row r="145" spans="1:23" x14ac:dyDescent="0.25">
      <c r="A145" s="158"/>
      <c r="B145" s="138"/>
      <c r="C145" s="34" t="s">
        <v>47</v>
      </c>
      <c r="D145" s="22">
        <v>275000</v>
      </c>
      <c r="E145" s="22"/>
      <c r="F145" s="22"/>
      <c r="G145" s="22"/>
      <c r="H145" s="22"/>
      <c r="I145" s="22"/>
      <c r="J145" s="22"/>
      <c r="K145" s="22"/>
      <c r="L145" s="22"/>
      <c r="M145" s="22">
        <f>D145+E145+F145+G145+H145+J145+I145</f>
        <v>275000</v>
      </c>
      <c r="N145" s="22"/>
      <c r="O145" s="22"/>
      <c r="P145" s="22"/>
      <c r="Q145" s="22"/>
      <c r="R145" s="22"/>
      <c r="S145" s="22"/>
      <c r="T145" s="22">
        <f t="shared" si="16"/>
        <v>275000</v>
      </c>
      <c r="U145" s="35">
        <v>87500</v>
      </c>
      <c r="V145" s="39">
        <f t="shared" si="17"/>
        <v>187500</v>
      </c>
    </row>
    <row r="146" spans="1:23" x14ac:dyDescent="0.25">
      <c r="A146" s="158"/>
      <c r="B146" s="138"/>
      <c r="C146" s="34" t="s">
        <v>48</v>
      </c>
      <c r="D146" s="22">
        <v>30000</v>
      </c>
      <c r="E146" s="22"/>
      <c r="F146" s="22"/>
      <c r="G146" s="22"/>
      <c r="H146" s="22"/>
      <c r="I146" s="22"/>
      <c r="J146" s="22"/>
      <c r="K146" s="22"/>
      <c r="L146" s="22"/>
      <c r="M146" s="22">
        <f>D146+E146+F146+G146+H146+J146+I146</f>
        <v>30000</v>
      </c>
      <c r="N146" s="22"/>
      <c r="O146" s="22"/>
      <c r="P146" s="22"/>
      <c r="Q146" s="22"/>
      <c r="R146" s="22"/>
      <c r="S146" s="22"/>
      <c r="T146" s="22">
        <f t="shared" si="16"/>
        <v>30000</v>
      </c>
      <c r="U146" s="35">
        <v>0</v>
      </c>
      <c r="V146" s="39">
        <f t="shared" si="17"/>
        <v>30000</v>
      </c>
    </row>
    <row r="147" spans="1:23" x14ac:dyDescent="0.25">
      <c r="A147" s="158"/>
      <c r="B147" s="138"/>
      <c r="C147" s="34" t="s">
        <v>49</v>
      </c>
      <c r="D147" s="22">
        <v>0</v>
      </c>
      <c r="E147" s="22"/>
      <c r="F147" s="22"/>
      <c r="G147" s="22"/>
      <c r="H147" s="22"/>
      <c r="I147" s="22"/>
      <c r="J147" s="22"/>
      <c r="K147" s="22"/>
      <c r="L147" s="22"/>
      <c r="M147" s="22">
        <f>D147+E147+F147+G147+H147+J147+I147</f>
        <v>0</v>
      </c>
      <c r="N147" s="22"/>
      <c r="O147" s="22"/>
      <c r="P147" s="22"/>
      <c r="Q147" s="22"/>
      <c r="R147" s="22"/>
      <c r="S147" s="22"/>
      <c r="T147" s="22">
        <f t="shared" si="16"/>
        <v>0</v>
      </c>
      <c r="U147" s="35">
        <v>0</v>
      </c>
      <c r="V147" s="39">
        <f t="shared" si="17"/>
        <v>0</v>
      </c>
    </row>
    <row r="148" spans="1:23" x14ac:dyDescent="0.25">
      <c r="A148" s="158"/>
      <c r="B148" s="138"/>
      <c r="C148" s="34" t="s">
        <v>50</v>
      </c>
      <c r="D148" s="22">
        <v>36000</v>
      </c>
      <c r="E148" s="22"/>
      <c r="F148" s="22"/>
      <c r="G148" s="22"/>
      <c r="H148" s="22"/>
      <c r="I148" s="22"/>
      <c r="J148" s="22"/>
      <c r="K148" s="22"/>
      <c r="L148" s="22"/>
      <c r="M148" s="22">
        <f>D148+E148+F148+G148+H148+J148+I148</f>
        <v>36000</v>
      </c>
      <c r="N148" s="22"/>
      <c r="O148" s="22"/>
      <c r="P148" s="22"/>
      <c r="Q148" s="22"/>
      <c r="R148" s="22"/>
      <c r="S148" s="22"/>
      <c r="T148" s="22">
        <f t="shared" si="16"/>
        <v>36000</v>
      </c>
      <c r="U148" s="35">
        <v>13500</v>
      </c>
      <c r="V148" s="39">
        <f t="shared" si="17"/>
        <v>22500</v>
      </c>
    </row>
    <row r="149" spans="1:23" s="17" customFormat="1" x14ac:dyDescent="0.25">
      <c r="A149" s="158"/>
      <c r="B149" s="138"/>
      <c r="C149" s="92" t="s">
        <v>51</v>
      </c>
      <c r="D149" s="23">
        <v>19200</v>
      </c>
      <c r="E149" s="24">
        <v>4800</v>
      </c>
      <c r="F149" s="23"/>
      <c r="G149" s="23"/>
      <c r="H149" s="23"/>
      <c r="I149" s="23"/>
      <c r="J149" s="23"/>
      <c r="K149" s="23"/>
      <c r="L149" s="23"/>
      <c r="M149" s="23">
        <f>D149+E149+F149+G149+H149+J149+I149</f>
        <v>24000</v>
      </c>
      <c r="N149" s="23">
        <f>18481+519</f>
        <v>19000</v>
      </c>
      <c r="O149" s="23"/>
      <c r="P149" s="23"/>
      <c r="Q149" s="23"/>
      <c r="R149" s="23"/>
      <c r="S149" s="23"/>
      <c r="T149" s="23">
        <f t="shared" si="16"/>
        <v>43000</v>
      </c>
      <c r="U149" s="35">
        <v>43000</v>
      </c>
      <c r="V149" s="66">
        <f t="shared" si="17"/>
        <v>0</v>
      </c>
      <c r="W149" s="26"/>
    </row>
    <row r="150" spans="1:23" x14ac:dyDescent="0.25">
      <c r="A150" s="158"/>
      <c r="B150" s="138"/>
      <c r="C150" s="83" t="s">
        <v>41</v>
      </c>
      <c r="D150" s="84">
        <f>SUM(D143:D149)</f>
        <v>9228766</v>
      </c>
      <c r="E150" s="84">
        <f t="shared" ref="E150:L150" si="21">SUM(E143:E149)</f>
        <v>4800</v>
      </c>
      <c r="F150" s="84">
        <f t="shared" si="21"/>
        <v>0</v>
      </c>
      <c r="G150" s="84">
        <f t="shared" si="21"/>
        <v>0</v>
      </c>
      <c r="H150" s="84">
        <f t="shared" si="21"/>
        <v>0</v>
      </c>
      <c r="I150" s="84">
        <f t="shared" si="21"/>
        <v>0</v>
      </c>
      <c r="J150" s="84">
        <f t="shared" si="21"/>
        <v>0</v>
      </c>
      <c r="K150" s="84">
        <f t="shared" si="21"/>
        <v>0</v>
      </c>
      <c r="L150" s="84">
        <f t="shared" si="21"/>
        <v>0</v>
      </c>
      <c r="M150" s="84">
        <f>SUM(M143:M149)</f>
        <v>9233566</v>
      </c>
      <c r="N150" s="84">
        <f t="shared" ref="N150:Q150" si="22">SUM(N143:N149)</f>
        <v>519</v>
      </c>
      <c r="O150" s="84">
        <f t="shared" si="22"/>
        <v>0</v>
      </c>
      <c r="P150" s="84">
        <f t="shared" si="22"/>
        <v>0</v>
      </c>
      <c r="Q150" s="84">
        <f t="shared" si="22"/>
        <v>0</v>
      </c>
      <c r="R150" s="84"/>
      <c r="S150" s="84"/>
      <c r="T150" s="84">
        <f t="shared" si="16"/>
        <v>9234085</v>
      </c>
      <c r="U150" s="85">
        <f>SUM(U143:U149)</f>
        <v>5430722</v>
      </c>
      <c r="V150" s="86">
        <f t="shared" si="17"/>
        <v>3803363</v>
      </c>
    </row>
    <row r="151" spans="1:23" x14ac:dyDescent="0.25">
      <c r="A151" s="158"/>
      <c r="B151" s="138"/>
      <c r="C151" s="87" t="s">
        <v>42</v>
      </c>
      <c r="D151" s="88">
        <v>1464076</v>
      </c>
      <c r="E151" s="88"/>
      <c r="F151" s="88"/>
      <c r="G151" s="88"/>
      <c r="H151" s="88"/>
      <c r="I151" s="88"/>
      <c r="J151" s="88"/>
      <c r="K151" s="88"/>
      <c r="L151" s="88"/>
      <c r="M151" s="89">
        <f>D151+E151+F151+G151+H151+J151</f>
        <v>1464076</v>
      </c>
      <c r="N151" s="89"/>
      <c r="O151" s="89"/>
      <c r="P151" s="89"/>
      <c r="Q151" s="89"/>
      <c r="R151" s="89"/>
      <c r="S151" s="89"/>
      <c r="T151" s="89">
        <f t="shared" si="16"/>
        <v>1464076</v>
      </c>
      <c r="U151" s="90">
        <v>966618</v>
      </c>
      <c r="V151" s="91">
        <f t="shared" si="17"/>
        <v>497458</v>
      </c>
    </row>
    <row r="152" spans="1:23" x14ac:dyDescent="0.25">
      <c r="A152" s="158"/>
      <c r="B152" s="138"/>
      <c r="C152" s="34" t="s">
        <v>43</v>
      </c>
      <c r="D152" s="22">
        <v>0</v>
      </c>
      <c r="E152" s="22"/>
      <c r="F152" s="22"/>
      <c r="G152" s="22"/>
      <c r="H152" s="22"/>
      <c r="I152" s="22"/>
      <c r="J152" s="22"/>
      <c r="K152" s="22"/>
      <c r="L152" s="22"/>
      <c r="M152" s="22">
        <f t="shared" ref="M152:M164" si="23">D152+E152+F152+G152+H152+J152+I152</f>
        <v>0</v>
      </c>
      <c r="N152" s="22"/>
      <c r="O152" s="22"/>
      <c r="P152" s="22"/>
      <c r="Q152" s="22"/>
      <c r="R152" s="22"/>
      <c r="S152" s="22"/>
      <c r="T152" s="22">
        <f t="shared" si="16"/>
        <v>0</v>
      </c>
      <c r="U152" s="35">
        <v>0</v>
      </c>
      <c r="V152" s="37">
        <f t="shared" si="17"/>
        <v>0</v>
      </c>
    </row>
    <row r="153" spans="1:23" s="17" customFormat="1" x14ac:dyDescent="0.25">
      <c r="A153" s="158"/>
      <c r="B153" s="138"/>
      <c r="C153" s="65" t="s">
        <v>53</v>
      </c>
      <c r="D153" s="23">
        <v>285000</v>
      </c>
      <c r="E153" s="24"/>
      <c r="F153" s="23"/>
      <c r="G153" s="23"/>
      <c r="H153" s="23"/>
      <c r="I153" s="23"/>
      <c r="J153" s="23"/>
      <c r="K153" s="23"/>
      <c r="L153" s="23"/>
      <c r="M153" s="23">
        <f t="shared" si="23"/>
        <v>285000</v>
      </c>
      <c r="N153" s="23"/>
      <c r="O153" s="23"/>
      <c r="P153" s="23"/>
      <c r="Q153" s="23"/>
      <c r="R153" s="23"/>
      <c r="S153" s="23"/>
      <c r="T153" s="23">
        <f t="shared" si="16"/>
        <v>285000</v>
      </c>
      <c r="U153" s="66">
        <v>51596</v>
      </c>
      <c r="V153" s="66">
        <f t="shared" si="17"/>
        <v>233404</v>
      </c>
      <c r="W153" s="26"/>
    </row>
    <row r="154" spans="1:23" x14ac:dyDescent="0.25">
      <c r="A154" s="158"/>
      <c r="B154" s="138"/>
      <c r="C154" s="34" t="s">
        <v>54</v>
      </c>
      <c r="D154" s="22">
        <v>48432</v>
      </c>
      <c r="E154" s="22"/>
      <c r="F154" s="22"/>
      <c r="G154" s="22"/>
      <c r="H154" s="22"/>
      <c r="I154" s="22"/>
      <c r="J154" s="22"/>
      <c r="K154" s="22"/>
      <c r="L154" s="22"/>
      <c r="M154" s="22">
        <f t="shared" si="23"/>
        <v>48432</v>
      </c>
      <c r="N154" s="22"/>
      <c r="O154" s="22"/>
      <c r="P154" s="22"/>
      <c r="Q154" s="22"/>
      <c r="R154" s="22"/>
      <c r="S154" s="22"/>
      <c r="T154" s="22">
        <f t="shared" si="16"/>
        <v>48432</v>
      </c>
      <c r="U154" s="35">
        <v>32248</v>
      </c>
      <c r="V154" s="39">
        <f t="shared" si="17"/>
        <v>16184</v>
      </c>
    </row>
    <row r="155" spans="1:23" x14ac:dyDescent="0.25">
      <c r="A155" s="158"/>
      <c r="B155" s="138"/>
      <c r="C155" s="34" t="s">
        <v>55</v>
      </c>
      <c r="D155" s="22">
        <v>39110</v>
      </c>
      <c r="E155" s="22"/>
      <c r="F155" s="22"/>
      <c r="G155" s="22"/>
      <c r="H155" s="22"/>
      <c r="I155" s="22"/>
      <c r="J155" s="22"/>
      <c r="K155" s="22"/>
      <c r="L155" s="22"/>
      <c r="M155" s="22">
        <f t="shared" si="23"/>
        <v>39110</v>
      </c>
      <c r="N155" s="22"/>
      <c r="O155" s="22"/>
      <c r="P155" s="22"/>
      <c r="Q155" s="22"/>
      <c r="R155" s="22"/>
      <c r="S155" s="22"/>
      <c r="T155" s="22">
        <f t="shared" si="16"/>
        <v>39110</v>
      </c>
      <c r="U155" s="35">
        <v>25878</v>
      </c>
      <c r="V155" s="39">
        <f t="shared" si="17"/>
        <v>13232</v>
      </c>
    </row>
    <row r="156" spans="1:23" x14ac:dyDescent="0.25">
      <c r="A156" s="158"/>
      <c r="B156" s="138"/>
      <c r="C156" s="34" t="s">
        <v>56</v>
      </c>
      <c r="D156" s="22">
        <v>560000</v>
      </c>
      <c r="E156" s="22"/>
      <c r="F156" s="22"/>
      <c r="G156" s="22"/>
      <c r="H156" s="22"/>
      <c r="I156" s="22"/>
      <c r="J156" s="22"/>
      <c r="K156" s="22"/>
      <c r="L156" s="22"/>
      <c r="M156" s="22">
        <f t="shared" si="23"/>
        <v>560000</v>
      </c>
      <c r="N156" s="22"/>
      <c r="O156" s="22"/>
      <c r="P156" s="22"/>
      <c r="Q156" s="22"/>
      <c r="R156" s="22"/>
      <c r="S156" s="22"/>
      <c r="T156" s="22">
        <f t="shared" si="16"/>
        <v>560000</v>
      </c>
      <c r="U156" s="35">
        <f>425245-11977</f>
        <v>413268</v>
      </c>
      <c r="V156" s="39">
        <f t="shared" si="17"/>
        <v>146732</v>
      </c>
    </row>
    <row r="157" spans="1:23" x14ac:dyDescent="0.25">
      <c r="A157" s="158"/>
      <c r="B157" s="138"/>
      <c r="C157" s="34" t="s">
        <v>61</v>
      </c>
      <c r="D157" s="22">
        <v>1186570</v>
      </c>
      <c r="E157" s="22"/>
      <c r="F157" s="22"/>
      <c r="G157" s="22"/>
      <c r="H157" s="22"/>
      <c r="I157" s="22"/>
      <c r="J157" s="22"/>
      <c r="K157" s="22"/>
      <c r="L157" s="22"/>
      <c r="M157" s="22">
        <f t="shared" si="23"/>
        <v>1186570</v>
      </c>
      <c r="N157" s="22"/>
      <c r="O157" s="22"/>
      <c r="P157" s="22"/>
      <c r="Q157" s="22"/>
      <c r="R157" s="22"/>
      <c r="S157" s="22"/>
      <c r="T157" s="22">
        <f t="shared" si="16"/>
        <v>1186570</v>
      </c>
      <c r="U157" s="35">
        <v>591559</v>
      </c>
      <c r="V157" s="39">
        <f t="shared" si="17"/>
        <v>595011</v>
      </c>
    </row>
    <row r="158" spans="1:23" x14ac:dyDescent="0.25">
      <c r="A158" s="158"/>
      <c r="B158" s="138"/>
      <c r="C158" s="34" t="s">
        <v>62</v>
      </c>
      <c r="D158" s="22">
        <v>523200</v>
      </c>
      <c r="E158" s="22"/>
      <c r="F158" s="22"/>
      <c r="G158" s="22"/>
      <c r="H158" s="22"/>
      <c r="I158" s="22"/>
      <c r="J158" s="22"/>
      <c r="K158" s="22"/>
      <c r="L158" s="22"/>
      <c r="M158" s="22">
        <f t="shared" si="23"/>
        <v>523200</v>
      </c>
      <c r="N158" s="22"/>
      <c r="O158" s="22"/>
      <c r="P158" s="22"/>
      <c r="Q158" s="22"/>
      <c r="R158" s="22"/>
      <c r="S158" s="22"/>
      <c r="T158" s="22">
        <f t="shared" si="16"/>
        <v>523200</v>
      </c>
      <c r="U158" s="35">
        <v>348800</v>
      </c>
      <c r="V158" s="39">
        <f t="shared" si="17"/>
        <v>174400</v>
      </c>
    </row>
    <row r="159" spans="1:23" x14ac:dyDescent="0.25">
      <c r="A159" s="158"/>
      <c r="B159" s="138"/>
      <c r="C159" s="34" t="s">
        <v>57</v>
      </c>
      <c r="D159" s="25">
        <v>150000</v>
      </c>
      <c r="E159" s="22">
        <v>-150000</v>
      </c>
      <c r="F159" s="22"/>
      <c r="G159" s="22"/>
      <c r="H159" s="22"/>
      <c r="I159" s="22"/>
      <c r="J159" s="22"/>
      <c r="K159" s="22"/>
      <c r="L159" s="22"/>
      <c r="M159" s="22">
        <f t="shared" si="23"/>
        <v>0</v>
      </c>
      <c r="N159" s="22">
        <v>2520</v>
      </c>
      <c r="O159" s="22"/>
      <c r="P159" s="22"/>
      <c r="Q159" s="22"/>
      <c r="R159" s="22"/>
      <c r="S159" s="22"/>
      <c r="T159" s="22">
        <f>SUM(M159:S159)</f>
        <v>2520</v>
      </c>
      <c r="U159" s="35">
        <v>2520</v>
      </c>
      <c r="V159" s="39">
        <f t="shared" si="17"/>
        <v>0</v>
      </c>
    </row>
    <row r="160" spans="1:23" x14ac:dyDescent="0.25">
      <c r="A160" s="158"/>
      <c r="B160" s="138"/>
      <c r="C160" s="34" t="s">
        <v>44</v>
      </c>
      <c r="D160" s="22">
        <v>23600</v>
      </c>
      <c r="E160" s="22"/>
      <c r="F160" s="22"/>
      <c r="G160" s="22"/>
      <c r="H160" s="22"/>
      <c r="I160" s="22"/>
      <c r="J160" s="22"/>
      <c r="K160" s="22"/>
      <c r="L160" s="22"/>
      <c r="M160" s="22">
        <f t="shared" si="23"/>
        <v>23600</v>
      </c>
      <c r="N160" s="22"/>
      <c r="O160" s="22"/>
      <c r="P160" s="22"/>
      <c r="Q160" s="22"/>
      <c r="R160" s="22"/>
      <c r="S160" s="22"/>
      <c r="T160" s="22">
        <f t="shared" si="16"/>
        <v>23600</v>
      </c>
      <c r="U160" s="35">
        <v>5500</v>
      </c>
      <c r="V160" s="39">
        <f t="shared" si="17"/>
        <v>18100</v>
      </c>
    </row>
    <row r="161" spans="1:23" x14ac:dyDescent="0.25">
      <c r="A161" s="158"/>
      <c r="B161" s="138"/>
      <c r="C161" s="34" t="s">
        <v>58</v>
      </c>
      <c r="D161" s="22">
        <v>173728</v>
      </c>
      <c r="E161" s="22"/>
      <c r="F161" s="22"/>
      <c r="G161" s="22"/>
      <c r="H161" s="22"/>
      <c r="I161" s="22"/>
      <c r="J161" s="22"/>
      <c r="K161" s="22"/>
      <c r="L161" s="22"/>
      <c r="M161" s="22">
        <f t="shared" si="23"/>
        <v>173728</v>
      </c>
      <c r="N161" s="25">
        <f>-2520-51541</f>
        <v>-54061</v>
      </c>
      <c r="O161" s="22"/>
      <c r="P161" s="22"/>
      <c r="Q161" s="22"/>
      <c r="R161" s="22"/>
      <c r="S161" s="22"/>
      <c r="T161" s="22">
        <f t="shared" si="16"/>
        <v>119667</v>
      </c>
      <c r="U161" s="35">
        <v>50404</v>
      </c>
      <c r="V161" s="39">
        <f t="shared" si="17"/>
        <v>69263</v>
      </c>
    </row>
    <row r="162" spans="1:23" x14ac:dyDescent="0.25">
      <c r="A162" s="158"/>
      <c r="B162" s="138"/>
      <c r="C162" s="34" t="s">
        <v>59</v>
      </c>
      <c r="D162" s="22">
        <v>0</v>
      </c>
      <c r="E162" s="22"/>
      <c r="F162" s="22"/>
      <c r="G162" s="22"/>
      <c r="H162" s="22"/>
      <c r="I162" s="22"/>
      <c r="J162" s="22"/>
      <c r="K162" s="22"/>
      <c r="L162" s="22"/>
      <c r="M162" s="22">
        <f t="shared" si="23"/>
        <v>0</v>
      </c>
      <c r="N162" s="22"/>
      <c r="O162" s="22"/>
      <c r="P162" s="22"/>
      <c r="Q162" s="22"/>
      <c r="R162" s="22"/>
      <c r="S162" s="22"/>
      <c r="T162" s="22">
        <f t="shared" si="16"/>
        <v>0</v>
      </c>
      <c r="U162" s="35">
        <v>0</v>
      </c>
      <c r="V162" s="37">
        <f t="shared" si="17"/>
        <v>0</v>
      </c>
    </row>
    <row r="163" spans="1:23" x14ac:dyDescent="0.25">
      <c r="A163" s="158"/>
      <c r="B163" s="138"/>
      <c r="C163" s="34" t="s">
        <v>45</v>
      </c>
      <c r="D163" s="22">
        <v>682276</v>
      </c>
      <c r="E163" s="22"/>
      <c r="F163" s="22"/>
      <c r="G163" s="22"/>
      <c r="H163" s="22"/>
      <c r="I163" s="22"/>
      <c r="J163" s="22"/>
      <c r="K163" s="22"/>
      <c r="L163" s="22"/>
      <c r="M163" s="22">
        <f t="shared" si="23"/>
        <v>682276</v>
      </c>
      <c r="N163" s="22"/>
      <c r="O163" s="22"/>
      <c r="P163" s="22"/>
      <c r="Q163" s="22"/>
      <c r="R163" s="22"/>
      <c r="S163" s="22"/>
      <c r="T163" s="22">
        <f t="shared" si="16"/>
        <v>682276</v>
      </c>
      <c r="U163" s="35">
        <f>318056-2905</f>
        <v>315151</v>
      </c>
      <c r="V163" s="37">
        <f t="shared" si="17"/>
        <v>367125</v>
      </c>
    </row>
    <row r="164" spans="1:23" x14ac:dyDescent="0.25">
      <c r="A164" s="158"/>
      <c r="B164" s="138"/>
      <c r="C164" s="34" t="s">
        <v>60</v>
      </c>
      <c r="D164" s="22">
        <v>0</v>
      </c>
      <c r="E164" s="22"/>
      <c r="F164" s="22"/>
      <c r="G164" s="22"/>
      <c r="H164" s="22"/>
      <c r="I164" s="22"/>
      <c r="J164" s="22"/>
      <c r="K164" s="22"/>
      <c r="L164" s="22"/>
      <c r="M164" s="22">
        <f t="shared" si="23"/>
        <v>0</v>
      </c>
      <c r="N164" s="22"/>
      <c r="O164" s="22"/>
      <c r="P164" s="22"/>
      <c r="Q164" s="22"/>
      <c r="R164" s="22"/>
      <c r="S164" s="22"/>
      <c r="T164" s="22">
        <f t="shared" si="16"/>
        <v>0</v>
      </c>
      <c r="U164" s="35">
        <v>0</v>
      </c>
      <c r="V164" s="37">
        <f t="shared" si="17"/>
        <v>0</v>
      </c>
    </row>
    <row r="165" spans="1:23" x14ac:dyDescent="0.25">
      <c r="A165" s="158"/>
      <c r="B165" s="138"/>
      <c r="C165" s="83" t="s">
        <v>46</v>
      </c>
      <c r="D165" s="84">
        <f>SUM(D152:D164)</f>
        <v>3671916</v>
      </c>
      <c r="E165" s="84">
        <f t="shared" ref="E165:U165" si="24">SUM(E152:E164)</f>
        <v>-150000</v>
      </c>
      <c r="F165" s="84">
        <f t="shared" si="24"/>
        <v>0</v>
      </c>
      <c r="G165" s="84">
        <f t="shared" si="24"/>
        <v>0</v>
      </c>
      <c r="H165" s="84">
        <f t="shared" si="24"/>
        <v>0</v>
      </c>
      <c r="I165" s="84">
        <f t="shared" si="24"/>
        <v>0</v>
      </c>
      <c r="J165" s="84">
        <f t="shared" si="24"/>
        <v>0</v>
      </c>
      <c r="K165" s="84">
        <f t="shared" si="24"/>
        <v>0</v>
      </c>
      <c r="L165" s="84">
        <f t="shared" si="24"/>
        <v>0</v>
      </c>
      <c r="M165" s="84">
        <f t="shared" si="24"/>
        <v>3521916</v>
      </c>
      <c r="N165" s="84">
        <f t="shared" si="24"/>
        <v>-51541</v>
      </c>
      <c r="O165" s="84">
        <f t="shared" si="24"/>
        <v>0</v>
      </c>
      <c r="P165" s="84">
        <f t="shared" si="24"/>
        <v>0</v>
      </c>
      <c r="Q165" s="84">
        <f t="shared" si="24"/>
        <v>0</v>
      </c>
      <c r="R165" s="84"/>
      <c r="S165" s="84"/>
      <c r="T165" s="84">
        <f t="shared" si="16"/>
        <v>3470375</v>
      </c>
      <c r="U165" s="85">
        <f t="shared" si="24"/>
        <v>1836924</v>
      </c>
      <c r="V165" s="86">
        <f t="shared" si="17"/>
        <v>1633451</v>
      </c>
    </row>
    <row r="166" spans="1:23" x14ac:dyDescent="0.25">
      <c r="A166" s="158"/>
      <c r="B166" s="139" t="s">
        <v>13</v>
      </c>
      <c r="C166" s="34" t="s">
        <v>40</v>
      </c>
      <c r="D166" s="22">
        <v>16497451</v>
      </c>
      <c r="E166" s="22">
        <v>-306210</v>
      </c>
      <c r="F166" s="22"/>
      <c r="G166" s="22"/>
      <c r="H166" s="22"/>
      <c r="I166" s="22"/>
      <c r="J166" s="22"/>
      <c r="K166" s="22"/>
      <c r="L166" s="22"/>
      <c r="M166" s="22">
        <f t="shared" ref="M166:M171" si="25">D166+E166+F166+G166+H166+J166+I166</f>
        <v>16191241</v>
      </c>
      <c r="N166" s="22"/>
      <c r="O166" s="22"/>
      <c r="P166" s="22"/>
      <c r="Q166" s="22"/>
      <c r="R166" s="22"/>
      <c r="S166" s="22"/>
      <c r="T166" s="22">
        <f t="shared" si="16"/>
        <v>16191241</v>
      </c>
      <c r="U166" s="35">
        <v>8449047</v>
      </c>
      <c r="V166" s="37">
        <f t="shared" si="17"/>
        <v>7742194</v>
      </c>
    </row>
    <row r="167" spans="1:23" x14ac:dyDescent="0.25">
      <c r="A167" s="158"/>
      <c r="B167" s="150"/>
      <c r="C167" s="34" t="s">
        <v>47</v>
      </c>
      <c r="D167" s="22">
        <v>661300</v>
      </c>
      <c r="E167" s="22"/>
      <c r="F167" s="22"/>
      <c r="G167" s="22"/>
      <c r="H167" s="22"/>
      <c r="I167" s="22"/>
      <c r="J167" s="22"/>
      <c r="K167" s="22"/>
      <c r="L167" s="22"/>
      <c r="M167" s="22">
        <f t="shared" si="25"/>
        <v>661300</v>
      </c>
      <c r="N167" s="22"/>
      <c r="O167" s="22"/>
      <c r="P167" s="22"/>
      <c r="Q167" s="22"/>
      <c r="R167" s="22"/>
      <c r="S167" s="22"/>
      <c r="T167" s="22">
        <f t="shared" si="16"/>
        <v>661300</v>
      </c>
      <c r="U167" s="35">
        <f>206312-11333</f>
        <v>194979</v>
      </c>
      <c r="V167" s="37">
        <f t="shared" si="17"/>
        <v>466321</v>
      </c>
    </row>
    <row r="168" spans="1:23" x14ac:dyDescent="0.25">
      <c r="A168" s="158"/>
      <c r="B168" s="150"/>
      <c r="C168" s="34" t="s">
        <v>48</v>
      </c>
      <c r="D168" s="22">
        <v>68630</v>
      </c>
      <c r="E168" s="22"/>
      <c r="F168" s="22"/>
      <c r="G168" s="22"/>
      <c r="H168" s="22"/>
      <c r="I168" s="22"/>
      <c r="J168" s="22"/>
      <c r="K168" s="22"/>
      <c r="L168" s="22"/>
      <c r="M168" s="22">
        <f t="shared" si="25"/>
        <v>68630</v>
      </c>
      <c r="N168" s="22"/>
      <c r="O168" s="22"/>
      <c r="P168" s="22"/>
      <c r="Q168" s="22"/>
      <c r="R168" s="22"/>
      <c r="S168" s="22"/>
      <c r="T168" s="22">
        <f t="shared" si="16"/>
        <v>68630</v>
      </c>
      <c r="U168" s="35">
        <v>0</v>
      </c>
      <c r="V168" s="37">
        <f t="shared" si="17"/>
        <v>68630</v>
      </c>
    </row>
    <row r="169" spans="1:23" x14ac:dyDescent="0.25">
      <c r="A169" s="158"/>
      <c r="B169" s="150"/>
      <c r="C169" s="34" t="s">
        <v>49</v>
      </c>
      <c r="D169" s="22">
        <v>420000</v>
      </c>
      <c r="E169" s="22"/>
      <c r="F169" s="22"/>
      <c r="G169" s="22"/>
      <c r="H169" s="22"/>
      <c r="I169" s="22"/>
      <c r="J169" s="22"/>
      <c r="K169" s="22"/>
      <c r="L169" s="22"/>
      <c r="M169" s="22">
        <f t="shared" si="25"/>
        <v>420000</v>
      </c>
      <c r="N169" s="22"/>
      <c r="O169" s="22"/>
      <c r="P169" s="22"/>
      <c r="Q169" s="22"/>
      <c r="R169" s="22"/>
      <c r="S169" s="22"/>
      <c r="T169" s="22">
        <f t="shared" si="16"/>
        <v>420000</v>
      </c>
      <c r="U169" s="35">
        <v>0</v>
      </c>
      <c r="V169" s="37">
        <f t="shared" si="17"/>
        <v>420000</v>
      </c>
    </row>
    <row r="170" spans="1:23" x14ac:dyDescent="0.25">
      <c r="A170" s="158"/>
      <c r="B170" s="150"/>
      <c r="C170" s="34" t="s">
        <v>50</v>
      </c>
      <c r="D170" s="22">
        <v>79500</v>
      </c>
      <c r="E170" s="22"/>
      <c r="F170" s="22"/>
      <c r="G170" s="22"/>
      <c r="H170" s="22"/>
      <c r="I170" s="22"/>
      <c r="J170" s="22"/>
      <c r="K170" s="22"/>
      <c r="L170" s="22"/>
      <c r="M170" s="22">
        <f t="shared" si="25"/>
        <v>79500</v>
      </c>
      <c r="N170" s="22"/>
      <c r="O170" s="22"/>
      <c r="P170" s="22"/>
      <c r="Q170" s="22"/>
      <c r="R170" s="22"/>
      <c r="S170" s="22"/>
      <c r="T170" s="22">
        <f t="shared" si="16"/>
        <v>79500</v>
      </c>
      <c r="U170" s="35">
        <v>23000</v>
      </c>
      <c r="V170" s="37">
        <f t="shared" si="17"/>
        <v>56500</v>
      </c>
    </row>
    <row r="171" spans="1:23" s="17" customFormat="1" x14ac:dyDescent="0.25">
      <c r="A171" s="158"/>
      <c r="B171" s="150"/>
      <c r="C171" s="65" t="s">
        <v>51</v>
      </c>
      <c r="D171" s="23">
        <v>10800</v>
      </c>
      <c r="E171" s="24">
        <f>306210-4800</f>
        <v>301410</v>
      </c>
      <c r="F171" s="23"/>
      <c r="G171" s="23"/>
      <c r="H171" s="23"/>
      <c r="I171" s="23"/>
      <c r="J171" s="23"/>
      <c r="K171" s="23"/>
      <c r="L171" s="23"/>
      <c r="M171" s="23">
        <f t="shared" si="25"/>
        <v>312210</v>
      </c>
      <c r="N171" s="23">
        <v>-519</v>
      </c>
      <c r="O171" s="23"/>
      <c r="P171" s="23"/>
      <c r="Q171" s="23"/>
      <c r="R171" s="23"/>
      <c r="S171" s="23"/>
      <c r="T171" s="23">
        <f t="shared" si="16"/>
        <v>311691</v>
      </c>
      <c r="U171" s="35">
        <v>279616</v>
      </c>
      <c r="V171" s="66">
        <f t="shared" si="17"/>
        <v>32075</v>
      </c>
      <c r="W171" s="26"/>
    </row>
    <row r="172" spans="1:23" x14ac:dyDescent="0.25">
      <c r="A172" s="158"/>
      <c r="B172" s="150"/>
      <c r="C172" s="83" t="s">
        <v>41</v>
      </c>
      <c r="D172" s="84">
        <f>SUM(D166:D171)</f>
        <v>17737681</v>
      </c>
      <c r="E172" s="84">
        <f t="shared" ref="E172:U172" si="26">SUM(E166:E171)</f>
        <v>-4800</v>
      </c>
      <c r="F172" s="84">
        <f t="shared" si="26"/>
        <v>0</v>
      </c>
      <c r="G172" s="84">
        <f t="shared" si="26"/>
        <v>0</v>
      </c>
      <c r="H172" s="84">
        <f t="shared" si="26"/>
        <v>0</v>
      </c>
      <c r="I172" s="84">
        <f t="shared" si="26"/>
        <v>0</v>
      </c>
      <c r="J172" s="84">
        <f t="shared" si="26"/>
        <v>0</v>
      </c>
      <c r="K172" s="84">
        <f t="shared" si="26"/>
        <v>0</v>
      </c>
      <c r="L172" s="84">
        <f t="shared" si="26"/>
        <v>0</v>
      </c>
      <c r="M172" s="84">
        <f t="shared" si="26"/>
        <v>17732881</v>
      </c>
      <c r="N172" s="84">
        <f t="shared" si="26"/>
        <v>-519</v>
      </c>
      <c r="O172" s="84">
        <f t="shared" si="26"/>
        <v>0</v>
      </c>
      <c r="P172" s="84">
        <f t="shared" si="26"/>
        <v>0</v>
      </c>
      <c r="Q172" s="84">
        <f t="shared" si="26"/>
        <v>0</v>
      </c>
      <c r="R172" s="84"/>
      <c r="S172" s="84"/>
      <c r="T172" s="84">
        <f t="shared" si="16"/>
        <v>17732362</v>
      </c>
      <c r="U172" s="85">
        <f t="shared" si="26"/>
        <v>8946642</v>
      </c>
      <c r="V172" s="86">
        <f t="shared" si="17"/>
        <v>8785720</v>
      </c>
    </row>
    <row r="173" spans="1:23" x14ac:dyDescent="0.25">
      <c r="A173" s="158"/>
      <c r="B173" s="150"/>
      <c r="C173" s="87" t="s">
        <v>42</v>
      </c>
      <c r="D173" s="88">
        <v>2749934</v>
      </c>
      <c r="E173" s="88"/>
      <c r="F173" s="88"/>
      <c r="G173" s="88"/>
      <c r="H173" s="88"/>
      <c r="I173" s="88"/>
      <c r="J173" s="88"/>
      <c r="K173" s="88"/>
      <c r="L173" s="88"/>
      <c r="M173" s="89">
        <f>D173+E173+F173+G173+H173+J173</f>
        <v>2749934</v>
      </c>
      <c r="N173" s="89"/>
      <c r="O173" s="89"/>
      <c r="P173" s="89"/>
      <c r="Q173" s="89"/>
      <c r="R173" s="89"/>
      <c r="S173" s="89"/>
      <c r="T173" s="89">
        <f t="shared" si="16"/>
        <v>2749934</v>
      </c>
      <c r="U173" s="90">
        <f>1413123-1293</f>
        <v>1411830</v>
      </c>
      <c r="V173" s="91">
        <f t="shared" si="17"/>
        <v>1338104</v>
      </c>
    </row>
    <row r="174" spans="1:23" x14ac:dyDescent="0.25">
      <c r="A174" s="158"/>
      <c r="B174" s="150"/>
      <c r="C174" s="34" t="s">
        <v>43</v>
      </c>
      <c r="D174" s="22">
        <v>50000</v>
      </c>
      <c r="E174" s="22"/>
      <c r="F174" s="22"/>
      <c r="G174" s="22"/>
      <c r="H174" s="22"/>
      <c r="I174" s="22"/>
      <c r="J174" s="22"/>
      <c r="K174" s="22"/>
      <c r="L174" s="22"/>
      <c r="M174" s="22">
        <f t="shared" ref="M174:M185" si="27">D174+E174+F174+G174+H174+J174+I174</f>
        <v>50000</v>
      </c>
      <c r="N174" s="22"/>
      <c r="O174" s="22"/>
      <c r="P174" s="22"/>
      <c r="Q174" s="22"/>
      <c r="R174" s="22"/>
      <c r="S174" s="22"/>
      <c r="T174" s="22">
        <f t="shared" si="16"/>
        <v>50000</v>
      </c>
      <c r="U174" s="35">
        <v>19729</v>
      </c>
      <c r="V174" s="37">
        <f t="shared" si="17"/>
        <v>30271</v>
      </c>
    </row>
    <row r="175" spans="1:23" x14ac:dyDescent="0.25">
      <c r="A175" s="158"/>
      <c r="B175" s="150"/>
      <c r="C175" s="34" t="s">
        <v>53</v>
      </c>
      <c r="D175" s="22">
        <v>205000</v>
      </c>
      <c r="E175" s="22"/>
      <c r="F175" s="22"/>
      <c r="G175" s="22"/>
      <c r="H175" s="22"/>
      <c r="I175" s="22"/>
      <c r="J175" s="22"/>
      <c r="K175" s="22"/>
      <c r="L175" s="22"/>
      <c r="M175" s="22">
        <f t="shared" si="27"/>
        <v>205000</v>
      </c>
      <c r="N175" s="22">
        <v>-100000</v>
      </c>
      <c r="O175" s="22"/>
      <c r="P175" s="22"/>
      <c r="Q175" s="22"/>
      <c r="R175" s="22"/>
      <c r="S175" s="22"/>
      <c r="T175" s="22">
        <f t="shared" si="16"/>
        <v>105000</v>
      </c>
      <c r="U175" s="35">
        <v>0</v>
      </c>
      <c r="V175" s="39">
        <f t="shared" si="17"/>
        <v>105000</v>
      </c>
    </row>
    <row r="176" spans="1:23" x14ac:dyDescent="0.25">
      <c r="A176" s="158"/>
      <c r="B176" s="150"/>
      <c r="C176" s="34" t="s">
        <v>54</v>
      </c>
      <c r="D176" s="22">
        <v>158160</v>
      </c>
      <c r="E176" s="22"/>
      <c r="F176" s="22"/>
      <c r="G176" s="22"/>
      <c r="H176" s="22"/>
      <c r="I176" s="22"/>
      <c r="J176" s="22"/>
      <c r="K176" s="22"/>
      <c r="L176" s="22"/>
      <c r="M176" s="22">
        <f t="shared" si="27"/>
        <v>158160</v>
      </c>
      <c r="N176" s="22"/>
      <c r="O176" s="22"/>
      <c r="P176" s="22"/>
      <c r="Q176" s="22"/>
      <c r="R176" s="22"/>
      <c r="S176" s="22"/>
      <c r="T176" s="22">
        <f t="shared" si="16"/>
        <v>158160</v>
      </c>
      <c r="U176" s="35">
        <v>105440</v>
      </c>
      <c r="V176" s="37">
        <f t="shared" si="17"/>
        <v>52720</v>
      </c>
    </row>
    <row r="177" spans="1:22" x14ac:dyDescent="0.25">
      <c r="A177" s="158"/>
      <c r="B177" s="150"/>
      <c r="C177" s="34" t="s">
        <v>55</v>
      </c>
      <c r="D177" s="22">
        <v>164520</v>
      </c>
      <c r="E177" s="22"/>
      <c r="F177" s="22"/>
      <c r="G177" s="22"/>
      <c r="H177" s="22"/>
      <c r="I177" s="22"/>
      <c r="J177" s="22"/>
      <c r="K177" s="22"/>
      <c r="L177" s="22"/>
      <c r="M177" s="22">
        <f t="shared" si="27"/>
        <v>164520</v>
      </c>
      <c r="N177" s="22"/>
      <c r="O177" s="22"/>
      <c r="P177" s="22"/>
      <c r="Q177" s="22"/>
      <c r="R177" s="22"/>
      <c r="S177" s="22"/>
      <c r="T177" s="22">
        <f t="shared" si="16"/>
        <v>164520</v>
      </c>
      <c r="U177" s="35">
        <v>110192</v>
      </c>
      <c r="V177" s="37">
        <f t="shared" si="17"/>
        <v>54328</v>
      </c>
    </row>
    <row r="178" spans="1:22" x14ac:dyDescent="0.25">
      <c r="A178" s="158"/>
      <c r="B178" s="150"/>
      <c r="C178" s="34" t="s">
        <v>56</v>
      </c>
      <c r="D178" s="22">
        <v>2715000</v>
      </c>
      <c r="E178" s="22"/>
      <c r="F178" s="22"/>
      <c r="G178" s="22"/>
      <c r="H178" s="22"/>
      <c r="I178" s="22"/>
      <c r="J178" s="22"/>
      <c r="K178" s="22"/>
      <c r="L178" s="22"/>
      <c r="M178" s="22">
        <f t="shared" si="27"/>
        <v>2715000</v>
      </c>
      <c r="N178" s="22"/>
      <c r="O178" s="22">
        <v>-221036</v>
      </c>
      <c r="P178" s="22"/>
      <c r="Q178" s="22"/>
      <c r="R178" s="22"/>
      <c r="S178" s="22"/>
      <c r="T178" s="22">
        <f t="shared" si="16"/>
        <v>2493964</v>
      </c>
      <c r="U178" s="35">
        <f>1304837-141136</f>
        <v>1163701</v>
      </c>
      <c r="V178" s="37">
        <f t="shared" si="17"/>
        <v>1330263</v>
      </c>
    </row>
    <row r="179" spans="1:22" x14ac:dyDescent="0.25">
      <c r="A179" s="158"/>
      <c r="B179" s="150"/>
      <c r="C179" s="34" t="s">
        <v>62</v>
      </c>
      <c r="D179" s="22">
        <v>0</v>
      </c>
      <c r="E179" s="22"/>
      <c r="F179" s="22"/>
      <c r="G179" s="22"/>
      <c r="H179" s="22"/>
      <c r="I179" s="22"/>
      <c r="J179" s="22"/>
      <c r="K179" s="22"/>
      <c r="L179" s="22"/>
      <c r="M179" s="22">
        <f t="shared" si="27"/>
        <v>0</v>
      </c>
      <c r="N179" s="22"/>
      <c r="O179" s="22"/>
      <c r="P179" s="22"/>
      <c r="Q179" s="22"/>
      <c r="R179" s="22"/>
      <c r="S179" s="22"/>
      <c r="T179" s="22">
        <f t="shared" si="16"/>
        <v>0</v>
      </c>
      <c r="U179" s="35">
        <v>0</v>
      </c>
      <c r="V179" s="37">
        <f t="shared" si="17"/>
        <v>0</v>
      </c>
    </row>
    <row r="180" spans="1:22" x14ac:dyDescent="0.25">
      <c r="A180" s="158"/>
      <c r="B180" s="150"/>
      <c r="C180" s="34" t="s">
        <v>57</v>
      </c>
      <c r="D180" s="25">
        <v>20000</v>
      </c>
      <c r="E180" s="22"/>
      <c r="F180" s="22"/>
      <c r="G180" s="22"/>
      <c r="H180" s="22"/>
      <c r="I180" s="22"/>
      <c r="J180" s="22"/>
      <c r="K180" s="22"/>
      <c r="L180" s="22"/>
      <c r="M180" s="22">
        <f t="shared" si="27"/>
        <v>20000</v>
      </c>
      <c r="N180" s="22">
        <f>100000-50000</f>
        <v>50000</v>
      </c>
      <c r="O180" s="22"/>
      <c r="P180" s="22"/>
      <c r="Q180" s="22"/>
      <c r="R180" s="22"/>
      <c r="S180" s="22"/>
      <c r="T180" s="22">
        <f t="shared" si="16"/>
        <v>70000</v>
      </c>
      <c r="U180" s="35">
        <v>6500</v>
      </c>
      <c r="V180" s="37">
        <f t="shared" si="17"/>
        <v>63500</v>
      </c>
    </row>
    <row r="181" spans="1:22" x14ac:dyDescent="0.25">
      <c r="A181" s="158"/>
      <c r="B181" s="150"/>
      <c r="C181" s="34" t="s">
        <v>44</v>
      </c>
      <c r="D181" s="22">
        <v>1007200</v>
      </c>
      <c r="E181" s="22"/>
      <c r="F181" s="22"/>
      <c r="G181" s="22"/>
      <c r="H181" s="22"/>
      <c r="I181" s="22"/>
      <c r="J181" s="22"/>
      <c r="K181" s="22"/>
      <c r="L181" s="22"/>
      <c r="M181" s="22">
        <f t="shared" si="27"/>
        <v>1007200</v>
      </c>
      <c r="N181" s="22"/>
      <c r="O181" s="22">
        <v>-150000</v>
      </c>
      <c r="P181" s="22"/>
      <c r="Q181" s="22"/>
      <c r="R181" s="22"/>
      <c r="S181" s="22"/>
      <c r="T181" s="22">
        <f t="shared" si="16"/>
        <v>857200</v>
      </c>
      <c r="U181" s="35">
        <v>569700</v>
      </c>
      <c r="V181" s="37">
        <f t="shared" si="17"/>
        <v>287500</v>
      </c>
    </row>
    <row r="182" spans="1:22" x14ac:dyDescent="0.25">
      <c r="A182" s="158"/>
      <c r="B182" s="150"/>
      <c r="C182" s="34" t="s">
        <v>58</v>
      </c>
      <c r="D182" s="22">
        <v>5338720</v>
      </c>
      <c r="E182" s="22"/>
      <c r="F182" s="22"/>
      <c r="G182" s="22"/>
      <c r="H182" s="22"/>
      <c r="I182" s="22"/>
      <c r="J182" s="22"/>
      <c r="K182" s="22"/>
      <c r="L182" s="22"/>
      <c r="M182" s="22">
        <f t="shared" si="27"/>
        <v>5338720</v>
      </c>
      <c r="N182" s="22">
        <f>-50000-20000</f>
        <v>-70000</v>
      </c>
      <c r="O182" s="22">
        <v>-700000</v>
      </c>
      <c r="P182" s="22"/>
      <c r="Q182" s="22"/>
      <c r="R182" s="22"/>
      <c r="S182" s="22"/>
      <c r="T182" s="22">
        <f t="shared" si="16"/>
        <v>4568720</v>
      </c>
      <c r="U182" s="35">
        <v>4211424</v>
      </c>
      <c r="V182" s="39">
        <f t="shared" si="17"/>
        <v>357296</v>
      </c>
    </row>
    <row r="183" spans="1:22" x14ac:dyDescent="0.25">
      <c r="A183" s="158"/>
      <c r="B183" s="150"/>
      <c r="C183" s="34" t="s">
        <v>59</v>
      </c>
      <c r="D183" s="22">
        <v>0</v>
      </c>
      <c r="E183" s="22"/>
      <c r="F183" s="22"/>
      <c r="G183" s="22"/>
      <c r="H183" s="22"/>
      <c r="I183" s="22"/>
      <c r="J183" s="22"/>
      <c r="K183" s="22"/>
      <c r="L183" s="22"/>
      <c r="M183" s="22">
        <f t="shared" si="27"/>
        <v>0</v>
      </c>
      <c r="N183" s="22"/>
      <c r="O183" s="22"/>
      <c r="P183" s="22"/>
      <c r="Q183" s="22"/>
      <c r="R183" s="22"/>
      <c r="S183" s="22"/>
      <c r="T183" s="22">
        <f t="shared" si="16"/>
        <v>0</v>
      </c>
      <c r="U183" s="35">
        <v>0</v>
      </c>
      <c r="V183" s="37">
        <f t="shared" si="17"/>
        <v>0</v>
      </c>
    </row>
    <row r="184" spans="1:22" x14ac:dyDescent="0.25">
      <c r="A184" s="158"/>
      <c r="B184" s="150"/>
      <c r="C184" s="34" t="s">
        <v>45</v>
      </c>
      <c r="D184" s="22">
        <v>2290083</v>
      </c>
      <c r="E184" s="22"/>
      <c r="F184" s="22"/>
      <c r="G184" s="22"/>
      <c r="H184" s="22"/>
      <c r="I184" s="22"/>
      <c r="J184" s="22"/>
      <c r="K184" s="22"/>
      <c r="L184" s="22"/>
      <c r="M184" s="22">
        <f t="shared" si="27"/>
        <v>2290083</v>
      </c>
      <c r="N184" s="22"/>
      <c r="O184" s="22">
        <v>-289180</v>
      </c>
      <c r="P184" s="22"/>
      <c r="Q184" s="22"/>
      <c r="R184" s="22"/>
      <c r="S184" s="22"/>
      <c r="T184" s="22">
        <f t="shared" si="16"/>
        <v>2000903</v>
      </c>
      <c r="U184" s="35">
        <f>1091971-34867</f>
        <v>1057104</v>
      </c>
      <c r="V184" s="37">
        <f t="shared" si="17"/>
        <v>943799</v>
      </c>
    </row>
    <row r="185" spans="1:22" x14ac:dyDescent="0.25">
      <c r="A185" s="158"/>
      <c r="B185" s="150"/>
      <c r="C185" s="34" t="s">
        <v>60</v>
      </c>
      <c r="D185" s="22">
        <v>5000</v>
      </c>
      <c r="E185" s="22"/>
      <c r="F185" s="22"/>
      <c r="G185" s="22"/>
      <c r="H185" s="22"/>
      <c r="I185" s="22"/>
      <c r="J185" s="22"/>
      <c r="K185" s="22"/>
      <c r="L185" s="22"/>
      <c r="M185" s="22">
        <f t="shared" si="27"/>
        <v>5000</v>
      </c>
      <c r="N185" s="22"/>
      <c r="O185" s="22"/>
      <c r="P185" s="22"/>
      <c r="Q185" s="22"/>
      <c r="R185" s="22"/>
      <c r="S185" s="22"/>
      <c r="T185" s="22">
        <f t="shared" si="16"/>
        <v>5000</v>
      </c>
      <c r="U185" s="35">
        <v>0</v>
      </c>
      <c r="V185" s="37">
        <f t="shared" si="17"/>
        <v>5000</v>
      </c>
    </row>
    <row r="186" spans="1:22" x14ac:dyDescent="0.25">
      <c r="A186" s="158"/>
      <c r="B186" s="151"/>
      <c r="C186" s="83" t="s">
        <v>46</v>
      </c>
      <c r="D186" s="84">
        <f>SUM(D174:D185)</f>
        <v>11953683</v>
      </c>
      <c r="E186" s="84">
        <f t="shared" ref="E186:U186" si="28">SUM(E174:E185)</f>
        <v>0</v>
      </c>
      <c r="F186" s="84">
        <f t="shared" si="28"/>
        <v>0</v>
      </c>
      <c r="G186" s="84">
        <f t="shared" si="28"/>
        <v>0</v>
      </c>
      <c r="H186" s="84">
        <f t="shared" si="28"/>
        <v>0</v>
      </c>
      <c r="I186" s="84">
        <f t="shared" si="28"/>
        <v>0</v>
      </c>
      <c r="J186" s="84">
        <f t="shared" si="28"/>
        <v>0</v>
      </c>
      <c r="K186" s="84">
        <f t="shared" si="28"/>
        <v>0</v>
      </c>
      <c r="L186" s="84">
        <f t="shared" si="28"/>
        <v>0</v>
      </c>
      <c r="M186" s="84">
        <f t="shared" si="28"/>
        <v>11953683</v>
      </c>
      <c r="N186" s="84">
        <f t="shared" si="28"/>
        <v>-120000</v>
      </c>
      <c r="O186" s="84">
        <f t="shared" si="28"/>
        <v>-1360216</v>
      </c>
      <c r="P186" s="84">
        <f t="shared" si="28"/>
        <v>0</v>
      </c>
      <c r="Q186" s="84">
        <f t="shared" si="28"/>
        <v>0</v>
      </c>
      <c r="R186" s="84"/>
      <c r="S186" s="84"/>
      <c r="T186" s="84">
        <f t="shared" si="16"/>
        <v>10473467</v>
      </c>
      <c r="U186" s="85">
        <f t="shared" si="28"/>
        <v>7243790</v>
      </c>
      <c r="V186" s="86">
        <f t="shared" si="17"/>
        <v>3229677</v>
      </c>
    </row>
    <row r="187" spans="1:22" x14ac:dyDescent="0.25">
      <c r="A187" s="158"/>
      <c r="B187" s="138" t="s">
        <v>16</v>
      </c>
      <c r="C187" s="34" t="s">
        <v>40</v>
      </c>
      <c r="D187" s="22">
        <v>4219174</v>
      </c>
      <c r="E187" s="22"/>
      <c r="F187" s="22"/>
      <c r="G187" s="22"/>
      <c r="H187" s="22"/>
      <c r="I187" s="22"/>
      <c r="J187" s="22"/>
      <c r="K187" s="22"/>
      <c r="L187" s="22"/>
      <c r="M187" s="22">
        <f>D187+E187+F187+G187+H187+J187+I187</f>
        <v>4219174</v>
      </c>
      <c r="N187" s="22"/>
      <c r="O187" s="22"/>
      <c r="P187" s="22"/>
      <c r="Q187" s="22"/>
      <c r="R187" s="22"/>
      <c r="S187" s="22"/>
      <c r="T187" s="22">
        <f t="shared" si="16"/>
        <v>4219174</v>
      </c>
      <c r="U187" s="35">
        <v>2736172</v>
      </c>
      <c r="V187" s="39">
        <f t="shared" si="17"/>
        <v>1483002</v>
      </c>
    </row>
    <row r="188" spans="1:22" x14ac:dyDescent="0.25">
      <c r="A188" s="158"/>
      <c r="B188" s="138"/>
      <c r="C188" s="34" t="s">
        <v>47</v>
      </c>
      <c r="D188" s="22">
        <v>150000</v>
      </c>
      <c r="E188" s="22"/>
      <c r="F188" s="22"/>
      <c r="G188" s="22"/>
      <c r="H188" s="22"/>
      <c r="I188" s="22"/>
      <c r="J188" s="22"/>
      <c r="K188" s="22"/>
      <c r="L188" s="22"/>
      <c r="M188" s="22">
        <f>D188+E188+F188+G188+H188+J188+I188</f>
        <v>150000</v>
      </c>
      <c r="N188" s="22"/>
      <c r="O188" s="22"/>
      <c r="P188" s="22"/>
      <c r="Q188" s="22"/>
      <c r="R188" s="22"/>
      <c r="S188" s="22"/>
      <c r="T188" s="22">
        <f t="shared" si="16"/>
        <v>150000</v>
      </c>
      <c r="U188" s="35">
        <v>75000</v>
      </c>
      <c r="V188" s="37">
        <f t="shared" si="17"/>
        <v>75000</v>
      </c>
    </row>
    <row r="189" spans="1:22" x14ac:dyDescent="0.25">
      <c r="A189" s="158"/>
      <c r="B189" s="138"/>
      <c r="C189" s="34" t="s">
        <v>48</v>
      </c>
      <c r="D189" s="22">
        <v>20000</v>
      </c>
      <c r="E189" s="22"/>
      <c r="F189" s="22"/>
      <c r="G189" s="22"/>
      <c r="H189" s="22"/>
      <c r="I189" s="22"/>
      <c r="J189" s="22"/>
      <c r="K189" s="22"/>
      <c r="L189" s="22"/>
      <c r="M189" s="22">
        <f>D189+E189+F189+G189+H189+J189+I189</f>
        <v>20000</v>
      </c>
      <c r="N189" s="22"/>
      <c r="O189" s="22"/>
      <c r="P189" s="22"/>
      <c r="Q189" s="22"/>
      <c r="R189" s="22"/>
      <c r="S189" s="22"/>
      <c r="T189" s="22">
        <f t="shared" si="16"/>
        <v>20000</v>
      </c>
      <c r="U189" s="35">
        <v>0</v>
      </c>
      <c r="V189" s="37">
        <f t="shared" si="17"/>
        <v>20000</v>
      </c>
    </row>
    <row r="190" spans="1:22" x14ac:dyDescent="0.25">
      <c r="A190" s="158"/>
      <c r="B190" s="138"/>
      <c r="C190" s="34" t="s">
        <v>50</v>
      </c>
      <c r="D190" s="22">
        <v>24000</v>
      </c>
      <c r="E190" s="22"/>
      <c r="F190" s="22"/>
      <c r="G190" s="22"/>
      <c r="H190" s="22"/>
      <c r="I190" s="22"/>
      <c r="J190" s="22"/>
      <c r="K190" s="22"/>
      <c r="L190" s="22"/>
      <c r="M190" s="22">
        <f>D190+E190+F190+G190+H190+J190+I190</f>
        <v>24000</v>
      </c>
      <c r="N190" s="22"/>
      <c r="O190" s="22"/>
      <c r="P190" s="22"/>
      <c r="Q190" s="22"/>
      <c r="R190" s="22"/>
      <c r="S190" s="22"/>
      <c r="T190" s="22">
        <f t="shared" si="16"/>
        <v>24000</v>
      </c>
      <c r="U190" s="35">
        <v>12000</v>
      </c>
      <c r="V190" s="37">
        <f t="shared" si="17"/>
        <v>12000</v>
      </c>
    </row>
    <row r="191" spans="1:22" x14ac:dyDescent="0.25">
      <c r="A191" s="158"/>
      <c r="B191" s="138"/>
      <c r="C191" s="34" t="s">
        <v>51</v>
      </c>
      <c r="D191" s="22">
        <v>189200</v>
      </c>
      <c r="E191" s="22"/>
      <c r="F191" s="22"/>
      <c r="G191" s="22"/>
      <c r="H191" s="22"/>
      <c r="I191" s="22"/>
      <c r="J191" s="22"/>
      <c r="K191" s="22"/>
      <c r="L191" s="22"/>
      <c r="M191" s="22">
        <f>D191+E191+F191+G191+H191+J191+I191</f>
        <v>189200</v>
      </c>
      <c r="N191" s="22"/>
      <c r="O191" s="22"/>
      <c r="P191" s="22"/>
      <c r="Q191" s="22"/>
      <c r="R191" s="22"/>
      <c r="S191" s="22"/>
      <c r="T191" s="22">
        <f t="shared" si="16"/>
        <v>189200</v>
      </c>
      <c r="U191" s="35">
        <v>62400</v>
      </c>
      <c r="V191" s="37">
        <f t="shared" si="17"/>
        <v>126800</v>
      </c>
    </row>
    <row r="192" spans="1:22" x14ac:dyDescent="0.25">
      <c r="A192" s="158"/>
      <c r="B192" s="138"/>
      <c r="C192" s="83" t="s">
        <v>41</v>
      </c>
      <c r="D192" s="84">
        <f>SUM(D187:D191)</f>
        <v>4602374</v>
      </c>
      <c r="E192" s="84">
        <f t="shared" ref="E192:U192" si="29">SUM(E187:E191)</f>
        <v>0</v>
      </c>
      <c r="F192" s="84">
        <f t="shared" si="29"/>
        <v>0</v>
      </c>
      <c r="G192" s="84">
        <f t="shared" si="29"/>
        <v>0</v>
      </c>
      <c r="H192" s="84">
        <f t="shared" si="29"/>
        <v>0</v>
      </c>
      <c r="I192" s="84">
        <f t="shared" si="29"/>
        <v>0</v>
      </c>
      <c r="J192" s="84">
        <f t="shared" si="29"/>
        <v>0</v>
      </c>
      <c r="K192" s="84">
        <f t="shared" si="29"/>
        <v>0</v>
      </c>
      <c r="L192" s="84">
        <f t="shared" si="29"/>
        <v>0</v>
      </c>
      <c r="M192" s="84">
        <f t="shared" si="29"/>
        <v>4602374</v>
      </c>
      <c r="N192" s="84">
        <f t="shared" si="29"/>
        <v>0</v>
      </c>
      <c r="O192" s="84">
        <f t="shared" si="29"/>
        <v>0</v>
      </c>
      <c r="P192" s="84">
        <f t="shared" si="29"/>
        <v>0</v>
      </c>
      <c r="Q192" s="84">
        <f t="shared" si="29"/>
        <v>0</v>
      </c>
      <c r="R192" s="84"/>
      <c r="S192" s="84"/>
      <c r="T192" s="84">
        <f t="shared" si="16"/>
        <v>4602374</v>
      </c>
      <c r="U192" s="85">
        <f t="shared" si="29"/>
        <v>2885572</v>
      </c>
      <c r="V192" s="86">
        <f t="shared" si="17"/>
        <v>1716802</v>
      </c>
    </row>
    <row r="193" spans="1:23" x14ac:dyDescent="0.25">
      <c r="A193" s="158"/>
      <c r="B193" s="138"/>
      <c r="C193" s="87" t="s">
        <v>42</v>
      </c>
      <c r="D193" s="88">
        <v>712773</v>
      </c>
      <c r="E193" s="88"/>
      <c r="F193" s="88">
        <v>0</v>
      </c>
      <c r="G193" s="88"/>
      <c r="H193" s="88"/>
      <c r="I193" s="88"/>
      <c r="J193" s="88"/>
      <c r="K193" s="88"/>
      <c r="L193" s="88"/>
      <c r="M193" s="89">
        <f>D193+E193+F193+G193+H193+J193</f>
        <v>712773</v>
      </c>
      <c r="N193" s="89"/>
      <c r="O193" s="89"/>
      <c r="P193" s="89"/>
      <c r="Q193" s="89"/>
      <c r="R193" s="89"/>
      <c r="S193" s="89"/>
      <c r="T193" s="89">
        <f t="shared" si="16"/>
        <v>712773</v>
      </c>
      <c r="U193" s="90">
        <v>449291</v>
      </c>
      <c r="V193" s="91">
        <f t="shared" si="17"/>
        <v>263482</v>
      </c>
    </row>
    <row r="194" spans="1:23" s="32" customFormat="1" x14ac:dyDescent="0.25">
      <c r="A194" s="158"/>
      <c r="B194" s="138"/>
      <c r="C194" s="75" t="s">
        <v>43</v>
      </c>
      <c r="D194" s="25">
        <v>0</v>
      </c>
      <c r="E194" s="25"/>
      <c r="F194" s="25"/>
      <c r="G194" s="25"/>
      <c r="H194" s="25"/>
      <c r="I194" s="25"/>
      <c r="J194" s="25"/>
      <c r="K194" s="25"/>
      <c r="L194" s="25"/>
      <c r="M194" s="22">
        <f t="shared" ref="M194:M200" si="30">D194+E194+F194+G194+H194+J194+I194</f>
        <v>0</v>
      </c>
      <c r="N194" s="22"/>
      <c r="O194" s="22"/>
      <c r="P194" s="22"/>
      <c r="Q194" s="22"/>
      <c r="R194" s="22"/>
      <c r="S194" s="22"/>
      <c r="T194" s="22">
        <f t="shared" si="16"/>
        <v>0</v>
      </c>
      <c r="U194" s="66">
        <v>0</v>
      </c>
      <c r="V194" s="39">
        <f t="shared" si="17"/>
        <v>0</v>
      </c>
      <c r="W194" s="31"/>
    </row>
    <row r="195" spans="1:23" x14ac:dyDescent="0.25">
      <c r="A195" s="158"/>
      <c r="B195" s="138"/>
      <c r="C195" s="34" t="s">
        <v>53</v>
      </c>
      <c r="D195" s="22">
        <v>620000</v>
      </c>
      <c r="E195" s="22"/>
      <c r="F195" s="22"/>
      <c r="G195" s="22"/>
      <c r="H195" s="22"/>
      <c r="I195" s="22"/>
      <c r="J195" s="22"/>
      <c r="K195" s="22"/>
      <c r="L195" s="22"/>
      <c r="M195" s="22">
        <f t="shared" si="30"/>
        <v>620000</v>
      </c>
      <c r="N195" s="22"/>
      <c r="O195" s="22"/>
      <c r="P195" s="22"/>
      <c r="Q195" s="22"/>
      <c r="R195" s="22"/>
      <c r="S195" s="22"/>
      <c r="T195" s="22">
        <f t="shared" si="16"/>
        <v>620000</v>
      </c>
      <c r="U195" s="35">
        <v>253274</v>
      </c>
      <c r="V195" s="39">
        <f t="shared" si="17"/>
        <v>366726</v>
      </c>
    </row>
    <row r="196" spans="1:23" x14ac:dyDescent="0.25">
      <c r="A196" s="158"/>
      <c r="B196" s="138"/>
      <c r="C196" s="34" t="s">
        <v>61</v>
      </c>
      <c r="D196" s="22">
        <v>11035101</v>
      </c>
      <c r="E196" s="22">
        <v>-29078</v>
      </c>
      <c r="F196" s="25"/>
      <c r="G196" s="25"/>
      <c r="H196" s="22"/>
      <c r="I196" s="22"/>
      <c r="J196" s="22"/>
      <c r="K196" s="22"/>
      <c r="L196" s="22"/>
      <c r="M196" s="22">
        <f t="shared" si="30"/>
        <v>11006023</v>
      </c>
      <c r="N196" s="22"/>
      <c r="O196" s="22">
        <v>-159614</v>
      </c>
      <c r="P196" s="22"/>
      <c r="Q196" s="22"/>
      <c r="R196" s="22"/>
      <c r="S196" s="22"/>
      <c r="T196" s="22">
        <f t="shared" si="16"/>
        <v>10846409</v>
      </c>
      <c r="U196" s="35">
        <v>6779302</v>
      </c>
      <c r="V196" s="37">
        <f t="shared" si="17"/>
        <v>4067107</v>
      </c>
    </row>
    <row r="197" spans="1:23" x14ac:dyDescent="0.25">
      <c r="A197" s="158"/>
      <c r="B197" s="138"/>
      <c r="C197" s="34" t="s">
        <v>44</v>
      </c>
      <c r="D197" s="22">
        <v>13600</v>
      </c>
      <c r="E197" s="22"/>
      <c r="F197" s="25"/>
      <c r="G197" s="25"/>
      <c r="H197" s="22"/>
      <c r="I197" s="22"/>
      <c r="J197" s="22"/>
      <c r="K197" s="22"/>
      <c r="L197" s="22"/>
      <c r="M197" s="22">
        <f t="shared" si="30"/>
        <v>13600</v>
      </c>
      <c r="N197" s="22"/>
      <c r="O197" s="22"/>
      <c r="P197" s="22"/>
      <c r="Q197" s="22"/>
      <c r="R197" s="22"/>
      <c r="S197" s="22"/>
      <c r="T197" s="22">
        <f t="shared" si="16"/>
        <v>13600</v>
      </c>
      <c r="U197" s="35">
        <v>3400</v>
      </c>
      <c r="V197" s="39">
        <f t="shared" si="17"/>
        <v>10200</v>
      </c>
    </row>
    <row r="198" spans="1:23" x14ac:dyDescent="0.25">
      <c r="A198" s="158"/>
      <c r="B198" s="138"/>
      <c r="C198" s="34" t="s">
        <v>58</v>
      </c>
      <c r="D198" s="22">
        <v>57000</v>
      </c>
      <c r="E198" s="22"/>
      <c r="F198" s="25"/>
      <c r="G198" s="25"/>
      <c r="H198" s="22"/>
      <c r="I198" s="22"/>
      <c r="J198" s="22"/>
      <c r="K198" s="22"/>
      <c r="L198" s="22"/>
      <c r="M198" s="22">
        <f t="shared" si="30"/>
        <v>57000</v>
      </c>
      <c r="N198" s="22">
        <f>4092+20000</f>
        <v>24092</v>
      </c>
      <c r="O198" s="22"/>
      <c r="P198" s="22"/>
      <c r="Q198" s="22"/>
      <c r="R198" s="22"/>
      <c r="S198" s="22"/>
      <c r="T198" s="22">
        <f t="shared" si="16"/>
        <v>81092</v>
      </c>
      <c r="U198" s="35">
        <v>64176</v>
      </c>
      <c r="V198" s="37">
        <f t="shared" si="17"/>
        <v>16916</v>
      </c>
    </row>
    <row r="199" spans="1:23" x14ac:dyDescent="0.25">
      <c r="A199" s="158"/>
      <c r="B199" s="138"/>
      <c r="C199" s="34" t="s">
        <v>45</v>
      </c>
      <c r="D199" s="22">
        <v>3159567</v>
      </c>
      <c r="E199" s="22"/>
      <c r="F199" s="25"/>
      <c r="G199" s="25"/>
      <c r="H199" s="22"/>
      <c r="I199" s="22"/>
      <c r="J199" s="22"/>
      <c r="K199" s="22"/>
      <c r="L199" s="22"/>
      <c r="M199" s="22">
        <f t="shared" si="30"/>
        <v>3159567</v>
      </c>
      <c r="N199" s="22"/>
      <c r="O199" s="22">
        <v>-43096</v>
      </c>
      <c r="P199" s="22"/>
      <c r="Q199" s="22"/>
      <c r="R199" s="22"/>
      <c r="S199" s="22"/>
      <c r="T199" s="22">
        <f t="shared" si="16"/>
        <v>3116471</v>
      </c>
      <c r="U199" s="35">
        <v>1908983</v>
      </c>
      <c r="V199" s="37">
        <f t="shared" si="17"/>
        <v>1207488</v>
      </c>
    </row>
    <row r="200" spans="1:23" x14ac:dyDescent="0.25">
      <c r="A200" s="158"/>
      <c r="B200" s="138"/>
      <c r="C200" s="34" t="s">
        <v>146</v>
      </c>
      <c r="D200" s="22">
        <v>0</v>
      </c>
      <c r="E200" s="22">
        <v>396000</v>
      </c>
      <c r="F200" s="25"/>
      <c r="G200" s="25"/>
      <c r="H200" s="22"/>
      <c r="I200" s="22"/>
      <c r="J200" s="22"/>
      <c r="K200" s="22"/>
      <c r="L200" s="22"/>
      <c r="M200" s="22">
        <f t="shared" si="30"/>
        <v>396000</v>
      </c>
      <c r="N200" s="22"/>
      <c r="O200" s="22"/>
      <c r="P200" s="22"/>
      <c r="Q200" s="22"/>
      <c r="R200" s="22"/>
      <c r="S200" s="22"/>
      <c r="T200" s="22">
        <f t="shared" si="16"/>
        <v>396000</v>
      </c>
      <c r="U200" s="35">
        <v>396000</v>
      </c>
      <c r="V200" s="37">
        <f t="shared" ref="V200:V263" si="31">T200-U200</f>
        <v>0</v>
      </c>
    </row>
    <row r="201" spans="1:23" x14ac:dyDescent="0.25">
      <c r="A201" s="158"/>
      <c r="B201" s="138"/>
      <c r="C201" s="83" t="s">
        <v>46</v>
      </c>
      <c r="D201" s="85">
        <f t="shared" ref="D201:Q201" si="32">SUM(D194:D200)</f>
        <v>14885268</v>
      </c>
      <c r="E201" s="85">
        <f t="shared" si="32"/>
        <v>366922</v>
      </c>
      <c r="F201" s="85">
        <f t="shared" si="32"/>
        <v>0</v>
      </c>
      <c r="G201" s="85">
        <f t="shared" si="32"/>
        <v>0</v>
      </c>
      <c r="H201" s="85">
        <f t="shared" si="32"/>
        <v>0</v>
      </c>
      <c r="I201" s="85">
        <f t="shared" si="32"/>
        <v>0</v>
      </c>
      <c r="J201" s="85">
        <f t="shared" si="32"/>
        <v>0</v>
      </c>
      <c r="K201" s="85">
        <f t="shared" si="32"/>
        <v>0</v>
      </c>
      <c r="L201" s="85">
        <f t="shared" si="32"/>
        <v>0</v>
      </c>
      <c r="M201" s="85">
        <f t="shared" si="32"/>
        <v>15252190</v>
      </c>
      <c r="N201" s="85">
        <f>SUM(N194:N200)</f>
        <v>24092</v>
      </c>
      <c r="O201" s="85">
        <f t="shared" si="32"/>
        <v>-202710</v>
      </c>
      <c r="P201" s="85">
        <f t="shared" si="32"/>
        <v>0</v>
      </c>
      <c r="Q201" s="85">
        <f t="shared" si="32"/>
        <v>0</v>
      </c>
      <c r="R201" s="85"/>
      <c r="S201" s="85"/>
      <c r="T201" s="85">
        <f t="shared" si="16"/>
        <v>15073572</v>
      </c>
      <c r="U201" s="85">
        <f>SUM(U194:U200)</f>
        <v>9405135</v>
      </c>
      <c r="V201" s="85">
        <f t="shared" si="31"/>
        <v>5668437</v>
      </c>
    </row>
    <row r="202" spans="1:23" x14ac:dyDescent="0.25">
      <c r="A202" s="158"/>
      <c r="B202" s="139" t="s">
        <v>18</v>
      </c>
      <c r="C202" s="34" t="s">
        <v>40</v>
      </c>
      <c r="D202" s="22">
        <v>58503487</v>
      </c>
      <c r="E202" s="25"/>
      <c r="F202" s="22"/>
      <c r="G202" s="22"/>
      <c r="H202" s="22"/>
      <c r="I202" s="22"/>
      <c r="J202" s="22"/>
      <c r="K202" s="22"/>
      <c r="L202" s="22"/>
      <c r="M202" s="22">
        <f t="shared" ref="M202:M209" si="33">D202+E202+F202+G202+H202+J202+I202</f>
        <v>58503487</v>
      </c>
      <c r="N202" s="22">
        <v>-80000</v>
      </c>
      <c r="O202" s="22">
        <v>-851169</v>
      </c>
      <c r="P202" s="22"/>
      <c r="Q202" s="22"/>
      <c r="R202" s="22"/>
      <c r="S202" s="22"/>
      <c r="T202" s="22">
        <f t="shared" si="16"/>
        <v>57572318</v>
      </c>
      <c r="U202" s="35">
        <v>29947998</v>
      </c>
      <c r="V202" s="37">
        <f t="shared" si="31"/>
        <v>27624320</v>
      </c>
    </row>
    <row r="203" spans="1:23" x14ac:dyDescent="0.25">
      <c r="A203" s="158"/>
      <c r="B203" s="150"/>
      <c r="C203" s="34" t="s">
        <v>63</v>
      </c>
      <c r="D203" s="22">
        <v>438000</v>
      </c>
      <c r="E203" s="25"/>
      <c r="F203" s="22"/>
      <c r="G203" s="22"/>
      <c r="H203" s="22"/>
      <c r="I203" s="22"/>
      <c r="J203" s="22"/>
      <c r="K203" s="22"/>
      <c r="L203" s="22"/>
      <c r="M203" s="22">
        <f t="shared" si="33"/>
        <v>438000</v>
      </c>
      <c r="N203" s="22"/>
      <c r="O203" s="22"/>
      <c r="P203" s="22"/>
      <c r="Q203" s="22"/>
      <c r="R203" s="22"/>
      <c r="S203" s="22"/>
      <c r="T203" s="22">
        <f t="shared" ref="T203:T266" si="34">SUM(M203:S203)</f>
        <v>438000</v>
      </c>
      <c r="U203" s="35">
        <v>0</v>
      </c>
      <c r="V203" s="37">
        <f t="shared" si="31"/>
        <v>438000</v>
      </c>
    </row>
    <row r="204" spans="1:23" x14ac:dyDescent="0.25">
      <c r="A204" s="158"/>
      <c r="B204" s="150"/>
      <c r="C204" s="34" t="s">
        <v>47</v>
      </c>
      <c r="D204" s="22">
        <v>2300000</v>
      </c>
      <c r="E204" s="25"/>
      <c r="F204" s="22"/>
      <c r="G204" s="22"/>
      <c r="H204" s="22"/>
      <c r="I204" s="22"/>
      <c r="J204" s="22"/>
      <c r="K204" s="22"/>
      <c r="L204" s="22"/>
      <c r="M204" s="22">
        <f t="shared" si="33"/>
        <v>2300000</v>
      </c>
      <c r="N204" s="22"/>
      <c r="O204" s="22"/>
      <c r="P204" s="22"/>
      <c r="Q204" s="22"/>
      <c r="R204" s="22"/>
      <c r="S204" s="22"/>
      <c r="T204" s="22">
        <f t="shared" si="34"/>
        <v>2300000</v>
      </c>
      <c r="U204" s="35">
        <v>920550</v>
      </c>
      <c r="V204" s="37">
        <f t="shared" si="31"/>
        <v>1379450</v>
      </c>
    </row>
    <row r="205" spans="1:23" x14ac:dyDescent="0.25">
      <c r="A205" s="158"/>
      <c r="B205" s="150"/>
      <c r="C205" s="34" t="s">
        <v>48</v>
      </c>
      <c r="D205" s="22">
        <v>230000</v>
      </c>
      <c r="E205" s="25"/>
      <c r="F205" s="22"/>
      <c r="G205" s="22"/>
      <c r="H205" s="22"/>
      <c r="I205" s="22"/>
      <c r="J205" s="22"/>
      <c r="K205" s="22"/>
      <c r="L205" s="22"/>
      <c r="M205" s="22">
        <f t="shared" si="33"/>
        <v>230000</v>
      </c>
      <c r="N205" s="22"/>
      <c r="O205" s="22"/>
      <c r="P205" s="22"/>
      <c r="Q205" s="22"/>
      <c r="R205" s="22"/>
      <c r="S205" s="22"/>
      <c r="T205" s="22">
        <f t="shared" si="34"/>
        <v>230000</v>
      </c>
      <c r="U205" s="35">
        <v>0</v>
      </c>
      <c r="V205" s="37">
        <f t="shared" si="31"/>
        <v>230000</v>
      </c>
    </row>
    <row r="206" spans="1:23" x14ac:dyDescent="0.25">
      <c r="A206" s="158"/>
      <c r="B206" s="150"/>
      <c r="C206" s="34" t="s">
        <v>49</v>
      </c>
      <c r="D206" s="22">
        <v>236000</v>
      </c>
      <c r="E206" s="25"/>
      <c r="F206" s="22"/>
      <c r="G206" s="22"/>
      <c r="H206" s="22"/>
      <c r="I206" s="22"/>
      <c r="J206" s="22"/>
      <c r="K206" s="22"/>
      <c r="L206" s="22"/>
      <c r="M206" s="22">
        <f t="shared" si="33"/>
        <v>236000</v>
      </c>
      <c r="N206" s="22"/>
      <c r="O206" s="22"/>
      <c r="P206" s="22"/>
      <c r="Q206" s="22"/>
      <c r="R206" s="22"/>
      <c r="S206" s="22"/>
      <c r="T206" s="22">
        <f t="shared" si="34"/>
        <v>236000</v>
      </c>
      <c r="U206" s="35">
        <v>7056</v>
      </c>
      <c r="V206" s="37">
        <f t="shared" si="31"/>
        <v>228944</v>
      </c>
    </row>
    <row r="207" spans="1:23" x14ac:dyDescent="0.25">
      <c r="A207" s="158"/>
      <c r="B207" s="150"/>
      <c r="C207" s="34" t="s">
        <v>50</v>
      </c>
      <c r="D207" s="22">
        <v>276000</v>
      </c>
      <c r="E207" s="25"/>
      <c r="F207" s="22"/>
      <c r="G207" s="22"/>
      <c r="H207" s="22"/>
      <c r="I207" s="22"/>
      <c r="J207" s="22"/>
      <c r="K207" s="22"/>
      <c r="L207" s="22"/>
      <c r="M207" s="22">
        <f t="shared" si="33"/>
        <v>276000</v>
      </c>
      <c r="N207" s="22"/>
      <c r="O207" s="22"/>
      <c r="P207" s="22"/>
      <c r="Q207" s="22"/>
      <c r="R207" s="22"/>
      <c r="S207" s="22"/>
      <c r="T207" s="22">
        <f t="shared" si="34"/>
        <v>276000</v>
      </c>
      <c r="U207" s="35">
        <v>110500</v>
      </c>
      <c r="V207" s="37">
        <f t="shared" si="31"/>
        <v>165500</v>
      </c>
    </row>
    <row r="208" spans="1:23" x14ac:dyDescent="0.25">
      <c r="A208" s="158"/>
      <c r="B208" s="150"/>
      <c r="C208" s="34" t="s">
        <v>51</v>
      </c>
      <c r="D208" s="22">
        <v>1702000</v>
      </c>
      <c r="E208" s="25"/>
      <c r="F208" s="25"/>
      <c r="G208" s="22"/>
      <c r="H208" s="22"/>
      <c r="I208" s="22"/>
      <c r="J208" s="22"/>
      <c r="K208" s="22"/>
      <c r="L208" s="22"/>
      <c r="M208" s="22">
        <f t="shared" si="33"/>
        <v>1702000</v>
      </c>
      <c r="N208" s="22">
        <v>80000</v>
      </c>
      <c r="O208" s="22"/>
      <c r="P208" s="22"/>
      <c r="Q208" s="22"/>
      <c r="R208" s="22"/>
      <c r="S208" s="22"/>
      <c r="T208" s="22">
        <f t="shared" si="34"/>
        <v>1782000</v>
      </c>
      <c r="U208" s="35">
        <v>47775</v>
      </c>
      <c r="V208" s="39">
        <f t="shared" si="31"/>
        <v>1734225</v>
      </c>
    </row>
    <row r="209" spans="1:23" x14ac:dyDescent="0.25">
      <c r="A209" s="158"/>
      <c r="B209" s="150"/>
      <c r="C209" s="34" t="s">
        <v>52</v>
      </c>
      <c r="D209" s="22">
        <v>0</v>
      </c>
      <c r="E209" s="22"/>
      <c r="F209" s="22"/>
      <c r="G209" s="22"/>
      <c r="H209" s="22"/>
      <c r="I209" s="22"/>
      <c r="J209" s="22"/>
      <c r="K209" s="22"/>
      <c r="L209" s="22"/>
      <c r="M209" s="22">
        <f t="shared" si="33"/>
        <v>0</v>
      </c>
      <c r="N209" s="22"/>
      <c r="O209" s="22"/>
      <c r="P209" s="22"/>
      <c r="Q209" s="22"/>
      <c r="R209" s="22"/>
      <c r="S209" s="22"/>
      <c r="T209" s="22">
        <f t="shared" si="34"/>
        <v>0</v>
      </c>
      <c r="U209" s="35">
        <v>0</v>
      </c>
      <c r="V209" s="37">
        <f t="shared" si="31"/>
        <v>0</v>
      </c>
    </row>
    <row r="210" spans="1:23" x14ac:dyDescent="0.25">
      <c r="A210" s="158"/>
      <c r="B210" s="150"/>
      <c r="C210" s="83" t="s">
        <v>41</v>
      </c>
      <c r="D210" s="84">
        <f>SUM(D202:D209)</f>
        <v>63685487</v>
      </c>
      <c r="E210" s="84">
        <f t="shared" ref="E210:U210" si="35">SUM(E202:E209)</f>
        <v>0</v>
      </c>
      <c r="F210" s="84">
        <f t="shared" si="35"/>
        <v>0</v>
      </c>
      <c r="G210" s="84">
        <f t="shared" si="35"/>
        <v>0</v>
      </c>
      <c r="H210" s="84">
        <f t="shared" si="35"/>
        <v>0</v>
      </c>
      <c r="I210" s="84">
        <f t="shared" si="35"/>
        <v>0</v>
      </c>
      <c r="J210" s="84">
        <f t="shared" si="35"/>
        <v>0</v>
      </c>
      <c r="K210" s="84">
        <f t="shared" si="35"/>
        <v>0</v>
      </c>
      <c r="L210" s="84">
        <f t="shared" si="35"/>
        <v>0</v>
      </c>
      <c r="M210" s="84">
        <f t="shared" si="35"/>
        <v>63685487</v>
      </c>
      <c r="N210" s="84">
        <f t="shared" si="35"/>
        <v>0</v>
      </c>
      <c r="O210" s="84">
        <f t="shared" si="35"/>
        <v>-851169</v>
      </c>
      <c r="P210" s="84">
        <f t="shared" si="35"/>
        <v>0</v>
      </c>
      <c r="Q210" s="84">
        <f t="shared" si="35"/>
        <v>0</v>
      </c>
      <c r="R210" s="84">
        <f t="shared" si="35"/>
        <v>0</v>
      </c>
      <c r="S210" s="84">
        <f t="shared" si="35"/>
        <v>0</v>
      </c>
      <c r="T210" s="84">
        <f t="shared" si="34"/>
        <v>62834318</v>
      </c>
      <c r="U210" s="85">
        <f t="shared" si="35"/>
        <v>31033879</v>
      </c>
      <c r="V210" s="86">
        <f t="shared" si="31"/>
        <v>31800439</v>
      </c>
    </row>
    <row r="211" spans="1:23" x14ac:dyDescent="0.25">
      <c r="A211" s="158"/>
      <c r="B211" s="150"/>
      <c r="C211" s="87" t="s">
        <v>42</v>
      </c>
      <c r="D211" s="88">
        <v>9752294</v>
      </c>
      <c r="E211" s="88"/>
      <c r="F211" s="88"/>
      <c r="G211" s="88"/>
      <c r="H211" s="88"/>
      <c r="I211" s="88"/>
      <c r="J211" s="88"/>
      <c r="K211" s="88"/>
      <c r="L211" s="88"/>
      <c r="M211" s="89">
        <f>D211+E211+F211+G211+H211+J211</f>
        <v>9752294</v>
      </c>
      <c r="N211" s="89"/>
      <c r="O211" s="89">
        <v>-131931</v>
      </c>
      <c r="P211" s="89"/>
      <c r="Q211" s="89"/>
      <c r="R211" s="89"/>
      <c r="S211" s="89"/>
      <c r="T211" s="89">
        <f t="shared" si="34"/>
        <v>9620363</v>
      </c>
      <c r="U211" s="90">
        <v>4768455</v>
      </c>
      <c r="V211" s="91">
        <f t="shared" si="31"/>
        <v>4851908</v>
      </c>
    </row>
    <row r="212" spans="1:23" x14ac:dyDescent="0.25">
      <c r="A212" s="158"/>
      <c r="B212" s="150"/>
      <c r="C212" s="34" t="s">
        <v>43</v>
      </c>
      <c r="D212" s="22">
        <v>70000</v>
      </c>
      <c r="E212" s="22"/>
      <c r="F212" s="22"/>
      <c r="G212" s="22"/>
      <c r="H212" s="22"/>
      <c r="I212" s="22"/>
      <c r="J212" s="22"/>
      <c r="K212" s="22"/>
      <c r="L212" s="22"/>
      <c r="M212" s="22">
        <f t="shared" ref="M212:M224" si="36">D212+E212+F212+G212+H212+J212+I212</f>
        <v>70000</v>
      </c>
      <c r="N212" s="22"/>
      <c r="O212" s="22"/>
      <c r="P212" s="22"/>
      <c r="Q212" s="22"/>
      <c r="R212" s="22"/>
      <c r="S212" s="22"/>
      <c r="T212" s="22">
        <f t="shared" si="34"/>
        <v>70000</v>
      </c>
      <c r="U212" s="35">
        <v>0</v>
      </c>
      <c r="V212" s="39">
        <f t="shared" si="31"/>
        <v>70000</v>
      </c>
    </row>
    <row r="213" spans="1:23" s="17" customFormat="1" x14ac:dyDescent="0.25">
      <c r="A213" s="158"/>
      <c r="B213" s="150"/>
      <c r="C213" s="65" t="s">
        <v>53</v>
      </c>
      <c r="D213" s="23">
        <v>286000</v>
      </c>
      <c r="E213" s="24"/>
      <c r="F213" s="23"/>
      <c r="G213" s="23"/>
      <c r="H213" s="23"/>
      <c r="I213" s="23"/>
      <c r="J213" s="23"/>
      <c r="K213" s="23"/>
      <c r="L213" s="23"/>
      <c r="M213" s="23">
        <f t="shared" si="36"/>
        <v>286000</v>
      </c>
      <c r="N213" s="23">
        <f>-21600-28720-100000</f>
        <v>-150320</v>
      </c>
      <c r="O213" s="23"/>
      <c r="P213" s="23"/>
      <c r="Q213" s="23"/>
      <c r="R213" s="23"/>
      <c r="S213" s="23"/>
      <c r="T213" s="23">
        <f t="shared" si="34"/>
        <v>135680</v>
      </c>
      <c r="U213" s="35">
        <v>35460</v>
      </c>
      <c r="V213" s="66">
        <f t="shared" si="31"/>
        <v>100220</v>
      </c>
      <c r="W213" s="26"/>
    </row>
    <row r="214" spans="1:23" x14ac:dyDescent="0.25">
      <c r="A214" s="158"/>
      <c r="B214" s="150"/>
      <c r="C214" s="34" t="s">
        <v>54</v>
      </c>
      <c r="D214" s="22">
        <v>121320</v>
      </c>
      <c r="E214" s="25"/>
      <c r="F214" s="22"/>
      <c r="G214" s="22"/>
      <c r="H214" s="22"/>
      <c r="I214" s="22"/>
      <c r="J214" s="22"/>
      <c r="K214" s="22"/>
      <c r="L214" s="22"/>
      <c r="M214" s="22">
        <f t="shared" si="36"/>
        <v>121320</v>
      </c>
      <c r="N214" s="22"/>
      <c r="O214" s="22"/>
      <c r="P214" s="22"/>
      <c r="Q214" s="22"/>
      <c r="R214" s="22"/>
      <c r="S214" s="22"/>
      <c r="T214" s="22">
        <f t="shared" si="34"/>
        <v>121320</v>
      </c>
      <c r="U214" s="35">
        <v>83880</v>
      </c>
      <c r="V214" s="39">
        <f t="shared" si="31"/>
        <v>37440</v>
      </c>
    </row>
    <row r="215" spans="1:23" x14ac:dyDescent="0.25">
      <c r="A215" s="158"/>
      <c r="B215" s="150"/>
      <c r="C215" s="34" t="s">
        <v>55</v>
      </c>
      <c r="D215" s="22">
        <v>305760</v>
      </c>
      <c r="E215" s="22"/>
      <c r="F215" s="22"/>
      <c r="G215" s="22"/>
      <c r="H215" s="22"/>
      <c r="I215" s="22"/>
      <c r="J215" s="22"/>
      <c r="K215" s="22"/>
      <c r="L215" s="22"/>
      <c r="M215" s="22">
        <f t="shared" si="36"/>
        <v>305760</v>
      </c>
      <c r="N215" s="22">
        <v>21600</v>
      </c>
      <c r="O215" s="22"/>
      <c r="P215" s="22"/>
      <c r="Q215" s="22"/>
      <c r="R215" s="22"/>
      <c r="S215" s="22"/>
      <c r="T215" s="22">
        <f t="shared" si="34"/>
        <v>327360</v>
      </c>
      <c r="U215" s="35">
        <v>190215</v>
      </c>
      <c r="V215" s="39">
        <f t="shared" si="31"/>
        <v>137145</v>
      </c>
    </row>
    <row r="216" spans="1:23" x14ac:dyDescent="0.25">
      <c r="A216" s="158"/>
      <c r="B216" s="150"/>
      <c r="C216" s="34" t="s">
        <v>56</v>
      </c>
      <c r="D216" s="22">
        <v>775000</v>
      </c>
      <c r="E216" s="22"/>
      <c r="F216" s="22"/>
      <c r="G216" s="22"/>
      <c r="H216" s="22"/>
      <c r="I216" s="22"/>
      <c r="J216" s="22"/>
      <c r="K216" s="22"/>
      <c r="L216" s="22"/>
      <c r="M216" s="22">
        <f t="shared" si="36"/>
        <v>775000</v>
      </c>
      <c r="N216" s="22"/>
      <c r="O216" s="22"/>
      <c r="P216" s="22"/>
      <c r="Q216" s="22"/>
      <c r="R216" s="22"/>
      <c r="S216" s="22"/>
      <c r="T216" s="22">
        <f t="shared" si="34"/>
        <v>775000</v>
      </c>
      <c r="U216" s="35">
        <v>559699</v>
      </c>
      <c r="V216" s="39">
        <f t="shared" si="31"/>
        <v>215301</v>
      </c>
    </row>
    <row r="217" spans="1:23" x14ac:dyDescent="0.25">
      <c r="A217" s="158"/>
      <c r="B217" s="150"/>
      <c r="C217" s="34" t="s">
        <v>61</v>
      </c>
      <c r="D217" s="22">
        <v>0</v>
      </c>
      <c r="E217" s="22">
        <v>29078</v>
      </c>
      <c r="F217" s="22"/>
      <c r="G217" s="22"/>
      <c r="H217" s="22"/>
      <c r="I217" s="22"/>
      <c r="J217" s="22"/>
      <c r="K217" s="22"/>
      <c r="L217" s="22"/>
      <c r="M217" s="22">
        <f t="shared" si="36"/>
        <v>29078</v>
      </c>
      <c r="N217" s="22"/>
      <c r="O217" s="22"/>
      <c r="P217" s="22"/>
      <c r="Q217" s="22"/>
      <c r="R217" s="22"/>
      <c r="S217" s="22"/>
      <c r="T217" s="22">
        <f t="shared" si="34"/>
        <v>29078</v>
      </c>
      <c r="U217" s="35">
        <v>29078</v>
      </c>
      <c r="V217" s="39">
        <f t="shared" si="31"/>
        <v>0</v>
      </c>
    </row>
    <row r="218" spans="1:23" x14ac:dyDescent="0.25">
      <c r="A218" s="158"/>
      <c r="B218" s="150"/>
      <c r="C218" s="34" t="s">
        <v>57</v>
      </c>
      <c r="D218" s="25">
        <v>180000</v>
      </c>
      <c r="E218" s="22">
        <v>-130000</v>
      </c>
      <c r="F218" s="22"/>
      <c r="G218" s="22"/>
      <c r="H218" s="22"/>
      <c r="I218" s="22"/>
      <c r="J218" s="22"/>
      <c r="K218" s="22"/>
      <c r="L218" s="22"/>
      <c r="M218" s="22">
        <f t="shared" si="36"/>
        <v>50000</v>
      </c>
      <c r="N218" s="22">
        <v>35480</v>
      </c>
      <c r="O218" s="22"/>
      <c r="P218" s="22"/>
      <c r="Q218" s="22"/>
      <c r="R218" s="22"/>
      <c r="S218" s="22"/>
      <c r="T218" s="22">
        <f t="shared" si="34"/>
        <v>85480</v>
      </c>
      <c r="U218" s="35">
        <v>83928</v>
      </c>
      <c r="V218" s="39">
        <f t="shared" si="31"/>
        <v>1552</v>
      </c>
    </row>
    <row r="219" spans="1:23" x14ac:dyDescent="0.25">
      <c r="A219" s="158"/>
      <c r="B219" s="150"/>
      <c r="C219" s="34" t="s">
        <v>64</v>
      </c>
      <c r="D219" s="22">
        <v>10000</v>
      </c>
      <c r="E219" s="22"/>
      <c r="F219" s="22"/>
      <c r="G219" s="22"/>
      <c r="H219" s="22"/>
      <c r="I219" s="22"/>
      <c r="J219" s="22"/>
      <c r="K219" s="22"/>
      <c r="L219" s="22"/>
      <c r="M219" s="22">
        <f t="shared" si="36"/>
        <v>10000</v>
      </c>
      <c r="N219" s="22"/>
      <c r="O219" s="22"/>
      <c r="P219" s="22"/>
      <c r="Q219" s="22"/>
      <c r="R219" s="22"/>
      <c r="S219" s="22"/>
      <c r="T219" s="22">
        <f t="shared" si="34"/>
        <v>10000</v>
      </c>
      <c r="U219" s="35">
        <v>4000</v>
      </c>
      <c r="V219" s="39">
        <f t="shared" si="31"/>
        <v>6000</v>
      </c>
    </row>
    <row r="220" spans="1:23" x14ac:dyDescent="0.25">
      <c r="A220" s="158"/>
      <c r="B220" s="150"/>
      <c r="C220" s="34" t="s">
        <v>44</v>
      </c>
      <c r="D220" s="22">
        <v>171400</v>
      </c>
      <c r="E220" s="22"/>
      <c r="F220" s="22"/>
      <c r="G220" s="22"/>
      <c r="H220" s="22"/>
      <c r="I220" s="22"/>
      <c r="J220" s="22"/>
      <c r="K220" s="22"/>
      <c r="L220" s="22"/>
      <c r="M220" s="22">
        <f t="shared" si="36"/>
        <v>171400</v>
      </c>
      <c r="N220" s="22"/>
      <c r="O220" s="22"/>
      <c r="P220" s="22"/>
      <c r="Q220" s="22"/>
      <c r="R220" s="22"/>
      <c r="S220" s="22"/>
      <c r="T220" s="22">
        <f t="shared" si="34"/>
        <v>171400</v>
      </c>
      <c r="U220" s="35">
        <v>36950</v>
      </c>
      <c r="V220" s="39">
        <f t="shared" si="31"/>
        <v>134450</v>
      </c>
    </row>
    <row r="221" spans="1:23" x14ac:dyDescent="0.25">
      <c r="A221" s="158"/>
      <c r="B221" s="150"/>
      <c r="C221" s="34" t="s">
        <v>58</v>
      </c>
      <c r="D221" s="22">
        <v>303790</v>
      </c>
      <c r="E221" s="22">
        <v>-36000</v>
      </c>
      <c r="F221" s="22"/>
      <c r="G221" s="22"/>
      <c r="H221" s="22"/>
      <c r="I221" s="22"/>
      <c r="J221" s="22"/>
      <c r="K221" s="22"/>
      <c r="L221" s="22"/>
      <c r="M221" s="22">
        <f t="shared" si="36"/>
        <v>267790</v>
      </c>
      <c r="N221" s="25">
        <f>-57480+4776+51541+100000+50000</f>
        <v>148837</v>
      </c>
      <c r="O221" s="22"/>
      <c r="P221" s="22"/>
      <c r="Q221" s="22"/>
      <c r="R221" s="22"/>
      <c r="S221" s="22"/>
      <c r="T221" s="22">
        <f t="shared" si="34"/>
        <v>416627</v>
      </c>
      <c r="U221" s="66">
        <v>391079</v>
      </c>
      <c r="V221" s="39">
        <f t="shared" si="31"/>
        <v>25548</v>
      </c>
    </row>
    <row r="222" spans="1:23" x14ac:dyDescent="0.25">
      <c r="A222" s="158"/>
      <c r="B222" s="150"/>
      <c r="C222" s="34" t="s">
        <v>59</v>
      </c>
      <c r="D222" s="22">
        <v>125000</v>
      </c>
      <c r="E222" s="22"/>
      <c r="F222" s="22"/>
      <c r="G222" s="22"/>
      <c r="H222" s="22"/>
      <c r="I222" s="22"/>
      <c r="J222" s="22"/>
      <c r="K222" s="22"/>
      <c r="L222" s="22"/>
      <c r="M222" s="22">
        <f t="shared" si="36"/>
        <v>125000</v>
      </c>
      <c r="N222" s="22">
        <v>-20034</v>
      </c>
      <c r="O222" s="22"/>
      <c r="P222" s="22"/>
      <c r="Q222" s="22"/>
      <c r="R222" s="22"/>
      <c r="S222" s="22"/>
      <c r="T222" s="22">
        <f t="shared" si="34"/>
        <v>104966</v>
      </c>
      <c r="U222" s="35">
        <v>87412</v>
      </c>
      <c r="V222" s="39">
        <f t="shared" si="31"/>
        <v>17554</v>
      </c>
    </row>
    <row r="223" spans="1:23" x14ac:dyDescent="0.25">
      <c r="A223" s="158"/>
      <c r="B223" s="150"/>
      <c r="C223" s="34" t="s">
        <v>45</v>
      </c>
      <c r="D223" s="22">
        <v>321591</v>
      </c>
      <c r="E223" s="22"/>
      <c r="F223" s="22"/>
      <c r="G223" s="22"/>
      <c r="H223" s="22"/>
      <c r="I223" s="22"/>
      <c r="J223" s="22"/>
      <c r="K223" s="22"/>
      <c r="L223" s="22"/>
      <c r="M223" s="22">
        <f t="shared" si="36"/>
        <v>321591</v>
      </c>
      <c r="N223" s="22"/>
      <c r="O223" s="22"/>
      <c r="P223" s="22"/>
      <c r="Q223" s="22"/>
      <c r="R223" s="22"/>
      <c r="S223" s="22"/>
      <c r="T223" s="22">
        <f t="shared" si="34"/>
        <v>321591</v>
      </c>
      <c r="U223" s="35">
        <v>150074</v>
      </c>
      <c r="V223" s="39">
        <f t="shared" si="31"/>
        <v>171517</v>
      </c>
    </row>
    <row r="224" spans="1:23" x14ac:dyDescent="0.25">
      <c r="A224" s="158"/>
      <c r="B224" s="150"/>
      <c r="C224" s="34" t="s">
        <v>60</v>
      </c>
      <c r="D224" s="22">
        <v>12000</v>
      </c>
      <c r="E224" s="22"/>
      <c r="F224" s="25"/>
      <c r="G224" s="22"/>
      <c r="H224" s="22"/>
      <c r="I224" s="22"/>
      <c r="J224" s="22"/>
      <c r="K224" s="22"/>
      <c r="L224" s="22"/>
      <c r="M224" s="22">
        <f t="shared" si="36"/>
        <v>12000</v>
      </c>
      <c r="N224" s="22"/>
      <c r="O224" s="22"/>
      <c r="P224" s="22"/>
      <c r="Q224" s="22"/>
      <c r="R224" s="22"/>
      <c r="S224" s="22"/>
      <c r="T224" s="22">
        <f t="shared" si="34"/>
        <v>12000</v>
      </c>
      <c r="U224" s="35">
        <v>9976</v>
      </c>
      <c r="V224" s="37">
        <f t="shared" si="31"/>
        <v>2024</v>
      </c>
    </row>
    <row r="225" spans="1:23" x14ac:dyDescent="0.25">
      <c r="A225" s="158"/>
      <c r="B225" s="150"/>
      <c r="C225" s="83" t="s">
        <v>46</v>
      </c>
      <c r="D225" s="86">
        <f>SUM(D212:D224)</f>
        <v>2681861</v>
      </c>
      <c r="E225" s="84">
        <f t="shared" ref="E225:U225" si="37">SUM(E212:E224)</f>
        <v>-136922</v>
      </c>
      <c r="F225" s="84">
        <f t="shared" si="37"/>
        <v>0</v>
      </c>
      <c r="G225" s="84">
        <f t="shared" si="37"/>
        <v>0</v>
      </c>
      <c r="H225" s="84">
        <f t="shared" si="37"/>
        <v>0</v>
      </c>
      <c r="I225" s="84">
        <f t="shared" si="37"/>
        <v>0</v>
      </c>
      <c r="J225" s="84">
        <f t="shared" si="37"/>
        <v>0</v>
      </c>
      <c r="K225" s="84">
        <f t="shared" si="37"/>
        <v>0</v>
      </c>
      <c r="L225" s="84">
        <f t="shared" si="37"/>
        <v>0</v>
      </c>
      <c r="M225" s="84">
        <f t="shared" si="37"/>
        <v>2544939</v>
      </c>
      <c r="N225" s="84">
        <f t="shared" si="37"/>
        <v>35563</v>
      </c>
      <c r="O225" s="84">
        <f t="shared" si="37"/>
        <v>0</v>
      </c>
      <c r="P225" s="84">
        <f t="shared" si="37"/>
        <v>0</v>
      </c>
      <c r="Q225" s="84">
        <f t="shared" si="37"/>
        <v>0</v>
      </c>
      <c r="R225" s="84"/>
      <c r="S225" s="84"/>
      <c r="T225" s="84">
        <f t="shared" si="34"/>
        <v>2580502</v>
      </c>
      <c r="U225" s="85">
        <f t="shared" si="37"/>
        <v>1661751</v>
      </c>
      <c r="V225" s="86">
        <f t="shared" si="31"/>
        <v>918751</v>
      </c>
    </row>
    <row r="226" spans="1:23" s="10" customFormat="1" x14ac:dyDescent="0.25">
      <c r="A226" s="158"/>
      <c r="B226" s="150"/>
      <c r="C226" s="75" t="s">
        <v>144</v>
      </c>
      <c r="D226" s="25">
        <v>0</v>
      </c>
      <c r="E226" s="25"/>
      <c r="F226" s="25"/>
      <c r="G226" s="25"/>
      <c r="H226" s="25"/>
      <c r="I226" s="25"/>
      <c r="J226" s="25"/>
      <c r="K226" s="25"/>
      <c r="L226" s="25"/>
      <c r="M226" s="22">
        <f>D226+E226+F226+G226+H226+J226+I226</f>
        <v>0</v>
      </c>
      <c r="N226" s="22"/>
      <c r="O226" s="22"/>
      <c r="P226" s="22"/>
      <c r="Q226" s="22"/>
      <c r="R226" s="22"/>
      <c r="S226" s="22"/>
      <c r="T226" s="22">
        <f t="shared" si="34"/>
        <v>0</v>
      </c>
      <c r="U226" s="66">
        <v>0</v>
      </c>
      <c r="V226" s="37">
        <f t="shared" si="31"/>
        <v>0</v>
      </c>
      <c r="W226" s="12"/>
    </row>
    <row r="227" spans="1:23" x14ac:dyDescent="0.25">
      <c r="A227" s="158"/>
      <c r="B227" s="150"/>
      <c r="C227" s="34" t="s">
        <v>112</v>
      </c>
      <c r="D227" s="22">
        <v>354331</v>
      </c>
      <c r="E227" s="25"/>
      <c r="F227" s="22"/>
      <c r="G227" s="22"/>
      <c r="H227" s="22"/>
      <c r="I227" s="22"/>
      <c r="J227" s="22"/>
      <c r="K227" s="22"/>
      <c r="L227" s="22"/>
      <c r="M227" s="22">
        <f>D227+E227+F227+G227+H227+J227+I227</f>
        <v>354331</v>
      </c>
      <c r="N227" s="22">
        <v>-154330</v>
      </c>
      <c r="O227" s="22"/>
      <c r="P227" s="22"/>
      <c r="Q227" s="22"/>
      <c r="R227" s="22"/>
      <c r="S227" s="22"/>
      <c r="T227" s="22">
        <f t="shared" si="34"/>
        <v>200001</v>
      </c>
      <c r="U227" s="35">
        <f>288122-164500</f>
        <v>123622</v>
      </c>
      <c r="V227" s="37">
        <f t="shared" si="31"/>
        <v>76379</v>
      </c>
    </row>
    <row r="228" spans="1:23" x14ac:dyDescent="0.25">
      <c r="A228" s="158"/>
      <c r="B228" s="150"/>
      <c r="C228" s="34" t="s">
        <v>113</v>
      </c>
      <c r="D228" s="22">
        <v>95669</v>
      </c>
      <c r="E228" s="22"/>
      <c r="F228" s="22"/>
      <c r="G228" s="22"/>
      <c r="H228" s="22"/>
      <c r="I228" s="22"/>
      <c r="J228" s="22"/>
      <c r="K228" s="22"/>
      <c r="L228" s="22"/>
      <c r="M228" s="22">
        <f>D228+E228+F228+G228+H228+J228+I228</f>
        <v>95669</v>
      </c>
      <c r="N228" s="22">
        <v>-41669</v>
      </c>
      <c r="O228" s="22"/>
      <c r="P228" s="22"/>
      <c r="Q228" s="22"/>
      <c r="R228" s="22"/>
      <c r="S228" s="22"/>
      <c r="T228" s="22">
        <f t="shared" si="34"/>
        <v>54000</v>
      </c>
      <c r="U228" s="35">
        <v>33378</v>
      </c>
      <c r="V228" s="37">
        <f t="shared" si="31"/>
        <v>20622</v>
      </c>
    </row>
    <row r="229" spans="1:23" x14ac:dyDescent="0.25">
      <c r="A229" s="158"/>
      <c r="B229" s="151"/>
      <c r="C229" s="83" t="s">
        <v>114</v>
      </c>
      <c r="D229" s="84">
        <f>SUM(D226:D228)</f>
        <v>450000</v>
      </c>
      <c r="E229" s="84">
        <f t="shared" ref="E229:U229" si="38">SUM(E226:E228)</f>
        <v>0</v>
      </c>
      <c r="F229" s="84">
        <f t="shared" si="38"/>
        <v>0</v>
      </c>
      <c r="G229" s="84">
        <f t="shared" si="38"/>
        <v>0</v>
      </c>
      <c r="H229" s="84">
        <f t="shared" si="38"/>
        <v>0</v>
      </c>
      <c r="I229" s="84">
        <f t="shared" si="38"/>
        <v>0</v>
      </c>
      <c r="J229" s="84">
        <f t="shared" si="38"/>
        <v>0</v>
      </c>
      <c r="K229" s="84">
        <f t="shared" si="38"/>
        <v>0</v>
      </c>
      <c r="L229" s="84">
        <f t="shared" si="38"/>
        <v>0</v>
      </c>
      <c r="M229" s="84">
        <f t="shared" si="38"/>
        <v>450000</v>
      </c>
      <c r="N229" s="84">
        <f t="shared" si="38"/>
        <v>-195999</v>
      </c>
      <c r="O229" s="84">
        <f t="shared" si="38"/>
        <v>0</v>
      </c>
      <c r="P229" s="84">
        <f t="shared" si="38"/>
        <v>0</v>
      </c>
      <c r="Q229" s="84">
        <f t="shared" si="38"/>
        <v>0</v>
      </c>
      <c r="R229" s="84"/>
      <c r="S229" s="84"/>
      <c r="T229" s="84">
        <f t="shared" si="34"/>
        <v>254001</v>
      </c>
      <c r="U229" s="85">
        <f t="shared" si="38"/>
        <v>157000</v>
      </c>
      <c r="V229" s="86">
        <f t="shared" si="31"/>
        <v>97001</v>
      </c>
    </row>
    <row r="230" spans="1:23" x14ac:dyDescent="0.25">
      <c r="A230" s="158"/>
      <c r="B230" s="138" t="s">
        <v>21</v>
      </c>
      <c r="C230" s="34" t="s">
        <v>65</v>
      </c>
      <c r="D230" s="22">
        <v>1730000</v>
      </c>
      <c r="E230" s="22"/>
      <c r="F230" s="22"/>
      <c r="G230" s="22"/>
      <c r="H230" s="22"/>
      <c r="I230" s="22"/>
      <c r="J230" s="22"/>
      <c r="K230" s="22"/>
      <c r="L230" s="22"/>
      <c r="M230" s="22">
        <f>D230+E230+F230+G230+H230+J230+I230</f>
        <v>1730000</v>
      </c>
      <c r="N230" s="22"/>
      <c r="O230" s="22"/>
      <c r="P230" s="22"/>
      <c r="Q230" s="22"/>
      <c r="R230" s="22"/>
      <c r="S230" s="22"/>
      <c r="T230" s="22">
        <f t="shared" si="34"/>
        <v>1730000</v>
      </c>
      <c r="U230" s="35">
        <v>1113484</v>
      </c>
      <c r="V230" s="37">
        <f t="shared" si="31"/>
        <v>616516</v>
      </c>
    </row>
    <row r="231" spans="1:23" x14ac:dyDescent="0.25">
      <c r="A231" s="158"/>
      <c r="B231" s="138"/>
      <c r="C231" s="34" t="s">
        <v>52</v>
      </c>
      <c r="D231" s="22">
        <v>720000</v>
      </c>
      <c r="E231" s="22"/>
      <c r="F231" s="22"/>
      <c r="G231" s="22"/>
      <c r="H231" s="22"/>
      <c r="I231" s="22"/>
      <c r="J231" s="22"/>
      <c r="K231" s="22"/>
      <c r="L231" s="22"/>
      <c r="M231" s="22">
        <f>D231+E231+F231+G231+H231+J231+I231</f>
        <v>720000</v>
      </c>
      <c r="N231" s="22"/>
      <c r="O231" s="22"/>
      <c r="P231" s="22"/>
      <c r="Q231" s="22"/>
      <c r="R231" s="22"/>
      <c r="S231" s="22"/>
      <c r="T231" s="22">
        <f t="shared" si="34"/>
        <v>720000</v>
      </c>
      <c r="U231" s="35">
        <v>480000</v>
      </c>
      <c r="V231" s="37">
        <f t="shared" si="31"/>
        <v>240000</v>
      </c>
    </row>
    <row r="232" spans="1:23" x14ac:dyDescent="0.25">
      <c r="A232" s="158"/>
      <c r="B232" s="138"/>
      <c r="C232" s="83" t="s">
        <v>41</v>
      </c>
      <c r="D232" s="84">
        <f>SUM(D230:D231)</f>
        <v>2450000</v>
      </c>
      <c r="E232" s="84">
        <f t="shared" ref="E232:U232" si="39">SUM(E230:E231)</f>
        <v>0</v>
      </c>
      <c r="F232" s="84">
        <f t="shared" si="39"/>
        <v>0</v>
      </c>
      <c r="G232" s="84">
        <f t="shared" si="39"/>
        <v>0</v>
      </c>
      <c r="H232" s="84">
        <f t="shared" si="39"/>
        <v>0</v>
      </c>
      <c r="I232" s="84">
        <f t="shared" si="39"/>
        <v>0</v>
      </c>
      <c r="J232" s="84">
        <f t="shared" si="39"/>
        <v>0</v>
      </c>
      <c r="K232" s="84">
        <f t="shared" si="39"/>
        <v>0</v>
      </c>
      <c r="L232" s="84">
        <f t="shared" si="39"/>
        <v>0</v>
      </c>
      <c r="M232" s="84">
        <f t="shared" si="39"/>
        <v>2450000</v>
      </c>
      <c r="N232" s="84">
        <f t="shared" si="39"/>
        <v>0</v>
      </c>
      <c r="O232" s="84">
        <f t="shared" si="39"/>
        <v>0</v>
      </c>
      <c r="P232" s="84">
        <f t="shared" si="39"/>
        <v>0</v>
      </c>
      <c r="Q232" s="84">
        <f t="shared" si="39"/>
        <v>0</v>
      </c>
      <c r="R232" s="84"/>
      <c r="S232" s="84"/>
      <c r="T232" s="84">
        <f t="shared" si="34"/>
        <v>2450000</v>
      </c>
      <c r="U232" s="85">
        <f t="shared" si="39"/>
        <v>1593484</v>
      </c>
      <c r="V232" s="86">
        <f t="shared" si="31"/>
        <v>856516</v>
      </c>
    </row>
    <row r="233" spans="1:23" x14ac:dyDescent="0.25">
      <c r="A233" s="158"/>
      <c r="B233" s="138"/>
      <c r="C233" s="87" t="s">
        <v>42</v>
      </c>
      <c r="D233" s="88">
        <v>381190</v>
      </c>
      <c r="E233" s="88"/>
      <c r="F233" s="88"/>
      <c r="G233" s="88"/>
      <c r="H233" s="88"/>
      <c r="I233" s="88"/>
      <c r="J233" s="88"/>
      <c r="K233" s="88"/>
      <c r="L233" s="88"/>
      <c r="M233" s="89">
        <f>D233+E233+F233+G233+H233+J233</f>
        <v>381190</v>
      </c>
      <c r="N233" s="89"/>
      <c r="O233" s="89"/>
      <c r="P233" s="89"/>
      <c r="Q233" s="89"/>
      <c r="R233" s="89"/>
      <c r="S233" s="89"/>
      <c r="T233" s="89">
        <f t="shared" si="34"/>
        <v>381190</v>
      </c>
      <c r="U233" s="90">
        <v>223557</v>
      </c>
      <c r="V233" s="91">
        <f t="shared" si="31"/>
        <v>157633</v>
      </c>
    </row>
    <row r="234" spans="1:23" x14ac:dyDescent="0.25">
      <c r="A234" s="158"/>
      <c r="B234" s="138"/>
      <c r="C234" s="34" t="s">
        <v>43</v>
      </c>
      <c r="D234" s="22">
        <v>25000</v>
      </c>
      <c r="E234" s="22"/>
      <c r="F234" s="22"/>
      <c r="G234" s="22"/>
      <c r="H234" s="22"/>
      <c r="I234" s="22"/>
      <c r="J234" s="22"/>
      <c r="K234" s="22"/>
      <c r="L234" s="22"/>
      <c r="M234" s="22">
        <f t="shared" ref="M234:M242" si="40">D234+E234+F234+G234+H234+J234+I234</f>
        <v>25000</v>
      </c>
      <c r="N234" s="22"/>
      <c r="O234" s="22"/>
      <c r="P234" s="22"/>
      <c r="Q234" s="22"/>
      <c r="R234" s="22"/>
      <c r="S234" s="22"/>
      <c r="T234" s="22">
        <f t="shared" si="34"/>
        <v>25000</v>
      </c>
      <c r="U234" s="35">
        <v>0</v>
      </c>
      <c r="V234" s="37">
        <f t="shared" si="31"/>
        <v>25000</v>
      </c>
    </row>
    <row r="235" spans="1:23" x14ac:dyDescent="0.25">
      <c r="A235" s="158"/>
      <c r="B235" s="138"/>
      <c r="C235" s="75" t="s">
        <v>53</v>
      </c>
      <c r="D235" s="22">
        <v>30000</v>
      </c>
      <c r="E235" s="22"/>
      <c r="F235" s="22"/>
      <c r="G235" s="22"/>
      <c r="H235" s="22"/>
      <c r="I235" s="22"/>
      <c r="J235" s="22"/>
      <c r="K235" s="22"/>
      <c r="L235" s="22"/>
      <c r="M235" s="22">
        <f t="shared" si="40"/>
        <v>30000</v>
      </c>
      <c r="N235" s="22">
        <v>-20000</v>
      </c>
      <c r="O235" s="22"/>
      <c r="P235" s="22"/>
      <c r="Q235" s="22"/>
      <c r="R235" s="22"/>
      <c r="S235" s="22"/>
      <c r="T235" s="22">
        <f t="shared" si="34"/>
        <v>10000</v>
      </c>
      <c r="U235" s="35">
        <v>0</v>
      </c>
      <c r="V235" s="37">
        <f t="shared" si="31"/>
        <v>10000</v>
      </c>
    </row>
    <row r="236" spans="1:23" x14ac:dyDescent="0.25">
      <c r="A236" s="158"/>
      <c r="B236" s="138"/>
      <c r="C236" s="34" t="s">
        <v>55</v>
      </c>
      <c r="D236" s="22">
        <v>24000</v>
      </c>
      <c r="E236" s="22"/>
      <c r="F236" s="22"/>
      <c r="G236" s="22"/>
      <c r="H236" s="22"/>
      <c r="I236" s="22"/>
      <c r="J236" s="22"/>
      <c r="K236" s="22"/>
      <c r="L236" s="22"/>
      <c r="M236" s="22">
        <f t="shared" si="40"/>
        <v>24000</v>
      </c>
      <c r="N236" s="22"/>
      <c r="O236" s="22"/>
      <c r="P236" s="22"/>
      <c r="Q236" s="22"/>
      <c r="R236" s="22"/>
      <c r="S236" s="22"/>
      <c r="T236" s="22">
        <f t="shared" si="34"/>
        <v>24000</v>
      </c>
      <c r="U236" s="35">
        <v>12184</v>
      </c>
      <c r="V236" s="37">
        <f t="shared" si="31"/>
        <v>11816</v>
      </c>
    </row>
    <row r="237" spans="1:23" x14ac:dyDescent="0.25">
      <c r="A237" s="158"/>
      <c r="B237" s="138"/>
      <c r="C237" s="34" t="s">
        <v>62</v>
      </c>
      <c r="D237" s="22">
        <v>2080800</v>
      </c>
      <c r="E237" s="22"/>
      <c r="F237" s="22"/>
      <c r="G237" s="22"/>
      <c r="H237" s="22"/>
      <c r="I237" s="22"/>
      <c r="J237" s="22"/>
      <c r="K237" s="22"/>
      <c r="L237" s="22"/>
      <c r="M237" s="22">
        <f t="shared" si="40"/>
        <v>2080800</v>
      </c>
      <c r="N237" s="22"/>
      <c r="O237" s="22"/>
      <c r="P237" s="22"/>
      <c r="Q237" s="22"/>
      <c r="R237" s="22"/>
      <c r="S237" s="22"/>
      <c r="T237" s="22">
        <f t="shared" si="34"/>
        <v>2080800</v>
      </c>
      <c r="U237" s="35">
        <v>1260700</v>
      </c>
      <c r="V237" s="37">
        <f t="shared" si="31"/>
        <v>820100</v>
      </c>
    </row>
    <row r="238" spans="1:23" x14ac:dyDescent="0.25">
      <c r="A238" s="158"/>
      <c r="B238" s="138"/>
      <c r="C238" s="34" t="s">
        <v>57</v>
      </c>
      <c r="D238" s="25">
        <v>280000</v>
      </c>
      <c r="E238" s="22">
        <f>-116000+36000</f>
        <v>-80000</v>
      </c>
      <c r="F238" s="22"/>
      <c r="G238" s="22"/>
      <c r="H238" s="22"/>
      <c r="I238" s="22"/>
      <c r="J238" s="22"/>
      <c r="K238" s="22"/>
      <c r="L238" s="22"/>
      <c r="M238" s="22">
        <f t="shared" si="40"/>
        <v>200000</v>
      </c>
      <c r="N238" s="22">
        <f>22000+50000</f>
        <v>72000</v>
      </c>
      <c r="O238" s="22"/>
      <c r="P238" s="22"/>
      <c r="Q238" s="22"/>
      <c r="R238" s="22"/>
      <c r="S238" s="22"/>
      <c r="T238" s="22">
        <f t="shared" si="34"/>
        <v>272000</v>
      </c>
      <c r="U238" s="35">
        <v>234000</v>
      </c>
      <c r="V238" s="39">
        <f t="shared" si="31"/>
        <v>38000</v>
      </c>
    </row>
    <row r="239" spans="1:23" x14ac:dyDescent="0.25">
      <c r="A239" s="158"/>
      <c r="B239" s="138"/>
      <c r="C239" s="34" t="s">
        <v>64</v>
      </c>
      <c r="D239" s="22">
        <v>54000</v>
      </c>
      <c r="E239" s="22"/>
      <c r="F239" s="22"/>
      <c r="G239" s="22"/>
      <c r="H239" s="22"/>
      <c r="I239" s="22"/>
      <c r="J239" s="22"/>
      <c r="K239" s="22"/>
      <c r="L239" s="22"/>
      <c r="M239" s="22">
        <f t="shared" si="40"/>
        <v>54000</v>
      </c>
      <c r="N239" s="22"/>
      <c r="O239" s="22"/>
      <c r="P239" s="22"/>
      <c r="Q239" s="22"/>
      <c r="R239" s="22"/>
      <c r="S239" s="22"/>
      <c r="T239" s="22">
        <f t="shared" si="34"/>
        <v>54000</v>
      </c>
      <c r="U239" s="35">
        <v>42000</v>
      </c>
      <c r="V239" s="37">
        <f t="shared" si="31"/>
        <v>12000</v>
      </c>
    </row>
    <row r="240" spans="1:23" x14ac:dyDescent="0.25">
      <c r="A240" s="158"/>
      <c r="B240" s="138"/>
      <c r="C240" s="34" t="s">
        <v>58</v>
      </c>
      <c r="D240" s="22">
        <v>70000</v>
      </c>
      <c r="E240" s="22"/>
      <c r="F240" s="22"/>
      <c r="G240" s="22"/>
      <c r="H240" s="22"/>
      <c r="I240" s="22"/>
      <c r="J240" s="22"/>
      <c r="K240" s="22"/>
      <c r="L240" s="22"/>
      <c r="M240" s="22">
        <f t="shared" si="40"/>
        <v>70000</v>
      </c>
      <c r="N240" s="25">
        <v>20000</v>
      </c>
      <c r="O240" s="22"/>
      <c r="P240" s="22"/>
      <c r="Q240" s="22"/>
      <c r="R240" s="22"/>
      <c r="S240" s="22"/>
      <c r="T240" s="22">
        <f t="shared" si="34"/>
        <v>90000</v>
      </c>
      <c r="U240" s="35">
        <v>88000</v>
      </c>
      <c r="V240" s="37">
        <f t="shared" si="31"/>
        <v>2000</v>
      </c>
    </row>
    <row r="241" spans="1:22" x14ac:dyDescent="0.25">
      <c r="A241" s="158"/>
      <c r="B241" s="138"/>
      <c r="C241" s="34" t="s">
        <v>45</v>
      </c>
      <c r="D241" s="22">
        <v>686726</v>
      </c>
      <c r="E241" s="22"/>
      <c r="F241" s="22"/>
      <c r="G241" s="22"/>
      <c r="H241" s="22"/>
      <c r="I241" s="22"/>
      <c r="J241" s="22"/>
      <c r="K241" s="22"/>
      <c r="L241" s="22"/>
      <c r="M241" s="22">
        <f t="shared" si="40"/>
        <v>686726</v>
      </c>
      <c r="N241" s="22"/>
      <c r="O241" s="22"/>
      <c r="P241" s="22"/>
      <c r="Q241" s="22"/>
      <c r="R241" s="22"/>
      <c r="S241" s="22"/>
      <c r="T241" s="22">
        <f t="shared" si="34"/>
        <v>686726</v>
      </c>
      <c r="U241" s="35">
        <v>441165</v>
      </c>
      <c r="V241" s="37">
        <f t="shared" si="31"/>
        <v>245561</v>
      </c>
    </row>
    <row r="242" spans="1:22" x14ac:dyDescent="0.25">
      <c r="A242" s="158"/>
      <c r="B242" s="138"/>
      <c r="C242" s="34" t="s">
        <v>60</v>
      </c>
      <c r="D242" s="22">
        <v>0</v>
      </c>
      <c r="E242" s="22"/>
      <c r="F242" s="22"/>
      <c r="G242" s="22"/>
      <c r="H242" s="22"/>
      <c r="I242" s="22"/>
      <c r="J242" s="22"/>
      <c r="K242" s="22"/>
      <c r="L242" s="22"/>
      <c r="M242" s="22">
        <f t="shared" si="40"/>
        <v>0</v>
      </c>
      <c r="N242" s="22"/>
      <c r="O242" s="22"/>
      <c r="P242" s="22"/>
      <c r="Q242" s="22"/>
      <c r="R242" s="22"/>
      <c r="S242" s="22"/>
      <c r="T242" s="22">
        <f t="shared" si="34"/>
        <v>0</v>
      </c>
      <c r="U242" s="35">
        <v>0</v>
      </c>
      <c r="V242" s="37">
        <f t="shared" si="31"/>
        <v>0</v>
      </c>
    </row>
    <row r="243" spans="1:22" x14ac:dyDescent="0.25">
      <c r="A243" s="158"/>
      <c r="B243" s="138"/>
      <c r="C243" s="83" t="s">
        <v>46</v>
      </c>
      <c r="D243" s="84">
        <f>SUM(D234:D242)</f>
        <v>3250526</v>
      </c>
      <c r="E243" s="84">
        <f t="shared" ref="E243:U243" si="41">SUM(E234:E242)</f>
        <v>-80000</v>
      </c>
      <c r="F243" s="84">
        <f t="shared" si="41"/>
        <v>0</v>
      </c>
      <c r="G243" s="84">
        <f t="shared" si="41"/>
        <v>0</v>
      </c>
      <c r="H243" s="84">
        <f t="shared" si="41"/>
        <v>0</v>
      </c>
      <c r="I243" s="84">
        <f t="shared" si="41"/>
        <v>0</v>
      </c>
      <c r="J243" s="84">
        <f t="shared" si="41"/>
        <v>0</v>
      </c>
      <c r="K243" s="84">
        <f t="shared" si="41"/>
        <v>0</v>
      </c>
      <c r="L243" s="84">
        <f t="shared" si="41"/>
        <v>0</v>
      </c>
      <c r="M243" s="84">
        <f t="shared" si="41"/>
        <v>3170526</v>
      </c>
      <c r="N243" s="84">
        <f t="shared" si="41"/>
        <v>72000</v>
      </c>
      <c r="O243" s="84">
        <f t="shared" si="41"/>
        <v>0</v>
      </c>
      <c r="P243" s="84">
        <f t="shared" si="41"/>
        <v>0</v>
      </c>
      <c r="Q243" s="84">
        <f t="shared" si="41"/>
        <v>0</v>
      </c>
      <c r="R243" s="84"/>
      <c r="S243" s="84"/>
      <c r="T243" s="84">
        <f t="shared" si="34"/>
        <v>3242526</v>
      </c>
      <c r="U243" s="85">
        <f t="shared" si="41"/>
        <v>2078049</v>
      </c>
      <c r="V243" s="86">
        <f t="shared" si="31"/>
        <v>1164477</v>
      </c>
    </row>
    <row r="244" spans="1:22" x14ac:dyDescent="0.25">
      <c r="A244" s="137" t="s">
        <v>78</v>
      </c>
      <c r="B244" s="139" t="s">
        <v>18</v>
      </c>
      <c r="C244" s="34" t="s">
        <v>40</v>
      </c>
      <c r="D244" s="25">
        <v>7878826</v>
      </c>
      <c r="E244" s="22"/>
      <c r="F244" s="22"/>
      <c r="G244" s="22"/>
      <c r="H244" s="22"/>
      <c r="I244" s="22"/>
      <c r="J244" s="22"/>
      <c r="K244" s="25"/>
      <c r="L244" s="22"/>
      <c r="M244" s="22">
        <f t="shared" ref="M244:M263" si="42">D244+E244+F244+G244+H244+J244+I244+K244</f>
        <v>7878826</v>
      </c>
      <c r="N244" s="22"/>
      <c r="O244" s="22"/>
      <c r="P244" s="22"/>
      <c r="Q244" s="22"/>
      <c r="R244" s="22"/>
      <c r="S244" s="22"/>
      <c r="T244" s="22">
        <f t="shared" si="34"/>
        <v>7878826</v>
      </c>
      <c r="U244" s="35">
        <v>4464601</v>
      </c>
      <c r="V244" s="37">
        <f t="shared" si="31"/>
        <v>3414225</v>
      </c>
    </row>
    <row r="245" spans="1:22" x14ac:dyDescent="0.25">
      <c r="A245" s="149"/>
      <c r="B245" s="151"/>
      <c r="C245" s="34" t="s">
        <v>42</v>
      </c>
      <c r="D245" s="25">
        <v>1221218</v>
      </c>
      <c r="E245" s="22"/>
      <c r="F245" s="22"/>
      <c r="G245" s="22"/>
      <c r="H245" s="22"/>
      <c r="I245" s="22"/>
      <c r="J245" s="22"/>
      <c r="K245" s="22"/>
      <c r="L245" s="22"/>
      <c r="M245" s="22">
        <f t="shared" si="42"/>
        <v>1221218</v>
      </c>
      <c r="N245" s="22"/>
      <c r="O245" s="22"/>
      <c r="P245" s="22"/>
      <c r="Q245" s="22"/>
      <c r="R245" s="22"/>
      <c r="S245" s="22"/>
      <c r="T245" s="22">
        <f t="shared" si="34"/>
        <v>1221218</v>
      </c>
      <c r="U245" s="35">
        <v>679017</v>
      </c>
      <c r="V245" s="37">
        <f t="shared" si="31"/>
        <v>542201</v>
      </c>
    </row>
    <row r="246" spans="1:22" x14ac:dyDescent="0.25">
      <c r="A246" s="137" t="s">
        <v>79</v>
      </c>
      <c r="B246" s="139" t="s">
        <v>10</v>
      </c>
      <c r="C246" s="34" t="s">
        <v>40</v>
      </c>
      <c r="D246" s="25">
        <v>671136</v>
      </c>
      <c r="E246" s="22"/>
      <c r="F246" s="22"/>
      <c r="G246" s="22"/>
      <c r="H246" s="22"/>
      <c r="I246" s="22"/>
      <c r="J246" s="22"/>
      <c r="K246" s="22"/>
      <c r="L246" s="22"/>
      <c r="M246" s="22">
        <f t="shared" si="42"/>
        <v>671136</v>
      </c>
      <c r="N246" s="22"/>
      <c r="O246" s="22"/>
      <c r="P246" s="22"/>
      <c r="Q246" s="22"/>
      <c r="R246" s="22"/>
      <c r="S246" s="22"/>
      <c r="T246" s="22">
        <f t="shared" si="34"/>
        <v>671136</v>
      </c>
      <c r="U246" s="35">
        <v>438955</v>
      </c>
      <c r="V246" s="37">
        <f t="shared" si="31"/>
        <v>232181</v>
      </c>
    </row>
    <row r="247" spans="1:22" x14ac:dyDescent="0.25">
      <c r="A247" s="148"/>
      <c r="B247" s="151"/>
      <c r="C247" s="34" t="s">
        <v>42</v>
      </c>
      <c r="D247" s="25">
        <v>104026</v>
      </c>
      <c r="E247" s="22"/>
      <c r="F247" s="22"/>
      <c r="G247" s="22"/>
      <c r="H247" s="22"/>
      <c r="I247" s="22"/>
      <c r="J247" s="22"/>
      <c r="K247" s="22"/>
      <c r="L247" s="22"/>
      <c r="M247" s="22">
        <f t="shared" si="42"/>
        <v>104026</v>
      </c>
      <c r="N247" s="22"/>
      <c r="O247" s="22"/>
      <c r="P247" s="22"/>
      <c r="Q247" s="22"/>
      <c r="R247" s="22"/>
      <c r="S247" s="22"/>
      <c r="T247" s="22">
        <f t="shared" si="34"/>
        <v>104026</v>
      </c>
      <c r="U247" s="35">
        <v>66570</v>
      </c>
      <c r="V247" s="39">
        <f t="shared" si="31"/>
        <v>37456</v>
      </c>
    </row>
    <row r="248" spans="1:22" x14ac:dyDescent="0.25">
      <c r="A248" s="137" t="s">
        <v>80</v>
      </c>
      <c r="B248" s="139" t="s">
        <v>12</v>
      </c>
      <c r="C248" s="34" t="s">
        <v>40</v>
      </c>
      <c r="D248" s="25">
        <v>691812</v>
      </c>
      <c r="E248" s="22"/>
      <c r="F248" s="22"/>
      <c r="G248" s="22"/>
      <c r="H248" s="22"/>
      <c r="I248" s="22"/>
      <c r="J248" s="22"/>
      <c r="K248" s="22"/>
      <c r="L248" s="22"/>
      <c r="M248" s="22">
        <f t="shared" si="42"/>
        <v>691812</v>
      </c>
      <c r="N248" s="22"/>
      <c r="O248" s="22"/>
      <c r="P248" s="22"/>
      <c r="Q248" s="22"/>
      <c r="R248" s="22"/>
      <c r="S248" s="22"/>
      <c r="T248" s="22">
        <f t="shared" si="34"/>
        <v>691812</v>
      </c>
      <c r="U248" s="35">
        <v>356984</v>
      </c>
      <c r="V248" s="37">
        <f t="shared" si="31"/>
        <v>334828</v>
      </c>
    </row>
    <row r="249" spans="1:22" x14ac:dyDescent="0.25">
      <c r="A249" s="149"/>
      <c r="B249" s="151"/>
      <c r="C249" s="34" t="s">
        <v>42</v>
      </c>
      <c r="D249" s="25">
        <v>95897</v>
      </c>
      <c r="E249" s="22"/>
      <c r="F249" s="22"/>
      <c r="G249" s="22"/>
      <c r="H249" s="22"/>
      <c r="I249" s="22"/>
      <c r="J249" s="22"/>
      <c r="K249" s="22"/>
      <c r="L249" s="22"/>
      <c r="M249" s="22">
        <f t="shared" si="42"/>
        <v>95897</v>
      </c>
      <c r="N249" s="22"/>
      <c r="O249" s="22"/>
      <c r="P249" s="22"/>
      <c r="Q249" s="22"/>
      <c r="R249" s="22"/>
      <c r="S249" s="22"/>
      <c r="T249" s="22">
        <f t="shared" si="34"/>
        <v>95897</v>
      </c>
      <c r="U249" s="35">
        <v>53901</v>
      </c>
      <c r="V249" s="37">
        <f t="shared" si="31"/>
        <v>41996</v>
      </c>
    </row>
    <row r="250" spans="1:22" x14ac:dyDescent="0.25">
      <c r="A250" s="137" t="s">
        <v>81</v>
      </c>
      <c r="B250" s="139" t="s">
        <v>13</v>
      </c>
      <c r="C250" s="34" t="s">
        <v>40</v>
      </c>
      <c r="D250" s="25">
        <v>1903599</v>
      </c>
      <c r="E250" s="22"/>
      <c r="F250" s="22"/>
      <c r="G250" s="22"/>
      <c r="H250" s="22"/>
      <c r="I250" s="22"/>
      <c r="J250" s="22"/>
      <c r="K250" s="22"/>
      <c r="L250" s="22"/>
      <c r="M250" s="22">
        <f t="shared" si="42"/>
        <v>1903599</v>
      </c>
      <c r="N250" s="22"/>
      <c r="O250" s="22"/>
      <c r="P250" s="22"/>
      <c r="Q250" s="22"/>
      <c r="R250" s="22"/>
      <c r="S250" s="22"/>
      <c r="T250" s="22">
        <f t="shared" si="34"/>
        <v>1903599</v>
      </c>
      <c r="U250" s="35">
        <v>1580777</v>
      </c>
      <c r="V250" s="37">
        <f t="shared" si="31"/>
        <v>322822</v>
      </c>
    </row>
    <row r="251" spans="1:22" x14ac:dyDescent="0.25">
      <c r="A251" s="149"/>
      <c r="B251" s="151"/>
      <c r="C251" s="34" t="s">
        <v>42</v>
      </c>
      <c r="D251" s="25">
        <v>283793</v>
      </c>
      <c r="E251" s="22"/>
      <c r="F251" s="22"/>
      <c r="G251" s="22"/>
      <c r="H251" s="22"/>
      <c r="I251" s="22"/>
      <c r="J251" s="22"/>
      <c r="K251" s="22"/>
      <c r="L251" s="22"/>
      <c r="M251" s="22">
        <f t="shared" si="42"/>
        <v>283793</v>
      </c>
      <c r="N251" s="22"/>
      <c r="O251" s="22"/>
      <c r="P251" s="22"/>
      <c r="Q251" s="22"/>
      <c r="R251" s="22"/>
      <c r="S251" s="22"/>
      <c r="T251" s="22">
        <f t="shared" si="34"/>
        <v>283793</v>
      </c>
      <c r="U251" s="35">
        <v>241134</v>
      </c>
      <c r="V251" s="37">
        <f t="shared" si="31"/>
        <v>42659</v>
      </c>
    </row>
    <row r="252" spans="1:22" x14ac:dyDescent="0.25">
      <c r="A252" s="137" t="s">
        <v>82</v>
      </c>
      <c r="B252" s="139" t="s">
        <v>16</v>
      </c>
      <c r="C252" s="34" t="s">
        <v>40</v>
      </c>
      <c r="D252" s="25">
        <v>803880</v>
      </c>
      <c r="E252" s="22"/>
      <c r="F252" s="22"/>
      <c r="G252" s="22"/>
      <c r="H252" s="22"/>
      <c r="I252" s="22"/>
      <c r="J252" s="22"/>
      <c r="K252" s="22"/>
      <c r="L252" s="22"/>
      <c r="M252" s="22">
        <f t="shared" si="42"/>
        <v>803880</v>
      </c>
      <c r="N252" s="22"/>
      <c r="O252" s="22"/>
      <c r="P252" s="22"/>
      <c r="Q252" s="22"/>
      <c r="R252" s="22"/>
      <c r="S252" s="22"/>
      <c r="T252" s="22">
        <f t="shared" si="34"/>
        <v>803880</v>
      </c>
      <c r="U252" s="35">
        <v>535921</v>
      </c>
      <c r="V252" s="37">
        <f t="shared" si="31"/>
        <v>267959</v>
      </c>
    </row>
    <row r="253" spans="1:22" x14ac:dyDescent="0.25">
      <c r="A253" s="149"/>
      <c r="B253" s="151"/>
      <c r="C253" s="34" t="s">
        <v>42</v>
      </c>
      <c r="D253" s="25">
        <v>124601</v>
      </c>
      <c r="E253" s="22"/>
      <c r="F253" s="22"/>
      <c r="G253" s="22"/>
      <c r="H253" s="22"/>
      <c r="I253" s="22"/>
      <c r="J253" s="22"/>
      <c r="K253" s="22"/>
      <c r="L253" s="22"/>
      <c r="M253" s="22">
        <f t="shared" si="42"/>
        <v>124601</v>
      </c>
      <c r="N253" s="22"/>
      <c r="O253" s="22"/>
      <c r="P253" s="22"/>
      <c r="Q253" s="22"/>
      <c r="R253" s="22"/>
      <c r="S253" s="22"/>
      <c r="T253" s="22">
        <f t="shared" si="34"/>
        <v>124601</v>
      </c>
      <c r="U253" s="35">
        <v>81545</v>
      </c>
      <c r="V253" s="37">
        <f t="shared" si="31"/>
        <v>43056</v>
      </c>
    </row>
    <row r="254" spans="1:22" x14ac:dyDescent="0.25">
      <c r="A254" s="137" t="s">
        <v>83</v>
      </c>
      <c r="B254" s="139" t="s">
        <v>18</v>
      </c>
      <c r="C254" s="34" t="s">
        <v>51</v>
      </c>
      <c r="D254" s="25">
        <v>0</v>
      </c>
      <c r="E254" s="22"/>
      <c r="F254" s="22"/>
      <c r="G254" s="22"/>
      <c r="H254" s="22"/>
      <c r="I254" s="22"/>
      <c r="J254" s="22"/>
      <c r="K254" s="22"/>
      <c r="L254" s="22"/>
      <c r="M254" s="22">
        <f t="shared" si="42"/>
        <v>0</v>
      </c>
      <c r="N254" s="22"/>
      <c r="O254" s="22"/>
      <c r="P254" s="22"/>
      <c r="Q254" s="22"/>
      <c r="R254" s="22"/>
      <c r="S254" s="22"/>
      <c r="T254" s="22">
        <f t="shared" si="34"/>
        <v>0</v>
      </c>
      <c r="U254" s="35">
        <v>0</v>
      </c>
      <c r="V254" s="37">
        <f t="shared" si="31"/>
        <v>0</v>
      </c>
    </row>
    <row r="255" spans="1:22" x14ac:dyDescent="0.25">
      <c r="A255" s="149"/>
      <c r="B255" s="151"/>
      <c r="C255" s="34" t="s">
        <v>42</v>
      </c>
      <c r="D255" s="25">
        <v>0</v>
      </c>
      <c r="E255" s="22"/>
      <c r="F255" s="22"/>
      <c r="G255" s="22"/>
      <c r="H255" s="22"/>
      <c r="I255" s="22"/>
      <c r="J255" s="22"/>
      <c r="K255" s="22"/>
      <c r="L255" s="22"/>
      <c r="M255" s="22">
        <f t="shared" si="42"/>
        <v>0</v>
      </c>
      <c r="N255" s="22"/>
      <c r="O255" s="22"/>
      <c r="P255" s="22"/>
      <c r="Q255" s="22"/>
      <c r="R255" s="22"/>
      <c r="S255" s="22"/>
      <c r="T255" s="22">
        <f t="shared" si="34"/>
        <v>0</v>
      </c>
      <c r="U255" s="35">
        <v>0</v>
      </c>
      <c r="V255" s="37">
        <f t="shared" si="31"/>
        <v>0</v>
      </c>
    </row>
    <row r="256" spans="1:22" x14ac:dyDescent="0.25">
      <c r="A256" s="137" t="s">
        <v>84</v>
      </c>
      <c r="B256" s="139" t="s">
        <v>10</v>
      </c>
      <c r="C256" s="34" t="s">
        <v>51</v>
      </c>
      <c r="D256" s="25">
        <v>0</v>
      </c>
      <c r="E256" s="22"/>
      <c r="F256" s="22"/>
      <c r="G256" s="22"/>
      <c r="H256" s="22"/>
      <c r="I256" s="22"/>
      <c r="J256" s="22"/>
      <c r="K256" s="22"/>
      <c r="L256" s="22"/>
      <c r="M256" s="22">
        <f t="shared" si="42"/>
        <v>0</v>
      </c>
      <c r="N256" s="22"/>
      <c r="O256" s="22"/>
      <c r="P256" s="22"/>
      <c r="Q256" s="22"/>
      <c r="R256" s="22"/>
      <c r="S256" s="22"/>
      <c r="T256" s="22">
        <f t="shared" si="34"/>
        <v>0</v>
      </c>
      <c r="U256" s="35">
        <v>0</v>
      </c>
      <c r="V256" s="37">
        <f t="shared" si="31"/>
        <v>0</v>
      </c>
    </row>
    <row r="257" spans="1:22" x14ac:dyDescent="0.25">
      <c r="A257" s="149"/>
      <c r="B257" s="151"/>
      <c r="C257" s="34" t="s">
        <v>42</v>
      </c>
      <c r="D257" s="25">
        <v>0</v>
      </c>
      <c r="E257" s="22"/>
      <c r="F257" s="22"/>
      <c r="G257" s="22"/>
      <c r="H257" s="22"/>
      <c r="I257" s="22"/>
      <c r="J257" s="22"/>
      <c r="K257" s="22"/>
      <c r="L257" s="22"/>
      <c r="M257" s="22">
        <f t="shared" si="42"/>
        <v>0</v>
      </c>
      <c r="N257" s="22"/>
      <c r="O257" s="22"/>
      <c r="P257" s="22"/>
      <c r="Q257" s="22"/>
      <c r="R257" s="22"/>
      <c r="S257" s="22"/>
      <c r="T257" s="22">
        <f t="shared" si="34"/>
        <v>0</v>
      </c>
      <c r="U257" s="35">
        <v>0</v>
      </c>
      <c r="V257" s="37">
        <f t="shared" si="31"/>
        <v>0</v>
      </c>
    </row>
    <row r="258" spans="1:22" x14ac:dyDescent="0.25">
      <c r="A258" s="137" t="s">
        <v>85</v>
      </c>
      <c r="B258" s="139" t="s">
        <v>13</v>
      </c>
      <c r="C258" s="34" t="s">
        <v>51</v>
      </c>
      <c r="D258" s="25">
        <v>0</v>
      </c>
      <c r="E258" s="22"/>
      <c r="F258" s="22"/>
      <c r="G258" s="22"/>
      <c r="H258" s="22"/>
      <c r="I258" s="22"/>
      <c r="J258" s="22"/>
      <c r="K258" s="22"/>
      <c r="L258" s="22"/>
      <c r="M258" s="22">
        <f t="shared" si="42"/>
        <v>0</v>
      </c>
      <c r="N258" s="22"/>
      <c r="O258" s="22"/>
      <c r="P258" s="22"/>
      <c r="Q258" s="22"/>
      <c r="R258" s="22"/>
      <c r="S258" s="22"/>
      <c r="T258" s="22">
        <f t="shared" si="34"/>
        <v>0</v>
      </c>
      <c r="U258" s="35">
        <v>0</v>
      </c>
      <c r="V258" s="37">
        <f t="shared" si="31"/>
        <v>0</v>
      </c>
    </row>
    <row r="259" spans="1:22" x14ac:dyDescent="0.25">
      <c r="A259" s="149"/>
      <c r="B259" s="151"/>
      <c r="C259" s="34" t="s">
        <v>42</v>
      </c>
      <c r="D259" s="25">
        <v>0</v>
      </c>
      <c r="E259" s="22"/>
      <c r="F259" s="22"/>
      <c r="G259" s="22"/>
      <c r="H259" s="22"/>
      <c r="I259" s="22"/>
      <c r="J259" s="22"/>
      <c r="K259" s="22"/>
      <c r="L259" s="22"/>
      <c r="M259" s="22">
        <f t="shared" si="42"/>
        <v>0</v>
      </c>
      <c r="N259" s="22"/>
      <c r="O259" s="22"/>
      <c r="P259" s="22"/>
      <c r="Q259" s="22"/>
      <c r="R259" s="22"/>
      <c r="S259" s="22"/>
      <c r="T259" s="22">
        <f t="shared" si="34"/>
        <v>0</v>
      </c>
      <c r="U259" s="35">
        <v>0</v>
      </c>
      <c r="V259" s="37">
        <f t="shared" si="31"/>
        <v>0</v>
      </c>
    </row>
    <row r="260" spans="1:22" x14ac:dyDescent="0.25">
      <c r="A260" s="137" t="s">
        <v>86</v>
      </c>
      <c r="B260" s="139" t="s">
        <v>16</v>
      </c>
      <c r="C260" s="34" t="s">
        <v>51</v>
      </c>
      <c r="D260" s="25">
        <v>0</v>
      </c>
      <c r="E260" s="22"/>
      <c r="F260" s="22"/>
      <c r="G260" s="22"/>
      <c r="H260" s="22"/>
      <c r="I260" s="22"/>
      <c r="J260" s="22"/>
      <c r="K260" s="22"/>
      <c r="L260" s="22"/>
      <c r="M260" s="22">
        <f t="shared" si="42"/>
        <v>0</v>
      </c>
      <c r="N260" s="22"/>
      <c r="O260" s="22"/>
      <c r="P260" s="22"/>
      <c r="Q260" s="22"/>
      <c r="R260" s="22"/>
      <c r="S260" s="22"/>
      <c r="T260" s="22">
        <f t="shared" si="34"/>
        <v>0</v>
      </c>
      <c r="U260" s="35">
        <v>0</v>
      </c>
      <c r="V260" s="37">
        <f t="shared" si="31"/>
        <v>0</v>
      </c>
    </row>
    <row r="261" spans="1:22" x14ac:dyDescent="0.25">
      <c r="A261" s="149"/>
      <c r="B261" s="151"/>
      <c r="C261" s="34" t="s">
        <v>42</v>
      </c>
      <c r="D261" s="25">
        <v>0</v>
      </c>
      <c r="E261" s="22"/>
      <c r="F261" s="22"/>
      <c r="G261" s="22"/>
      <c r="H261" s="22"/>
      <c r="I261" s="22"/>
      <c r="J261" s="22"/>
      <c r="K261" s="22"/>
      <c r="L261" s="22"/>
      <c r="M261" s="22">
        <f t="shared" si="42"/>
        <v>0</v>
      </c>
      <c r="N261" s="22"/>
      <c r="O261" s="22"/>
      <c r="P261" s="22"/>
      <c r="Q261" s="22"/>
      <c r="R261" s="22"/>
      <c r="S261" s="22"/>
      <c r="T261" s="22">
        <f t="shared" si="34"/>
        <v>0</v>
      </c>
      <c r="U261" s="35">
        <v>0</v>
      </c>
      <c r="V261" s="37">
        <f t="shared" si="31"/>
        <v>0</v>
      </c>
    </row>
    <row r="262" spans="1:22" x14ac:dyDescent="0.25">
      <c r="A262" s="148" t="s">
        <v>143</v>
      </c>
      <c r="B262" s="139" t="s">
        <v>12</v>
      </c>
      <c r="C262" s="34" t="s">
        <v>51</v>
      </c>
      <c r="D262" s="25">
        <v>0</v>
      </c>
      <c r="E262" s="22"/>
      <c r="F262" s="22"/>
      <c r="G262" s="22"/>
      <c r="H262" s="22"/>
      <c r="I262" s="22"/>
      <c r="J262" s="22"/>
      <c r="K262" s="22"/>
      <c r="L262" s="22"/>
      <c r="M262" s="22">
        <f t="shared" si="42"/>
        <v>0</v>
      </c>
      <c r="N262" s="22"/>
      <c r="O262" s="22"/>
      <c r="P262" s="22"/>
      <c r="Q262" s="22"/>
      <c r="R262" s="22"/>
      <c r="S262" s="22"/>
      <c r="T262" s="22">
        <f t="shared" si="34"/>
        <v>0</v>
      </c>
      <c r="U262" s="35">
        <v>0</v>
      </c>
      <c r="V262" s="37">
        <f t="shared" si="31"/>
        <v>0</v>
      </c>
    </row>
    <row r="263" spans="1:22" x14ac:dyDescent="0.25">
      <c r="A263" s="149"/>
      <c r="B263" s="151"/>
      <c r="C263" s="34" t="s">
        <v>42</v>
      </c>
      <c r="D263" s="25">
        <v>0</v>
      </c>
      <c r="E263" s="22"/>
      <c r="F263" s="22"/>
      <c r="G263" s="22"/>
      <c r="H263" s="22"/>
      <c r="I263" s="22"/>
      <c r="J263" s="22"/>
      <c r="K263" s="22"/>
      <c r="L263" s="22"/>
      <c r="M263" s="22">
        <f t="shared" si="42"/>
        <v>0</v>
      </c>
      <c r="N263" s="22"/>
      <c r="O263" s="22"/>
      <c r="P263" s="22"/>
      <c r="Q263" s="22"/>
      <c r="R263" s="22"/>
      <c r="S263" s="22"/>
      <c r="T263" s="22">
        <f t="shared" si="34"/>
        <v>0</v>
      </c>
      <c r="U263" s="35">
        <v>0</v>
      </c>
      <c r="V263" s="37">
        <f t="shared" si="31"/>
        <v>0</v>
      </c>
    </row>
    <row r="264" spans="1:22" x14ac:dyDescent="0.25">
      <c r="A264" s="140" t="s">
        <v>116</v>
      </c>
      <c r="B264" s="141"/>
      <c r="C264" s="142"/>
      <c r="D264" s="93">
        <f t="shared" ref="D264:M264" si="43">SUM(D243,D244,D245,D246,D247,D248,D249,D250,D251,D252,D253,D254,D255,D256,D257,D258,D259,D260,D261,D262,D263,D233,D232,D229,D225,D211,D210,D201,D193,D192,D186,D173,D172,D165,D151,D150,D139,D127,D126,D118,D113,D112,)</f>
        <v>170257518</v>
      </c>
      <c r="E264" s="94">
        <f t="shared" si="43"/>
        <v>0</v>
      </c>
      <c r="F264" s="94">
        <f t="shared" si="43"/>
        <v>0</v>
      </c>
      <c r="G264" s="94">
        <f t="shared" si="43"/>
        <v>0</v>
      </c>
      <c r="H264" s="94">
        <f t="shared" si="43"/>
        <v>0</v>
      </c>
      <c r="I264" s="94">
        <f t="shared" si="43"/>
        <v>0</v>
      </c>
      <c r="J264" s="94">
        <f t="shared" si="43"/>
        <v>0</v>
      </c>
      <c r="K264" s="94">
        <f t="shared" si="43"/>
        <v>0</v>
      </c>
      <c r="L264" s="94">
        <f t="shared" si="43"/>
        <v>0</v>
      </c>
      <c r="M264" s="94">
        <f t="shared" si="43"/>
        <v>170257518</v>
      </c>
      <c r="N264" s="95">
        <f t="shared" ref="N264:T264" si="44">SUM(N243,N244,N245,N246,N247,N248,N249,N250,N251,N252,N253,N254,N255,N256,N257,N258,N259,N260,N261,N262,N263,N233,N232,N229,N225,N211,N210,N201,N193,N192,N186,N173,N142,N172,N165,N151,N150,N139,N127,N126,N118,N113,N112,)</f>
        <v>0</v>
      </c>
      <c r="O264" s="95">
        <f t="shared" si="44"/>
        <v>-2546026</v>
      </c>
      <c r="P264" s="95">
        <f t="shared" si="44"/>
        <v>0</v>
      </c>
      <c r="Q264" s="95">
        <f t="shared" si="44"/>
        <v>0</v>
      </c>
      <c r="R264" s="95">
        <f t="shared" si="44"/>
        <v>0</v>
      </c>
      <c r="S264" s="95">
        <f t="shared" si="44"/>
        <v>0</v>
      </c>
      <c r="T264" s="95">
        <f t="shared" si="44"/>
        <v>167711492</v>
      </c>
      <c r="U264" s="95">
        <f>SUM(U243,U244,U245,U246,U247,U248,U249,U250,U251,U252,U253,U254,U255,U256,U257,U258,U259,U260,U261,U262,U263,U233,U232,U229,U225,U211,U210,U201,U193,U192,U186,U173,U142,U172,U165,U151,U150,U139,U127,U126,U118,U113,U112,)</f>
        <v>93583626</v>
      </c>
      <c r="V264" s="93">
        <f t="shared" ref="V264:V328" si="45">T264-U264</f>
        <v>74127866</v>
      </c>
    </row>
    <row r="265" spans="1:22" x14ac:dyDescent="0.25">
      <c r="A265" s="136" t="s">
        <v>66</v>
      </c>
      <c r="B265" s="56" t="s">
        <v>6</v>
      </c>
      <c r="C265" s="34" t="s">
        <v>67</v>
      </c>
      <c r="D265" s="22">
        <v>0</v>
      </c>
      <c r="E265" s="22"/>
      <c r="F265" s="22"/>
      <c r="G265" s="22"/>
      <c r="H265" s="22"/>
      <c r="I265" s="22"/>
      <c r="J265" s="22"/>
      <c r="K265" s="22"/>
      <c r="L265" s="22"/>
      <c r="M265" s="22">
        <f>D265+E265+F265+G265+H265+J265+I265</f>
        <v>0</v>
      </c>
      <c r="N265" s="22"/>
      <c r="O265" s="22"/>
      <c r="P265" s="22"/>
      <c r="Q265" s="22"/>
      <c r="R265" s="22"/>
      <c r="S265" s="22"/>
      <c r="T265" s="22">
        <f t="shared" si="34"/>
        <v>0</v>
      </c>
      <c r="U265" s="35">
        <v>0</v>
      </c>
      <c r="V265" s="37">
        <f t="shared" si="45"/>
        <v>0</v>
      </c>
    </row>
    <row r="266" spans="1:22" x14ac:dyDescent="0.25">
      <c r="A266" s="136"/>
      <c r="B266" s="139" t="s">
        <v>39</v>
      </c>
      <c r="C266" s="34" t="s">
        <v>40</v>
      </c>
      <c r="D266" s="22">
        <v>978360</v>
      </c>
      <c r="E266" s="22"/>
      <c r="F266" s="22"/>
      <c r="G266" s="22"/>
      <c r="H266" s="22"/>
      <c r="I266" s="22"/>
      <c r="J266" s="22"/>
      <c r="K266" s="22"/>
      <c r="L266" s="22"/>
      <c r="M266" s="22">
        <f>D266+E266+F266+G266+H266+J266+I266</f>
        <v>978360</v>
      </c>
      <c r="N266" s="22"/>
      <c r="O266" s="22"/>
      <c r="P266" s="22"/>
      <c r="Q266" s="22"/>
      <c r="R266" s="22"/>
      <c r="S266" s="22"/>
      <c r="T266" s="22">
        <f t="shared" si="34"/>
        <v>978360</v>
      </c>
      <c r="U266" s="35">
        <v>669590</v>
      </c>
      <c r="V266" s="37">
        <f t="shared" si="45"/>
        <v>308770</v>
      </c>
    </row>
    <row r="267" spans="1:22" x14ac:dyDescent="0.25">
      <c r="A267" s="136"/>
      <c r="B267" s="150"/>
      <c r="C267" s="34" t="s">
        <v>51</v>
      </c>
      <c r="D267" s="22">
        <v>0</v>
      </c>
      <c r="E267" s="22"/>
      <c r="F267" s="22"/>
      <c r="G267" s="22"/>
      <c r="H267" s="22"/>
      <c r="I267" s="22"/>
      <c r="J267" s="22"/>
      <c r="K267" s="22"/>
      <c r="L267" s="22"/>
      <c r="M267" s="22">
        <f>D267+E267+F267+G267+H267+J267+I267</f>
        <v>0</v>
      </c>
      <c r="N267" s="22"/>
      <c r="O267" s="22"/>
      <c r="P267" s="22"/>
      <c r="Q267" s="22"/>
      <c r="R267" s="22"/>
      <c r="S267" s="22"/>
      <c r="T267" s="22">
        <f t="shared" ref="T267:T331" si="46">SUM(M267:S267)</f>
        <v>0</v>
      </c>
      <c r="U267" s="35">
        <v>0</v>
      </c>
      <c r="V267" s="37">
        <f t="shared" si="45"/>
        <v>0</v>
      </c>
    </row>
    <row r="268" spans="1:22" x14ac:dyDescent="0.25">
      <c r="A268" s="136"/>
      <c r="B268" s="150"/>
      <c r="C268" s="83" t="s">
        <v>41</v>
      </c>
      <c r="D268" s="84">
        <f>SUM(D266:D267)</f>
        <v>978360</v>
      </c>
      <c r="E268" s="84">
        <f t="shared" ref="E268:U268" si="47">SUM(E266:E267)</f>
        <v>0</v>
      </c>
      <c r="F268" s="84">
        <f t="shared" si="47"/>
        <v>0</v>
      </c>
      <c r="G268" s="84">
        <f t="shared" si="47"/>
        <v>0</v>
      </c>
      <c r="H268" s="84">
        <f t="shared" si="47"/>
        <v>0</v>
      </c>
      <c r="I268" s="84">
        <f t="shared" si="47"/>
        <v>0</v>
      </c>
      <c r="J268" s="84">
        <f t="shared" si="47"/>
        <v>0</v>
      </c>
      <c r="K268" s="84">
        <f t="shared" si="47"/>
        <v>0</v>
      </c>
      <c r="L268" s="84">
        <f t="shared" si="47"/>
        <v>0</v>
      </c>
      <c r="M268" s="84">
        <f t="shared" si="47"/>
        <v>978360</v>
      </c>
      <c r="N268" s="84">
        <f t="shared" si="47"/>
        <v>0</v>
      </c>
      <c r="O268" s="84">
        <f t="shared" si="47"/>
        <v>0</v>
      </c>
      <c r="P268" s="84">
        <f t="shared" si="47"/>
        <v>0</v>
      </c>
      <c r="Q268" s="84">
        <f t="shared" si="47"/>
        <v>0</v>
      </c>
      <c r="R268" s="84"/>
      <c r="S268" s="84"/>
      <c r="T268" s="84">
        <f t="shared" si="46"/>
        <v>978360</v>
      </c>
      <c r="U268" s="85">
        <f t="shared" si="47"/>
        <v>669590</v>
      </c>
      <c r="V268" s="86">
        <f t="shared" si="45"/>
        <v>308770</v>
      </c>
    </row>
    <row r="269" spans="1:22" x14ac:dyDescent="0.25">
      <c r="A269" s="136"/>
      <c r="B269" s="150"/>
      <c r="C269" s="87" t="s">
        <v>42</v>
      </c>
      <c r="D269" s="88">
        <v>75823</v>
      </c>
      <c r="E269" s="88"/>
      <c r="F269" s="88"/>
      <c r="G269" s="88"/>
      <c r="H269" s="88"/>
      <c r="I269" s="88"/>
      <c r="J269" s="88"/>
      <c r="K269" s="88"/>
      <c r="L269" s="88"/>
      <c r="M269" s="89">
        <f>D269+E269+F269+G269+H269+J269</f>
        <v>75823</v>
      </c>
      <c r="N269" s="89"/>
      <c r="O269" s="89"/>
      <c r="P269" s="89"/>
      <c r="Q269" s="89"/>
      <c r="R269" s="89"/>
      <c r="S269" s="89"/>
      <c r="T269" s="89">
        <f t="shared" si="46"/>
        <v>75823</v>
      </c>
      <c r="U269" s="90">
        <v>51897</v>
      </c>
      <c r="V269" s="91">
        <f t="shared" si="45"/>
        <v>23926</v>
      </c>
    </row>
    <row r="270" spans="1:22" x14ac:dyDescent="0.25">
      <c r="A270" s="136"/>
      <c r="B270" s="150"/>
      <c r="C270" s="34" t="s">
        <v>43</v>
      </c>
      <c r="D270" s="22">
        <v>0</v>
      </c>
      <c r="E270" s="22"/>
      <c r="F270" s="22"/>
      <c r="G270" s="22"/>
      <c r="H270" s="22"/>
      <c r="I270" s="22"/>
      <c r="J270" s="22"/>
      <c r="K270" s="22"/>
      <c r="L270" s="22"/>
      <c r="M270" s="22">
        <f>D270+E270+F270+G270+H270+J270+I270</f>
        <v>0</v>
      </c>
      <c r="N270" s="22"/>
      <c r="O270" s="22"/>
      <c r="P270" s="22"/>
      <c r="Q270" s="22"/>
      <c r="R270" s="22"/>
      <c r="S270" s="22"/>
      <c r="T270" s="22">
        <f t="shared" si="46"/>
        <v>0</v>
      </c>
      <c r="U270" s="35">
        <v>0</v>
      </c>
      <c r="V270" s="66">
        <f t="shared" si="45"/>
        <v>0</v>
      </c>
    </row>
    <row r="271" spans="1:22" x14ac:dyDescent="0.25">
      <c r="A271" s="136"/>
      <c r="B271" s="150"/>
      <c r="C271" s="34" t="s">
        <v>53</v>
      </c>
      <c r="D271" s="22">
        <v>0</v>
      </c>
      <c r="E271" s="22"/>
      <c r="F271" s="22"/>
      <c r="G271" s="22"/>
      <c r="H271" s="22"/>
      <c r="I271" s="22"/>
      <c r="J271" s="22"/>
      <c r="K271" s="22"/>
      <c r="L271" s="22"/>
      <c r="M271" s="22">
        <f>D271+E271+F271+G271+H271+J271+I271</f>
        <v>0</v>
      </c>
      <c r="N271" s="22"/>
      <c r="O271" s="22"/>
      <c r="P271" s="22"/>
      <c r="Q271" s="22"/>
      <c r="R271" s="22"/>
      <c r="S271" s="22"/>
      <c r="T271" s="22">
        <f t="shared" si="46"/>
        <v>0</v>
      </c>
      <c r="U271" s="35">
        <v>0</v>
      </c>
      <c r="V271" s="66">
        <f t="shared" si="45"/>
        <v>0</v>
      </c>
    </row>
    <row r="272" spans="1:22" x14ac:dyDescent="0.25">
      <c r="A272" s="136"/>
      <c r="B272" s="150"/>
      <c r="C272" s="34" t="s">
        <v>44</v>
      </c>
      <c r="D272" s="22">
        <v>0</v>
      </c>
      <c r="E272" s="22"/>
      <c r="F272" s="22"/>
      <c r="G272" s="22"/>
      <c r="H272" s="22"/>
      <c r="I272" s="22"/>
      <c r="J272" s="22"/>
      <c r="K272" s="22"/>
      <c r="L272" s="22"/>
      <c r="M272" s="22">
        <f>D272+E272+F272+G272+H272+J272+I272</f>
        <v>0</v>
      </c>
      <c r="N272" s="22"/>
      <c r="O272" s="22"/>
      <c r="P272" s="22"/>
      <c r="Q272" s="22"/>
      <c r="R272" s="22"/>
      <c r="S272" s="22"/>
      <c r="T272" s="22">
        <f t="shared" si="46"/>
        <v>0</v>
      </c>
      <c r="U272" s="35">
        <v>0</v>
      </c>
      <c r="V272" s="66">
        <f t="shared" si="45"/>
        <v>0</v>
      </c>
    </row>
    <row r="273" spans="1:23" x14ac:dyDescent="0.25">
      <c r="A273" s="136"/>
      <c r="B273" s="150"/>
      <c r="C273" s="34" t="s">
        <v>45</v>
      </c>
      <c r="D273" s="22">
        <v>0</v>
      </c>
      <c r="E273" s="22"/>
      <c r="F273" s="22"/>
      <c r="G273" s="22"/>
      <c r="H273" s="22"/>
      <c r="I273" s="22"/>
      <c r="J273" s="22"/>
      <c r="K273" s="22"/>
      <c r="L273" s="22"/>
      <c r="M273" s="22">
        <f>D273+E273+F273+G273+H273+J273+I273</f>
        <v>0</v>
      </c>
      <c r="N273" s="22"/>
      <c r="O273" s="22"/>
      <c r="P273" s="22"/>
      <c r="Q273" s="22"/>
      <c r="R273" s="22"/>
      <c r="S273" s="22"/>
      <c r="T273" s="22">
        <f t="shared" si="46"/>
        <v>0</v>
      </c>
      <c r="U273" s="35">
        <v>0</v>
      </c>
      <c r="V273" s="66">
        <f t="shared" si="45"/>
        <v>0</v>
      </c>
    </row>
    <row r="274" spans="1:23" x14ac:dyDescent="0.25">
      <c r="A274" s="136"/>
      <c r="B274" s="151"/>
      <c r="C274" s="83" t="s">
        <v>46</v>
      </c>
      <c r="D274" s="84">
        <f>SUM(D270:D273)</f>
        <v>0</v>
      </c>
      <c r="E274" s="84">
        <f t="shared" ref="E274:U274" si="48">SUM(E270:E273)</f>
        <v>0</v>
      </c>
      <c r="F274" s="84">
        <f t="shared" si="48"/>
        <v>0</v>
      </c>
      <c r="G274" s="84">
        <f t="shared" si="48"/>
        <v>0</v>
      </c>
      <c r="H274" s="84">
        <f t="shared" si="48"/>
        <v>0</v>
      </c>
      <c r="I274" s="84">
        <f t="shared" si="48"/>
        <v>0</v>
      </c>
      <c r="J274" s="84">
        <f t="shared" si="48"/>
        <v>0</v>
      </c>
      <c r="K274" s="84">
        <f t="shared" si="48"/>
        <v>0</v>
      </c>
      <c r="L274" s="84">
        <f t="shared" si="48"/>
        <v>0</v>
      </c>
      <c r="M274" s="84">
        <f t="shared" si="48"/>
        <v>0</v>
      </c>
      <c r="N274" s="84">
        <f t="shared" si="48"/>
        <v>0</v>
      </c>
      <c r="O274" s="84">
        <f t="shared" si="48"/>
        <v>0</v>
      </c>
      <c r="P274" s="84">
        <f t="shared" si="48"/>
        <v>0</v>
      </c>
      <c r="Q274" s="84">
        <f t="shared" si="48"/>
        <v>0</v>
      </c>
      <c r="R274" s="84"/>
      <c r="S274" s="84"/>
      <c r="T274" s="84">
        <f t="shared" si="46"/>
        <v>0</v>
      </c>
      <c r="U274" s="85">
        <f t="shared" si="48"/>
        <v>0</v>
      </c>
      <c r="V274" s="85">
        <f t="shared" si="45"/>
        <v>0</v>
      </c>
    </row>
    <row r="275" spans="1:23" x14ac:dyDescent="0.25">
      <c r="A275" s="136"/>
      <c r="B275" s="138" t="s">
        <v>18</v>
      </c>
      <c r="C275" s="34" t="s">
        <v>40</v>
      </c>
      <c r="D275" s="22">
        <v>5489437</v>
      </c>
      <c r="E275" s="22"/>
      <c r="F275" s="25"/>
      <c r="G275" s="25"/>
      <c r="H275" s="22"/>
      <c r="I275" s="22"/>
      <c r="J275" s="22"/>
      <c r="K275" s="22"/>
      <c r="L275" s="22"/>
      <c r="M275" s="22">
        <f t="shared" ref="M275:M280" si="49">D275+E275+F275+G275+H275+J275+I275</f>
        <v>5489437</v>
      </c>
      <c r="N275" s="22"/>
      <c r="O275" s="22"/>
      <c r="P275" s="22"/>
      <c r="Q275" s="22"/>
      <c r="R275" s="22"/>
      <c r="S275" s="22"/>
      <c r="T275" s="22">
        <f t="shared" si="46"/>
        <v>5489437</v>
      </c>
      <c r="U275" s="35">
        <v>3485828</v>
      </c>
      <c r="V275" s="37">
        <f t="shared" si="45"/>
        <v>2003609</v>
      </c>
    </row>
    <row r="276" spans="1:23" x14ac:dyDescent="0.25">
      <c r="A276" s="136"/>
      <c r="B276" s="138"/>
      <c r="C276" s="34" t="s">
        <v>47</v>
      </c>
      <c r="D276" s="22">
        <v>200000</v>
      </c>
      <c r="E276" s="22"/>
      <c r="F276" s="25"/>
      <c r="G276" s="25"/>
      <c r="H276" s="22"/>
      <c r="I276" s="22"/>
      <c r="J276" s="22"/>
      <c r="K276" s="22"/>
      <c r="L276" s="22"/>
      <c r="M276" s="22">
        <f t="shared" si="49"/>
        <v>200000</v>
      </c>
      <c r="N276" s="22"/>
      <c r="O276" s="22"/>
      <c r="P276" s="22"/>
      <c r="Q276" s="22"/>
      <c r="R276" s="22"/>
      <c r="S276" s="22"/>
      <c r="T276" s="22">
        <f t="shared" si="46"/>
        <v>200000</v>
      </c>
      <c r="U276" s="35">
        <v>100000</v>
      </c>
      <c r="V276" s="37">
        <f t="shared" si="45"/>
        <v>100000</v>
      </c>
    </row>
    <row r="277" spans="1:23" x14ac:dyDescent="0.25">
      <c r="A277" s="136"/>
      <c r="B277" s="138"/>
      <c r="C277" s="34" t="s">
        <v>48</v>
      </c>
      <c r="D277" s="22">
        <v>20000</v>
      </c>
      <c r="E277" s="22"/>
      <c r="F277" s="25"/>
      <c r="G277" s="25"/>
      <c r="H277" s="22"/>
      <c r="I277" s="22"/>
      <c r="J277" s="22"/>
      <c r="K277" s="22"/>
      <c r="L277" s="22"/>
      <c r="M277" s="22">
        <f t="shared" si="49"/>
        <v>20000</v>
      </c>
      <c r="N277" s="22"/>
      <c r="O277" s="22"/>
      <c r="P277" s="22"/>
      <c r="Q277" s="22"/>
      <c r="R277" s="22"/>
      <c r="S277" s="22"/>
      <c r="T277" s="22">
        <f t="shared" si="46"/>
        <v>20000</v>
      </c>
      <c r="U277" s="35">
        <v>0</v>
      </c>
      <c r="V277" s="37">
        <f t="shared" si="45"/>
        <v>20000</v>
      </c>
    </row>
    <row r="278" spans="1:23" x14ac:dyDescent="0.25">
      <c r="A278" s="136"/>
      <c r="B278" s="138"/>
      <c r="C278" s="34" t="s">
        <v>50</v>
      </c>
      <c r="D278" s="22">
        <v>24000</v>
      </c>
      <c r="E278" s="22"/>
      <c r="F278" s="25"/>
      <c r="G278" s="25"/>
      <c r="H278" s="22"/>
      <c r="I278" s="22"/>
      <c r="J278" s="22"/>
      <c r="K278" s="22"/>
      <c r="L278" s="22"/>
      <c r="M278" s="22">
        <f t="shared" si="49"/>
        <v>24000</v>
      </c>
      <c r="N278" s="22"/>
      <c r="O278" s="22"/>
      <c r="P278" s="22"/>
      <c r="Q278" s="22"/>
      <c r="R278" s="22"/>
      <c r="S278" s="22"/>
      <c r="T278" s="22">
        <f t="shared" si="46"/>
        <v>24000</v>
      </c>
      <c r="U278" s="35">
        <v>12000</v>
      </c>
      <c r="V278" s="37">
        <f t="shared" si="45"/>
        <v>12000</v>
      </c>
    </row>
    <row r="279" spans="1:23" x14ac:dyDescent="0.25">
      <c r="A279" s="136"/>
      <c r="B279" s="138"/>
      <c r="C279" s="34" t="s">
        <v>51</v>
      </c>
      <c r="D279" s="22">
        <v>0</v>
      </c>
      <c r="E279" s="22"/>
      <c r="F279" s="25"/>
      <c r="G279" s="25"/>
      <c r="H279" s="22"/>
      <c r="I279" s="22"/>
      <c r="J279" s="22"/>
      <c r="K279" s="22"/>
      <c r="L279" s="22"/>
      <c r="M279" s="22">
        <f t="shared" si="49"/>
        <v>0</v>
      </c>
      <c r="N279" s="22"/>
      <c r="O279" s="22"/>
      <c r="P279" s="22"/>
      <c r="Q279" s="22"/>
      <c r="R279" s="22"/>
      <c r="S279" s="22"/>
      <c r="T279" s="22">
        <f t="shared" si="46"/>
        <v>0</v>
      </c>
      <c r="U279" s="35">
        <v>0</v>
      </c>
      <c r="V279" s="37">
        <f t="shared" si="45"/>
        <v>0</v>
      </c>
    </row>
    <row r="280" spans="1:23" x14ac:dyDescent="0.25">
      <c r="A280" s="136"/>
      <c r="B280" s="138"/>
      <c r="C280" s="34" t="s">
        <v>52</v>
      </c>
      <c r="D280" s="22">
        <v>0</v>
      </c>
      <c r="E280" s="22"/>
      <c r="F280" s="22"/>
      <c r="G280" s="22"/>
      <c r="H280" s="22"/>
      <c r="I280" s="22"/>
      <c r="J280" s="22"/>
      <c r="K280" s="22"/>
      <c r="L280" s="22"/>
      <c r="M280" s="22">
        <f t="shared" si="49"/>
        <v>0</v>
      </c>
      <c r="N280" s="22"/>
      <c r="O280" s="22"/>
      <c r="P280" s="22"/>
      <c r="Q280" s="22"/>
      <c r="R280" s="22"/>
      <c r="S280" s="22"/>
      <c r="T280" s="22">
        <f t="shared" si="46"/>
        <v>0</v>
      </c>
      <c r="U280" s="35">
        <v>0</v>
      </c>
      <c r="V280" s="37">
        <f t="shared" si="45"/>
        <v>0</v>
      </c>
    </row>
    <row r="281" spans="1:23" x14ac:dyDescent="0.25">
      <c r="A281" s="136"/>
      <c r="B281" s="138"/>
      <c r="C281" s="83" t="s">
        <v>41</v>
      </c>
      <c r="D281" s="84">
        <f>SUM(D275:D280)</f>
        <v>5733437</v>
      </c>
      <c r="E281" s="84">
        <f t="shared" ref="E281:U281" si="50">SUM(E275:E280)</f>
        <v>0</v>
      </c>
      <c r="F281" s="84">
        <f t="shared" si="50"/>
        <v>0</v>
      </c>
      <c r="G281" s="84">
        <f t="shared" si="50"/>
        <v>0</v>
      </c>
      <c r="H281" s="84">
        <f t="shared" si="50"/>
        <v>0</v>
      </c>
      <c r="I281" s="84">
        <f t="shared" si="50"/>
        <v>0</v>
      </c>
      <c r="J281" s="84">
        <f t="shared" si="50"/>
        <v>0</v>
      </c>
      <c r="K281" s="84">
        <f t="shared" si="50"/>
        <v>0</v>
      </c>
      <c r="L281" s="84">
        <f t="shared" si="50"/>
        <v>0</v>
      </c>
      <c r="M281" s="84">
        <f t="shared" si="50"/>
        <v>5733437</v>
      </c>
      <c r="N281" s="84">
        <f t="shared" si="50"/>
        <v>0</v>
      </c>
      <c r="O281" s="84">
        <f t="shared" si="50"/>
        <v>0</v>
      </c>
      <c r="P281" s="84">
        <f t="shared" si="50"/>
        <v>0</v>
      </c>
      <c r="Q281" s="84">
        <f t="shared" si="50"/>
        <v>0</v>
      </c>
      <c r="R281" s="84"/>
      <c r="S281" s="84"/>
      <c r="T281" s="84">
        <f t="shared" si="46"/>
        <v>5733437</v>
      </c>
      <c r="U281" s="85">
        <f t="shared" si="50"/>
        <v>3597828</v>
      </c>
      <c r="V281" s="86">
        <f t="shared" si="45"/>
        <v>2135609</v>
      </c>
    </row>
    <row r="282" spans="1:23" x14ac:dyDescent="0.25">
      <c r="A282" s="136"/>
      <c r="B282" s="138"/>
      <c r="C282" s="87" t="s">
        <v>42</v>
      </c>
      <c r="D282" s="88">
        <v>903183</v>
      </c>
      <c r="E282" s="88"/>
      <c r="F282" s="88"/>
      <c r="G282" s="88"/>
      <c r="H282" s="88"/>
      <c r="I282" s="88"/>
      <c r="J282" s="88"/>
      <c r="K282" s="88"/>
      <c r="L282" s="88"/>
      <c r="M282" s="89">
        <f>D282+E282+F282+G282+H282+J282</f>
        <v>903183</v>
      </c>
      <c r="N282" s="89"/>
      <c r="O282" s="89"/>
      <c r="P282" s="89"/>
      <c r="Q282" s="89"/>
      <c r="R282" s="89"/>
      <c r="S282" s="89"/>
      <c r="T282" s="89">
        <f t="shared" si="46"/>
        <v>903183</v>
      </c>
      <c r="U282" s="90">
        <v>565551</v>
      </c>
      <c r="V282" s="91">
        <f t="shared" si="45"/>
        <v>337632</v>
      </c>
    </row>
    <row r="283" spans="1:23" x14ac:dyDescent="0.25">
      <c r="A283" s="136"/>
      <c r="B283" s="138"/>
      <c r="C283" s="34" t="s">
        <v>43</v>
      </c>
      <c r="D283" s="22">
        <v>20000</v>
      </c>
      <c r="E283" s="22"/>
      <c r="F283" s="22"/>
      <c r="G283" s="22"/>
      <c r="H283" s="22"/>
      <c r="I283" s="22"/>
      <c r="J283" s="22"/>
      <c r="K283" s="22"/>
      <c r="L283" s="22"/>
      <c r="M283" s="22">
        <f t="shared" ref="M283:M292" si="51">D283+E283+F283+G283+H283+J283+I283</f>
        <v>20000</v>
      </c>
      <c r="N283" s="22"/>
      <c r="O283" s="22"/>
      <c r="P283" s="22"/>
      <c r="Q283" s="22"/>
      <c r="R283" s="22"/>
      <c r="S283" s="22"/>
      <c r="T283" s="22">
        <f t="shared" si="46"/>
        <v>20000</v>
      </c>
      <c r="U283" s="35">
        <v>0</v>
      </c>
      <c r="V283" s="37">
        <f t="shared" si="45"/>
        <v>20000</v>
      </c>
    </row>
    <row r="284" spans="1:23" x14ac:dyDescent="0.25">
      <c r="A284" s="136"/>
      <c r="B284" s="138"/>
      <c r="C284" s="34" t="s">
        <v>53</v>
      </c>
      <c r="D284" s="22">
        <v>80000</v>
      </c>
      <c r="E284" s="22"/>
      <c r="F284" s="22">
        <v>201142</v>
      </c>
      <c r="G284" s="22"/>
      <c r="H284" s="22"/>
      <c r="I284" s="22"/>
      <c r="J284" s="22"/>
      <c r="K284" s="22"/>
      <c r="L284" s="22"/>
      <c r="M284" s="22">
        <f t="shared" si="51"/>
        <v>281142</v>
      </c>
      <c r="N284" s="22"/>
      <c r="O284" s="22">
        <v>19685</v>
      </c>
      <c r="P284" s="22"/>
      <c r="Q284" s="22"/>
      <c r="R284" s="22"/>
      <c r="S284" s="22"/>
      <c r="T284" s="22">
        <f t="shared" si="46"/>
        <v>300827</v>
      </c>
      <c r="U284" s="35">
        <v>165277</v>
      </c>
      <c r="V284" s="39">
        <f t="shared" si="45"/>
        <v>135550</v>
      </c>
    </row>
    <row r="285" spans="1:23" x14ac:dyDescent="0.25">
      <c r="A285" s="136"/>
      <c r="B285" s="138"/>
      <c r="C285" s="75" t="s">
        <v>55</v>
      </c>
      <c r="D285" s="22">
        <v>0</v>
      </c>
      <c r="E285" s="22"/>
      <c r="F285" s="25"/>
      <c r="G285" s="25"/>
      <c r="H285" s="25"/>
      <c r="I285" s="25"/>
      <c r="J285" s="22"/>
      <c r="K285" s="22"/>
      <c r="L285" s="22"/>
      <c r="M285" s="22">
        <f t="shared" si="51"/>
        <v>0</v>
      </c>
      <c r="N285" s="22"/>
      <c r="O285" s="22"/>
      <c r="P285" s="22"/>
      <c r="Q285" s="22"/>
      <c r="R285" s="22"/>
      <c r="S285" s="22"/>
      <c r="T285" s="22">
        <f t="shared" si="46"/>
        <v>0</v>
      </c>
      <c r="U285" s="35">
        <v>0</v>
      </c>
      <c r="V285" s="66">
        <f t="shared" si="45"/>
        <v>0</v>
      </c>
    </row>
    <row r="286" spans="1:23" x14ac:dyDescent="0.25">
      <c r="A286" s="136"/>
      <c r="B286" s="138"/>
      <c r="C286" s="34" t="s">
        <v>56</v>
      </c>
      <c r="D286" s="22">
        <v>0</v>
      </c>
      <c r="E286" s="22"/>
      <c r="F286" s="25"/>
      <c r="G286" s="25"/>
      <c r="H286" s="25"/>
      <c r="I286" s="25"/>
      <c r="J286" s="22"/>
      <c r="K286" s="22"/>
      <c r="L286" s="22"/>
      <c r="M286" s="22">
        <f t="shared" si="51"/>
        <v>0</v>
      </c>
      <c r="N286" s="22"/>
      <c r="O286" s="22"/>
      <c r="P286" s="22"/>
      <c r="Q286" s="22"/>
      <c r="R286" s="22"/>
      <c r="S286" s="22"/>
      <c r="T286" s="22">
        <f t="shared" si="46"/>
        <v>0</v>
      </c>
      <c r="U286" s="35">
        <v>0</v>
      </c>
      <c r="V286" s="39">
        <f t="shared" si="45"/>
        <v>0</v>
      </c>
    </row>
    <row r="287" spans="1:23" s="4" customFormat="1" x14ac:dyDescent="0.25">
      <c r="A287" s="136"/>
      <c r="B287" s="138"/>
      <c r="C287" s="75" t="s">
        <v>57</v>
      </c>
      <c r="D287" s="25">
        <v>0</v>
      </c>
      <c r="E287" s="25"/>
      <c r="F287" s="25"/>
      <c r="G287" s="25"/>
      <c r="H287" s="25"/>
      <c r="I287" s="25"/>
      <c r="J287" s="25"/>
      <c r="K287" s="25"/>
      <c r="L287" s="25"/>
      <c r="M287" s="25">
        <f t="shared" si="51"/>
        <v>0</v>
      </c>
      <c r="N287" s="25"/>
      <c r="O287" s="25"/>
      <c r="P287" s="25"/>
      <c r="Q287" s="25"/>
      <c r="R287" s="25"/>
      <c r="S287" s="25"/>
      <c r="T287" s="25">
        <f t="shared" si="46"/>
        <v>0</v>
      </c>
      <c r="U287" s="66">
        <v>0</v>
      </c>
      <c r="V287" s="39">
        <f t="shared" si="45"/>
        <v>0</v>
      </c>
      <c r="W287" s="18"/>
    </row>
    <row r="288" spans="1:23" x14ac:dyDescent="0.25">
      <c r="A288" s="136"/>
      <c r="B288" s="138"/>
      <c r="C288" s="34" t="s">
        <v>44</v>
      </c>
      <c r="D288" s="22">
        <v>16800</v>
      </c>
      <c r="E288" s="22"/>
      <c r="F288" s="25"/>
      <c r="G288" s="25"/>
      <c r="H288" s="25"/>
      <c r="I288" s="25"/>
      <c r="J288" s="22"/>
      <c r="K288" s="22"/>
      <c r="L288" s="22"/>
      <c r="M288" s="22">
        <f t="shared" si="51"/>
        <v>16800</v>
      </c>
      <c r="N288" s="22"/>
      <c r="O288" s="22"/>
      <c r="P288" s="22"/>
      <c r="Q288" s="22"/>
      <c r="R288" s="22"/>
      <c r="S288" s="22"/>
      <c r="T288" s="22">
        <f t="shared" si="46"/>
        <v>16800</v>
      </c>
      <c r="U288" s="35">
        <v>4200</v>
      </c>
      <c r="V288" s="39">
        <f t="shared" si="45"/>
        <v>12600</v>
      </c>
    </row>
    <row r="289" spans="1:22" x14ac:dyDescent="0.25">
      <c r="A289" s="136"/>
      <c r="B289" s="138"/>
      <c r="C289" s="34" t="s">
        <v>58</v>
      </c>
      <c r="D289" s="22">
        <v>436680</v>
      </c>
      <c r="E289" s="22"/>
      <c r="F289" s="25"/>
      <c r="G289" s="25"/>
      <c r="H289" s="25"/>
      <c r="I289" s="25"/>
      <c r="J289" s="22"/>
      <c r="K289" s="22"/>
      <c r="L289" s="22"/>
      <c r="M289" s="22">
        <f t="shared" si="51"/>
        <v>436680</v>
      </c>
      <c r="N289" s="22"/>
      <c r="O289" s="22"/>
      <c r="P289" s="22"/>
      <c r="Q289" s="22"/>
      <c r="R289" s="22"/>
      <c r="S289" s="22"/>
      <c r="T289" s="22">
        <f t="shared" si="46"/>
        <v>436680</v>
      </c>
      <c r="U289" s="35">
        <v>286294</v>
      </c>
      <c r="V289" s="39">
        <f t="shared" si="45"/>
        <v>150386</v>
      </c>
    </row>
    <row r="290" spans="1:22" x14ac:dyDescent="0.25">
      <c r="A290" s="136"/>
      <c r="B290" s="138"/>
      <c r="C290" s="34" t="s">
        <v>59</v>
      </c>
      <c r="D290" s="22">
        <v>72000</v>
      </c>
      <c r="E290" s="22"/>
      <c r="F290" s="25"/>
      <c r="G290" s="25"/>
      <c r="H290" s="25"/>
      <c r="I290" s="25"/>
      <c r="J290" s="22"/>
      <c r="K290" s="22"/>
      <c r="L290" s="22"/>
      <c r="M290" s="22">
        <f t="shared" si="51"/>
        <v>72000</v>
      </c>
      <c r="N290" s="22"/>
      <c r="O290" s="22"/>
      <c r="P290" s="22"/>
      <c r="Q290" s="22"/>
      <c r="R290" s="22"/>
      <c r="S290" s="22"/>
      <c r="T290" s="22">
        <f t="shared" si="46"/>
        <v>72000</v>
      </c>
      <c r="U290" s="35">
        <v>23202</v>
      </c>
      <c r="V290" s="39">
        <f t="shared" si="45"/>
        <v>48798</v>
      </c>
    </row>
    <row r="291" spans="1:22" x14ac:dyDescent="0.25">
      <c r="A291" s="136"/>
      <c r="B291" s="138"/>
      <c r="C291" s="34" t="s">
        <v>45</v>
      </c>
      <c r="D291" s="22">
        <v>22600</v>
      </c>
      <c r="E291" s="22"/>
      <c r="F291" s="25">
        <v>54308</v>
      </c>
      <c r="G291" s="25"/>
      <c r="H291" s="25"/>
      <c r="I291" s="25"/>
      <c r="J291" s="22"/>
      <c r="K291" s="22"/>
      <c r="L291" s="22"/>
      <c r="M291" s="22">
        <f t="shared" si="51"/>
        <v>76908</v>
      </c>
      <c r="N291" s="22"/>
      <c r="O291" s="22">
        <v>5315</v>
      </c>
      <c r="P291" s="22"/>
      <c r="Q291" s="22"/>
      <c r="R291" s="22"/>
      <c r="S291" s="22"/>
      <c r="T291" s="22">
        <f t="shared" si="46"/>
        <v>82223</v>
      </c>
      <c r="U291" s="35">
        <v>44622</v>
      </c>
      <c r="V291" s="39">
        <f t="shared" si="45"/>
        <v>37601</v>
      </c>
    </row>
    <row r="292" spans="1:22" x14ac:dyDescent="0.25">
      <c r="A292" s="136"/>
      <c r="B292" s="138"/>
      <c r="C292" s="34" t="s">
        <v>60</v>
      </c>
      <c r="D292" s="22">
        <v>0</v>
      </c>
      <c r="E292" s="22"/>
      <c r="F292" s="25"/>
      <c r="G292" s="25"/>
      <c r="H292" s="25"/>
      <c r="I292" s="25"/>
      <c r="J292" s="22"/>
      <c r="K292" s="22"/>
      <c r="L292" s="22"/>
      <c r="M292" s="22">
        <f t="shared" si="51"/>
        <v>0</v>
      </c>
      <c r="N292" s="22"/>
      <c r="O292" s="22"/>
      <c r="P292" s="22"/>
      <c r="Q292" s="22"/>
      <c r="R292" s="22"/>
      <c r="S292" s="22"/>
      <c r="T292" s="22">
        <f t="shared" si="46"/>
        <v>0</v>
      </c>
      <c r="U292" s="35">
        <v>0</v>
      </c>
      <c r="V292" s="37">
        <f t="shared" si="45"/>
        <v>0</v>
      </c>
    </row>
    <row r="293" spans="1:22" x14ac:dyDescent="0.25">
      <c r="A293" s="136"/>
      <c r="B293" s="138"/>
      <c r="C293" s="83" t="s">
        <v>46</v>
      </c>
      <c r="D293" s="84">
        <f>SUM(D283:D292)</f>
        <v>648080</v>
      </c>
      <c r="E293" s="84">
        <f t="shared" ref="E293:U293" si="52">SUM(E283:E292)</f>
        <v>0</v>
      </c>
      <c r="F293" s="84">
        <f t="shared" si="52"/>
        <v>255450</v>
      </c>
      <c r="G293" s="84">
        <f t="shared" si="52"/>
        <v>0</v>
      </c>
      <c r="H293" s="84">
        <f t="shared" si="52"/>
        <v>0</v>
      </c>
      <c r="I293" s="84">
        <f t="shared" si="52"/>
        <v>0</v>
      </c>
      <c r="J293" s="84">
        <f t="shared" si="52"/>
        <v>0</v>
      </c>
      <c r="K293" s="84">
        <f t="shared" si="52"/>
        <v>0</v>
      </c>
      <c r="L293" s="84">
        <f t="shared" si="52"/>
        <v>0</v>
      </c>
      <c r="M293" s="84">
        <f t="shared" si="52"/>
        <v>903530</v>
      </c>
      <c r="N293" s="84">
        <f t="shared" si="52"/>
        <v>0</v>
      </c>
      <c r="O293" s="84">
        <f t="shared" si="52"/>
        <v>25000</v>
      </c>
      <c r="P293" s="84">
        <f t="shared" si="52"/>
        <v>0</v>
      </c>
      <c r="Q293" s="84">
        <f t="shared" si="52"/>
        <v>0</v>
      </c>
      <c r="R293" s="84"/>
      <c r="S293" s="84"/>
      <c r="T293" s="84">
        <f t="shared" si="46"/>
        <v>928530</v>
      </c>
      <c r="U293" s="85">
        <f t="shared" si="52"/>
        <v>523595</v>
      </c>
      <c r="V293" s="86">
        <f t="shared" si="45"/>
        <v>404935</v>
      </c>
    </row>
    <row r="294" spans="1:22" x14ac:dyDescent="0.25">
      <c r="A294" s="137" t="s">
        <v>87</v>
      </c>
      <c r="B294" s="139" t="s">
        <v>18</v>
      </c>
      <c r="C294" s="34" t="s">
        <v>40</v>
      </c>
      <c r="D294" s="22">
        <v>726661</v>
      </c>
      <c r="E294" s="22"/>
      <c r="F294" s="22"/>
      <c r="G294" s="22"/>
      <c r="H294" s="22"/>
      <c r="I294" s="22"/>
      <c r="J294" s="22"/>
      <c r="K294" s="22"/>
      <c r="L294" s="22"/>
      <c r="M294" s="22">
        <f>D294+E294+F294+G294+H294+J294+I294+K294</f>
        <v>726661</v>
      </c>
      <c r="N294" s="22"/>
      <c r="O294" s="22"/>
      <c r="P294" s="22"/>
      <c r="Q294" s="22"/>
      <c r="R294" s="22"/>
      <c r="S294" s="22"/>
      <c r="T294" s="22">
        <f t="shared" si="46"/>
        <v>726661</v>
      </c>
      <c r="U294" s="35">
        <v>471567</v>
      </c>
      <c r="V294" s="37">
        <f t="shared" si="45"/>
        <v>255094</v>
      </c>
    </row>
    <row r="295" spans="1:22" x14ac:dyDescent="0.25">
      <c r="A295" s="149"/>
      <c r="B295" s="151"/>
      <c r="C295" s="34" t="s">
        <v>42</v>
      </c>
      <c r="D295" s="22">
        <v>112632</v>
      </c>
      <c r="E295" s="22"/>
      <c r="F295" s="22"/>
      <c r="G295" s="22"/>
      <c r="H295" s="22"/>
      <c r="I295" s="22"/>
      <c r="J295" s="22"/>
      <c r="K295" s="22"/>
      <c r="L295" s="22"/>
      <c r="M295" s="22">
        <f>D295+E295+F295+G295+H295+J295+I295+K295</f>
        <v>112632</v>
      </c>
      <c r="N295" s="22"/>
      <c r="O295" s="22"/>
      <c r="P295" s="22"/>
      <c r="Q295" s="22"/>
      <c r="R295" s="22"/>
      <c r="S295" s="22"/>
      <c r="T295" s="22">
        <f t="shared" si="46"/>
        <v>112632</v>
      </c>
      <c r="U295" s="35">
        <v>71715</v>
      </c>
      <c r="V295" s="37">
        <f t="shared" si="45"/>
        <v>40917</v>
      </c>
    </row>
    <row r="296" spans="1:22" x14ac:dyDescent="0.25">
      <c r="A296" s="140" t="s">
        <v>117</v>
      </c>
      <c r="B296" s="141"/>
      <c r="C296" s="142"/>
      <c r="D296" s="94">
        <f>SUM(D265+D268+D269+D274+D281+D282+D293+D294+D295)</f>
        <v>9178176</v>
      </c>
      <c r="E296" s="94">
        <f t="shared" ref="E296:U296" si="53">SUM(E265+E268+E269+E274+E281+E282+E293+E294+E295)</f>
        <v>0</v>
      </c>
      <c r="F296" s="94">
        <f t="shared" si="53"/>
        <v>255450</v>
      </c>
      <c r="G296" s="94">
        <f t="shared" si="53"/>
        <v>0</v>
      </c>
      <c r="H296" s="94">
        <f t="shared" si="53"/>
        <v>0</v>
      </c>
      <c r="I296" s="94">
        <f t="shared" si="53"/>
        <v>0</v>
      </c>
      <c r="J296" s="94">
        <f t="shared" si="53"/>
        <v>0</v>
      </c>
      <c r="K296" s="94">
        <f t="shared" si="53"/>
        <v>0</v>
      </c>
      <c r="L296" s="94">
        <f t="shared" si="53"/>
        <v>0</v>
      </c>
      <c r="M296" s="94">
        <f t="shared" si="53"/>
        <v>9433626</v>
      </c>
      <c r="N296" s="94">
        <f t="shared" si="53"/>
        <v>0</v>
      </c>
      <c r="O296" s="94">
        <f t="shared" si="53"/>
        <v>25000</v>
      </c>
      <c r="P296" s="94">
        <f t="shared" si="53"/>
        <v>0</v>
      </c>
      <c r="Q296" s="94">
        <f t="shared" si="53"/>
        <v>0</v>
      </c>
      <c r="R296" s="94"/>
      <c r="S296" s="94"/>
      <c r="T296" s="94">
        <f t="shared" si="46"/>
        <v>9458626</v>
      </c>
      <c r="U296" s="93">
        <f t="shared" si="53"/>
        <v>5951743</v>
      </c>
      <c r="V296" s="93">
        <f t="shared" si="45"/>
        <v>3506883</v>
      </c>
    </row>
    <row r="297" spans="1:22" x14ac:dyDescent="0.25">
      <c r="A297" s="136" t="s">
        <v>68</v>
      </c>
      <c r="B297" s="56" t="s">
        <v>6</v>
      </c>
      <c r="C297" s="34" t="s">
        <v>67</v>
      </c>
      <c r="D297" s="22">
        <v>0</v>
      </c>
      <c r="E297" s="22"/>
      <c r="F297" s="22"/>
      <c r="G297" s="22"/>
      <c r="H297" s="22"/>
      <c r="I297" s="22"/>
      <c r="J297" s="22"/>
      <c r="K297" s="22"/>
      <c r="L297" s="22"/>
      <c r="M297" s="22">
        <f>D297+E297+F297+G297+H297+J297+I297</f>
        <v>0</v>
      </c>
      <c r="N297" s="22"/>
      <c r="O297" s="22"/>
      <c r="P297" s="22"/>
      <c r="Q297" s="22"/>
      <c r="R297" s="22"/>
      <c r="S297" s="22"/>
      <c r="T297" s="22">
        <f t="shared" si="46"/>
        <v>0</v>
      </c>
      <c r="U297" s="35">
        <v>0</v>
      </c>
      <c r="V297" s="37">
        <f t="shared" si="45"/>
        <v>0</v>
      </c>
    </row>
    <row r="298" spans="1:22" x14ac:dyDescent="0.25">
      <c r="A298" s="136"/>
      <c r="B298" s="139" t="s">
        <v>39</v>
      </c>
      <c r="C298" s="34" t="s">
        <v>40</v>
      </c>
      <c r="D298" s="22">
        <v>0</v>
      </c>
      <c r="E298" s="22"/>
      <c r="F298" s="22"/>
      <c r="G298" s="22"/>
      <c r="H298" s="22"/>
      <c r="I298" s="22"/>
      <c r="J298" s="22"/>
      <c r="K298" s="22"/>
      <c r="L298" s="22"/>
      <c r="M298" s="22">
        <f>D298+E298+F298+G298+H298+J298+I298</f>
        <v>0</v>
      </c>
      <c r="N298" s="22"/>
      <c r="O298" s="22"/>
      <c r="P298" s="22"/>
      <c r="Q298" s="22"/>
      <c r="R298" s="22"/>
      <c r="S298" s="22"/>
      <c r="T298" s="22">
        <f t="shared" si="46"/>
        <v>0</v>
      </c>
      <c r="U298" s="35">
        <v>0</v>
      </c>
      <c r="V298" s="37">
        <f t="shared" si="45"/>
        <v>0</v>
      </c>
    </row>
    <row r="299" spans="1:22" x14ac:dyDescent="0.25">
      <c r="A299" s="136"/>
      <c r="B299" s="150"/>
      <c r="C299" s="34" t="s">
        <v>51</v>
      </c>
      <c r="D299" s="22">
        <v>0</v>
      </c>
      <c r="E299" s="22"/>
      <c r="F299" s="22"/>
      <c r="G299" s="22"/>
      <c r="H299" s="22"/>
      <c r="I299" s="22"/>
      <c r="J299" s="22"/>
      <c r="K299" s="22"/>
      <c r="L299" s="22"/>
      <c r="M299" s="22">
        <f>D299+E299+F299+G299+H299+J299+I299</f>
        <v>0</v>
      </c>
      <c r="N299" s="22"/>
      <c r="O299" s="22"/>
      <c r="P299" s="22"/>
      <c r="Q299" s="22"/>
      <c r="R299" s="22"/>
      <c r="S299" s="22"/>
      <c r="T299" s="22">
        <f t="shared" si="46"/>
        <v>0</v>
      </c>
      <c r="U299" s="35">
        <v>0</v>
      </c>
      <c r="V299" s="37">
        <f t="shared" si="45"/>
        <v>0</v>
      </c>
    </row>
    <row r="300" spans="1:22" x14ac:dyDescent="0.25">
      <c r="A300" s="136"/>
      <c r="B300" s="150"/>
      <c r="C300" s="83" t="s">
        <v>41</v>
      </c>
      <c r="D300" s="84">
        <v>0</v>
      </c>
      <c r="E300" s="84">
        <f t="shared" ref="E300:U300" si="54">SUM(E298:E299)</f>
        <v>0</v>
      </c>
      <c r="F300" s="84">
        <f t="shared" si="54"/>
        <v>0</v>
      </c>
      <c r="G300" s="84">
        <f t="shared" si="54"/>
        <v>0</v>
      </c>
      <c r="H300" s="84">
        <f t="shared" si="54"/>
        <v>0</v>
      </c>
      <c r="I300" s="84">
        <f t="shared" si="54"/>
        <v>0</v>
      </c>
      <c r="J300" s="84">
        <f t="shared" si="54"/>
        <v>0</v>
      </c>
      <c r="K300" s="84">
        <f t="shared" si="54"/>
        <v>0</v>
      </c>
      <c r="L300" s="84">
        <f t="shared" si="54"/>
        <v>0</v>
      </c>
      <c r="M300" s="84">
        <f t="shared" si="54"/>
        <v>0</v>
      </c>
      <c r="N300" s="84">
        <f t="shared" si="54"/>
        <v>0</v>
      </c>
      <c r="O300" s="84">
        <f t="shared" si="54"/>
        <v>0</v>
      </c>
      <c r="P300" s="84">
        <f t="shared" si="54"/>
        <v>0</v>
      </c>
      <c r="Q300" s="84">
        <f t="shared" si="54"/>
        <v>0</v>
      </c>
      <c r="R300" s="84"/>
      <c r="S300" s="84"/>
      <c r="T300" s="84">
        <f t="shared" si="46"/>
        <v>0</v>
      </c>
      <c r="U300" s="85">
        <f t="shared" si="54"/>
        <v>0</v>
      </c>
      <c r="V300" s="86">
        <f t="shared" si="45"/>
        <v>0</v>
      </c>
    </row>
    <row r="301" spans="1:22" x14ac:dyDescent="0.25">
      <c r="A301" s="136"/>
      <c r="B301" s="150"/>
      <c r="C301" s="87" t="s">
        <v>42</v>
      </c>
      <c r="D301" s="88">
        <v>0</v>
      </c>
      <c r="E301" s="88"/>
      <c r="F301" s="88"/>
      <c r="G301" s="88"/>
      <c r="H301" s="88"/>
      <c r="I301" s="88"/>
      <c r="J301" s="88"/>
      <c r="K301" s="88"/>
      <c r="L301" s="88"/>
      <c r="M301" s="89">
        <f>D301+E301+F301+G301+H301+J301</f>
        <v>0</v>
      </c>
      <c r="N301" s="89"/>
      <c r="O301" s="89"/>
      <c r="P301" s="89"/>
      <c r="Q301" s="89"/>
      <c r="R301" s="89"/>
      <c r="S301" s="89"/>
      <c r="T301" s="89">
        <f t="shared" si="46"/>
        <v>0</v>
      </c>
      <c r="U301" s="90">
        <v>0</v>
      </c>
      <c r="V301" s="91">
        <f t="shared" si="45"/>
        <v>0</v>
      </c>
    </row>
    <row r="302" spans="1:22" x14ac:dyDescent="0.25">
      <c r="A302" s="136"/>
      <c r="B302" s="150"/>
      <c r="C302" s="34" t="s">
        <v>43</v>
      </c>
      <c r="D302" s="22">
        <v>0</v>
      </c>
      <c r="E302" s="22"/>
      <c r="F302" s="22"/>
      <c r="G302" s="22"/>
      <c r="H302" s="22"/>
      <c r="I302" s="22"/>
      <c r="J302" s="22"/>
      <c r="K302" s="22"/>
      <c r="L302" s="22"/>
      <c r="M302" s="22">
        <f>D302+E302+F302+G302+H302+J302+I302</f>
        <v>0</v>
      </c>
      <c r="N302" s="22"/>
      <c r="O302" s="22"/>
      <c r="P302" s="22"/>
      <c r="Q302" s="22"/>
      <c r="R302" s="22"/>
      <c r="S302" s="22"/>
      <c r="T302" s="22">
        <f t="shared" si="46"/>
        <v>0</v>
      </c>
      <c r="U302" s="35">
        <v>0</v>
      </c>
      <c r="V302" s="37">
        <f t="shared" si="45"/>
        <v>0</v>
      </c>
    </row>
    <row r="303" spans="1:22" x14ac:dyDescent="0.25">
      <c r="A303" s="136"/>
      <c r="B303" s="150"/>
      <c r="C303" s="34" t="s">
        <v>45</v>
      </c>
      <c r="D303" s="22">
        <v>0</v>
      </c>
      <c r="E303" s="22"/>
      <c r="F303" s="22"/>
      <c r="G303" s="22"/>
      <c r="H303" s="22"/>
      <c r="I303" s="22"/>
      <c r="J303" s="22"/>
      <c r="K303" s="22"/>
      <c r="L303" s="22"/>
      <c r="M303" s="22">
        <f>D303+E303+F303+G303+H303+J303+I303</f>
        <v>0</v>
      </c>
      <c r="N303" s="22"/>
      <c r="O303" s="22"/>
      <c r="P303" s="22"/>
      <c r="Q303" s="22"/>
      <c r="R303" s="22"/>
      <c r="S303" s="22"/>
      <c r="T303" s="22">
        <f t="shared" si="46"/>
        <v>0</v>
      </c>
      <c r="U303" s="35">
        <v>0</v>
      </c>
      <c r="V303" s="37">
        <f t="shared" si="45"/>
        <v>0</v>
      </c>
    </row>
    <row r="304" spans="1:22" x14ac:dyDescent="0.25">
      <c r="A304" s="136"/>
      <c r="B304" s="151"/>
      <c r="C304" s="83" t="s">
        <v>46</v>
      </c>
      <c r="D304" s="84">
        <v>0</v>
      </c>
      <c r="E304" s="84">
        <f t="shared" ref="E304:U304" si="55">SUM(E302:E303)</f>
        <v>0</v>
      </c>
      <c r="F304" s="84">
        <f t="shared" si="55"/>
        <v>0</v>
      </c>
      <c r="G304" s="84">
        <f t="shared" si="55"/>
        <v>0</v>
      </c>
      <c r="H304" s="84">
        <f t="shared" si="55"/>
        <v>0</v>
      </c>
      <c r="I304" s="84">
        <f t="shared" si="55"/>
        <v>0</v>
      </c>
      <c r="J304" s="84">
        <f t="shared" si="55"/>
        <v>0</v>
      </c>
      <c r="K304" s="84">
        <f t="shared" si="55"/>
        <v>0</v>
      </c>
      <c r="L304" s="84">
        <f t="shared" si="55"/>
        <v>0</v>
      </c>
      <c r="M304" s="84">
        <f t="shared" si="55"/>
        <v>0</v>
      </c>
      <c r="N304" s="84">
        <f t="shared" si="55"/>
        <v>0</v>
      </c>
      <c r="O304" s="84">
        <f t="shared" si="55"/>
        <v>0</v>
      </c>
      <c r="P304" s="84">
        <f t="shared" si="55"/>
        <v>0</v>
      </c>
      <c r="Q304" s="84">
        <f t="shared" si="55"/>
        <v>0</v>
      </c>
      <c r="R304" s="84"/>
      <c r="S304" s="84"/>
      <c r="T304" s="84">
        <f t="shared" si="46"/>
        <v>0</v>
      </c>
      <c r="U304" s="85">
        <f t="shared" si="55"/>
        <v>0</v>
      </c>
      <c r="V304" s="86">
        <f t="shared" si="45"/>
        <v>0</v>
      </c>
    </row>
    <row r="305" spans="1:23" x14ac:dyDescent="0.25">
      <c r="A305" s="136"/>
      <c r="B305" s="139" t="s">
        <v>18</v>
      </c>
      <c r="C305" s="34" t="s">
        <v>40</v>
      </c>
      <c r="D305" s="22">
        <v>3359937</v>
      </c>
      <c r="E305" s="22">
        <v>-29852</v>
      </c>
      <c r="F305" s="25"/>
      <c r="G305" s="22"/>
      <c r="H305" s="22"/>
      <c r="I305" s="22"/>
      <c r="J305" s="22"/>
      <c r="K305" s="22"/>
      <c r="L305" s="22"/>
      <c r="M305" s="22">
        <f>D305+E305+F305+G305+H305+J305+I305</f>
        <v>3330085</v>
      </c>
      <c r="N305" s="22"/>
      <c r="O305" s="22"/>
      <c r="P305" s="22"/>
      <c r="Q305" s="22"/>
      <c r="R305" s="22"/>
      <c r="S305" s="22"/>
      <c r="T305" s="22">
        <f t="shared" si="46"/>
        <v>3330085</v>
      </c>
      <c r="U305" s="35">
        <v>2345398</v>
      </c>
      <c r="V305" s="37">
        <f t="shared" si="45"/>
        <v>984687</v>
      </c>
    </row>
    <row r="306" spans="1:23" x14ac:dyDescent="0.25">
      <c r="A306" s="136"/>
      <c r="B306" s="150"/>
      <c r="C306" s="34" t="s">
        <v>47</v>
      </c>
      <c r="D306" s="22">
        <v>100000</v>
      </c>
      <c r="E306" s="22"/>
      <c r="F306" s="25"/>
      <c r="G306" s="22"/>
      <c r="H306" s="22"/>
      <c r="I306" s="22"/>
      <c r="J306" s="22"/>
      <c r="K306" s="22"/>
      <c r="L306" s="22"/>
      <c r="M306" s="22">
        <f>D306+E306+F306+G306+H306+J306+I306</f>
        <v>100000</v>
      </c>
      <c r="N306" s="22"/>
      <c r="O306" s="22"/>
      <c r="P306" s="22"/>
      <c r="Q306" s="22"/>
      <c r="R306" s="22"/>
      <c r="S306" s="22"/>
      <c r="T306" s="22">
        <f t="shared" si="46"/>
        <v>100000</v>
      </c>
      <c r="U306" s="35">
        <v>50000</v>
      </c>
      <c r="V306" s="37">
        <f t="shared" si="45"/>
        <v>50000</v>
      </c>
    </row>
    <row r="307" spans="1:23" x14ac:dyDescent="0.25">
      <c r="A307" s="136"/>
      <c r="B307" s="150"/>
      <c r="C307" s="34" t="s">
        <v>48</v>
      </c>
      <c r="D307" s="22">
        <v>10000</v>
      </c>
      <c r="E307" s="22"/>
      <c r="F307" s="25"/>
      <c r="G307" s="22"/>
      <c r="H307" s="22"/>
      <c r="I307" s="22"/>
      <c r="J307" s="22"/>
      <c r="K307" s="22"/>
      <c r="L307" s="22"/>
      <c r="M307" s="22">
        <f>D307+E307+F307+G307+H307+J307+I307</f>
        <v>10000</v>
      </c>
      <c r="N307" s="22"/>
      <c r="O307" s="22"/>
      <c r="P307" s="22"/>
      <c r="Q307" s="22"/>
      <c r="R307" s="22"/>
      <c r="S307" s="22"/>
      <c r="T307" s="22">
        <f t="shared" si="46"/>
        <v>10000</v>
      </c>
      <c r="U307" s="35">
        <v>0</v>
      </c>
      <c r="V307" s="37">
        <f t="shared" si="45"/>
        <v>10000</v>
      </c>
    </row>
    <row r="308" spans="1:23" x14ac:dyDescent="0.25">
      <c r="A308" s="136"/>
      <c r="B308" s="150"/>
      <c r="C308" s="34" t="s">
        <v>50</v>
      </c>
      <c r="D308" s="22">
        <v>12000</v>
      </c>
      <c r="E308" s="22"/>
      <c r="F308" s="25"/>
      <c r="G308" s="22"/>
      <c r="H308" s="22"/>
      <c r="I308" s="22"/>
      <c r="J308" s="22"/>
      <c r="K308" s="22"/>
      <c r="L308" s="22"/>
      <c r="M308" s="22">
        <f>D308+E308+F308+G308+H308+J308+I308</f>
        <v>12000</v>
      </c>
      <c r="N308" s="22"/>
      <c r="O308" s="22"/>
      <c r="P308" s="22"/>
      <c r="Q308" s="22"/>
      <c r="R308" s="22"/>
      <c r="S308" s="22"/>
      <c r="T308" s="22">
        <f t="shared" si="46"/>
        <v>12000</v>
      </c>
      <c r="U308" s="35">
        <v>6000</v>
      </c>
      <c r="V308" s="37">
        <f t="shared" si="45"/>
        <v>6000</v>
      </c>
    </row>
    <row r="309" spans="1:23" x14ac:dyDescent="0.25">
      <c r="A309" s="136"/>
      <c r="B309" s="150"/>
      <c r="C309" s="34" t="s">
        <v>51</v>
      </c>
      <c r="D309" s="22">
        <v>0</v>
      </c>
      <c r="E309" s="22">
        <v>29852</v>
      </c>
      <c r="F309" s="25"/>
      <c r="G309" s="22"/>
      <c r="H309" s="22"/>
      <c r="I309" s="22"/>
      <c r="J309" s="22"/>
      <c r="K309" s="22"/>
      <c r="L309" s="22"/>
      <c r="M309" s="22">
        <f>D309+E309+F309+G309+H309+J309+I309</f>
        <v>29852</v>
      </c>
      <c r="N309" s="22"/>
      <c r="O309" s="22"/>
      <c r="P309" s="22"/>
      <c r="Q309" s="22"/>
      <c r="R309" s="22"/>
      <c r="S309" s="22"/>
      <c r="T309" s="22">
        <f t="shared" si="46"/>
        <v>29852</v>
      </c>
      <c r="U309" s="35">
        <v>29852</v>
      </c>
      <c r="V309" s="37">
        <f t="shared" si="45"/>
        <v>0</v>
      </c>
    </row>
    <row r="310" spans="1:23" x14ac:dyDescent="0.25">
      <c r="A310" s="136"/>
      <c r="B310" s="150"/>
      <c r="C310" s="83" t="s">
        <v>41</v>
      </c>
      <c r="D310" s="84">
        <f>SUM(D305:D309)</f>
        <v>3481937</v>
      </c>
      <c r="E310" s="84">
        <f t="shared" ref="E310:U310" si="56">SUM(E305:E309)</f>
        <v>0</v>
      </c>
      <c r="F310" s="84">
        <f t="shared" si="56"/>
        <v>0</v>
      </c>
      <c r="G310" s="84">
        <f t="shared" si="56"/>
        <v>0</v>
      </c>
      <c r="H310" s="84">
        <f t="shared" si="56"/>
        <v>0</v>
      </c>
      <c r="I310" s="84">
        <f t="shared" si="56"/>
        <v>0</v>
      </c>
      <c r="J310" s="84">
        <f t="shared" si="56"/>
        <v>0</v>
      </c>
      <c r="K310" s="84">
        <f t="shared" si="56"/>
        <v>0</v>
      </c>
      <c r="L310" s="84">
        <f t="shared" si="56"/>
        <v>0</v>
      </c>
      <c r="M310" s="84">
        <f t="shared" si="56"/>
        <v>3481937</v>
      </c>
      <c r="N310" s="84">
        <f t="shared" si="56"/>
        <v>0</v>
      </c>
      <c r="O310" s="84">
        <f t="shared" si="56"/>
        <v>0</v>
      </c>
      <c r="P310" s="84">
        <f t="shared" si="56"/>
        <v>0</v>
      </c>
      <c r="Q310" s="84">
        <f t="shared" si="56"/>
        <v>0</v>
      </c>
      <c r="R310" s="84"/>
      <c r="S310" s="84"/>
      <c r="T310" s="84">
        <f t="shared" si="46"/>
        <v>3481937</v>
      </c>
      <c r="U310" s="85">
        <f t="shared" si="56"/>
        <v>2431250</v>
      </c>
      <c r="V310" s="86">
        <f t="shared" si="45"/>
        <v>1050687</v>
      </c>
    </row>
    <row r="311" spans="1:23" x14ac:dyDescent="0.25">
      <c r="A311" s="136"/>
      <c r="B311" s="150"/>
      <c r="C311" s="87" t="s">
        <v>42</v>
      </c>
      <c r="D311" s="88">
        <v>546951</v>
      </c>
      <c r="E311" s="88"/>
      <c r="F311" s="88"/>
      <c r="G311" s="88"/>
      <c r="H311" s="88"/>
      <c r="I311" s="88"/>
      <c r="J311" s="88"/>
      <c r="K311" s="88"/>
      <c r="L311" s="88"/>
      <c r="M311" s="89">
        <f>D311+E311+F311+G311+H311+J311</f>
        <v>546951</v>
      </c>
      <c r="N311" s="89"/>
      <c r="O311" s="89"/>
      <c r="P311" s="89"/>
      <c r="Q311" s="89"/>
      <c r="R311" s="89"/>
      <c r="S311" s="89"/>
      <c r="T311" s="89">
        <f t="shared" si="46"/>
        <v>546951</v>
      </c>
      <c r="U311" s="90">
        <v>378772</v>
      </c>
      <c r="V311" s="91">
        <f t="shared" si="45"/>
        <v>168179</v>
      </c>
    </row>
    <row r="312" spans="1:23" x14ac:dyDescent="0.25">
      <c r="A312" s="136"/>
      <c r="B312" s="150"/>
      <c r="C312" s="34" t="s">
        <v>43</v>
      </c>
      <c r="D312" s="22">
        <v>10000</v>
      </c>
      <c r="E312" s="22"/>
      <c r="F312" s="22"/>
      <c r="G312" s="22"/>
      <c r="H312" s="22"/>
      <c r="I312" s="22"/>
      <c r="J312" s="22"/>
      <c r="K312" s="22"/>
      <c r="L312" s="22"/>
      <c r="M312" s="25">
        <f t="shared" ref="M312:M319" si="57">D312+E312+F312+G312+H312+J312+I312+K312+L312</f>
        <v>10000</v>
      </c>
      <c r="N312" s="25"/>
      <c r="O312" s="25"/>
      <c r="P312" s="25"/>
      <c r="Q312" s="25"/>
      <c r="R312" s="25"/>
      <c r="S312" s="25"/>
      <c r="T312" s="25">
        <f t="shared" si="46"/>
        <v>10000</v>
      </c>
      <c r="U312" s="35">
        <v>0</v>
      </c>
      <c r="V312" s="37">
        <f t="shared" si="45"/>
        <v>10000</v>
      </c>
    </row>
    <row r="313" spans="1:23" x14ac:dyDescent="0.25">
      <c r="A313" s="136"/>
      <c r="B313" s="150"/>
      <c r="C313" s="34" t="s">
        <v>53</v>
      </c>
      <c r="D313" s="22">
        <v>60000</v>
      </c>
      <c r="E313" s="22"/>
      <c r="F313" s="22">
        <v>100000</v>
      </c>
      <c r="G313" s="22"/>
      <c r="H313" s="22"/>
      <c r="I313" s="22"/>
      <c r="J313" s="22"/>
      <c r="K313" s="22"/>
      <c r="L313" s="22"/>
      <c r="M313" s="25">
        <f t="shared" si="57"/>
        <v>160000</v>
      </c>
      <c r="N313" s="25">
        <v>-8000</v>
      </c>
      <c r="O313" s="25"/>
      <c r="P313" s="25"/>
      <c r="Q313" s="25"/>
      <c r="R313" s="25"/>
      <c r="S313" s="25"/>
      <c r="T313" s="25">
        <f t="shared" si="46"/>
        <v>152000</v>
      </c>
      <c r="U313" s="35">
        <v>125983</v>
      </c>
      <c r="V313" s="37">
        <f t="shared" si="45"/>
        <v>26017</v>
      </c>
    </row>
    <row r="314" spans="1:23" x14ac:dyDescent="0.25">
      <c r="A314" s="136"/>
      <c r="B314" s="150"/>
      <c r="C314" s="75" t="s">
        <v>55</v>
      </c>
      <c r="D314" s="22">
        <v>0</v>
      </c>
      <c r="E314" s="22"/>
      <c r="F314" s="22"/>
      <c r="G314" s="22"/>
      <c r="H314" s="22"/>
      <c r="I314" s="22"/>
      <c r="J314" s="22"/>
      <c r="K314" s="22"/>
      <c r="L314" s="22"/>
      <c r="M314" s="25">
        <f t="shared" si="57"/>
        <v>0</v>
      </c>
      <c r="N314" s="25"/>
      <c r="O314" s="25"/>
      <c r="P314" s="25"/>
      <c r="Q314" s="25"/>
      <c r="R314" s="25"/>
      <c r="S314" s="25"/>
      <c r="T314" s="25">
        <f t="shared" si="46"/>
        <v>0</v>
      </c>
      <c r="U314" s="35">
        <v>0</v>
      </c>
      <c r="V314" s="35">
        <f t="shared" si="45"/>
        <v>0</v>
      </c>
    </row>
    <row r="315" spans="1:23" s="4" customFormat="1" x14ac:dyDescent="0.25">
      <c r="A315" s="136"/>
      <c r="B315" s="150"/>
      <c r="C315" s="75" t="s">
        <v>57</v>
      </c>
      <c r="D315" s="25">
        <v>0</v>
      </c>
      <c r="E315" s="25"/>
      <c r="F315" s="25">
        <v>8307</v>
      </c>
      <c r="G315" s="25"/>
      <c r="H315" s="25"/>
      <c r="I315" s="25"/>
      <c r="J315" s="25"/>
      <c r="K315" s="25"/>
      <c r="L315" s="25"/>
      <c r="M315" s="25">
        <f t="shared" si="57"/>
        <v>8307</v>
      </c>
      <c r="N315" s="25"/>
      <c r="O315" s="25"/>
      <c r="P315" s="25"/>
      <c r="Q315" s="25"/>
      <c r="R315" s="25"/>
      <c r="S315" s="25"/>
      <c r="T315" s="25">
        <f t="shared" si="46"/>
        <v>8307</v>
      </c>
      <c r="U315" s="66">
        <v>8307</v>
      </c>
      <c r="V315" s="39">
        <f t="shared" si="45"/>
        <v>0</v>
      </c>
      <c r="W315" s="18"/>
    </row>
    <row r="316" spans="1:23" x14ac:dyDescent="0.25">
      <c r="A316" s="136"/>
      <c r="B316" s="150"/>
      <c r="C316" s="34" t="s">
        <v>44</v>
      </c>
      <c r="D316" s="22">
        <v>8400</v>
      </c>
      <c r="E316" s="22"/>
      <c r="F316" s="22"/>
      <c r="G316" s="22"/>
      <c r="H316" s="25"/>
      <c r="I316" s="25"/>
      <c r="J316" s="22"/>
      <c r="K316" s="22"/>
      <c r="L316" s="22"/>
      <c r="M316" s="25">
        <f t="shared" si="57"/>
        <v>8400</v>
      </c>
      <c r="N316" s="25"/>
      <c r="O316" s="25"/>
      <c r="P316" s="25"/>
      <c r="Q316" s="25"/>
      <c r="R316" s="25"/>
      <c r="S316" s="25"/>
      <c r="T316" s="25">
        <f t="shared" si="46"/>
        <v>8400</v>
      </c>
      <c r="U316" s="35">
        <v>2100</v>
      </c>
      <c r="V316" s="37">
        <f t="shared" si="45"/>
        <v>6300</v>
      </c>
    </row>
    <row r="317" spans="1:23" x14ac:dyDescent="0.25">
      <c r="A317" s="136"/>
      <c r="B317" s="150"/>
      <c r="C317" s="34" t="s">
        <v>58</v>
      </c>
      <c r="D317" s="22">
        <v>0</v>
      </c>
      <c r="E317" s="22"/>
      <c r="F317" s="22"/>
      <c r="G317" s="22"/>
      <c r="H317" s="25"/>
      <c r="I317" s="25"/>
      <c r="J317" s="22"/>
      <c r="K317" s="22"/>
      <c r="L317" s="22"/>
      <c r="M317" s="25">
        <f t="shared" si="57"/>
        <v>0</v>
      </c>
      <c r="N317" s="25"/>
      <c r="O317" s="25"/>
      <c r="P317" s="25"/>
      <c r="Q317" s="25"/>
      <c r="R317" s="25"/>
      <c r="S317" s="25"/>
      <c r="T317" s="25">
        <f t="shared" si="46"/>
        <v>0</v>
      </c>
      <c r="U317" s="35">
        <v>0</v>
      </c>
      <c r="V317" s="37">
        <f t="shared" si="45"/>
        <v>0</v>
      </c>
    </row>
    <row r="318" spans="1:23" x14ac:dyDescent="0.25">
      <c r="A318" s="136"/>
      <c r="B318" s="150"/>
      <c r="C318" s="34" t="s">
        <v>45</v>
      </c>
      <c r="D318" s="22">
        <v>16700</v>
      </c>
      <c r="E318" s="22"/>
      <c r="F318" s="22">
        <v>29243</v>
      </c>
      <c r="G318" s="22"/>
      <c r="H318" s="25"/>
      <c r="I318" s="25"/>
      <c r="J318" s="22"/>
      <c r="K318" s="22"/>
      <c r="L318" s="22"/>
      <c r="M318" s="25">
        <f t="shared" si="57"/>
        <v>45943</v>
      </c>
      <c r="N318" s="25"/>
      <c r="O318" s="25"/>
      <c r="P318" s="25"/>
      <c r="Q318" s="25"/>
      <c r="R318" s="25"/>
      <c r="S318" s="25"/>
      <c r="T318" s="25">
        <f t="shared" si="46"/>
        <v>45943</v>
      </c>
      <c r="U318" s="35">
        <v>36260</v>
      </c>
      <c r="V318" s="37">
        <f t="shared" si="45"/>
        <v>9683</v>
      </c>
    </row>
    <row r="319" spans="1:23" x14ac:dyDescent="0.25">
      <c r="A319" s="136"/>
      <c r="B319" s="150"/>
      <c r="C319" s="34" t="s">
        <v>60</v>
      </c>
      <c r="D319" s="22">
        <v>0</v>
      </c>
      <c r="E319" s="22"/>
      <c r="F319" s="22"/>
      <c r="G319" s="22"/>
      <c r="H319" s="22"/>
      <c r="I319" s="22"/>
      <c r="J319" s="22"/>
      <c r="K319" s="22"/>
      <c r="L319" s="22"/>
      <c r="M319" s="25">
        <f t="shared" si="57"/>
        <v>0</v>
      </c>
      <c r="N319" s="25"/>
      <c r="O319" s="25"/>
      <c r="P319" s="25"/>
      <c r="Q319" s="25"/>
      <c r="R319" s="25"/>
      <c r="S319" s="25"/>
      <c r="T319" s="25">
        <f t="shared" si="46"/>
        <v>0</v>
      </c>
      <c r="U319" s="35">
        <v>0</v>
      </c>
      <c r="V319" s="37">
        <f t="shared" si="45"/>
        <v>0</v>
      </c>
    </row>
    <row r="320" spans="1:23" x14ac:dyDescent="0.25">
      <c r="A320" s="136"/>
      <c r="B320" s="150"/>
      <c r="C320" s="83" t="s">
        <v>46</v>
      </c>
      <c r="D320" s="84">
        <f>SUM(D312:D319)</f>
        <v>95100</v>
      </c>
      <c r="E320" s="84">
        <f t="shared" ref="E320:U320" si="58">SUM(E312:E319)</f>
        <v>0</v>
      </c>
      <c r="F320" s="84">
        <f t="shared" si="58"/>
        <v>137550</v>
      </c>
      <c r="G320" s="84">
        <f t="shared" si="58"/>
        <v>0</v>
      </c>
      <c r="H320" s="84">
        <f t="shared" si="58"/>
        <v>0</v>
      </c>
      <c r="I320" s="84">
        <f t="shared" si="58"/>
        <v>0</v>
      </c>
      <c r="J320" s="84">
        <f t="shared" si="58"/>
        <v>0</v>
      </c>
      <c r="K320" s="84">
        <f t="shared" si="58"/>
        <v>0</v>
      </c>
      <c r="L320" s="84">
        <f t="shared" si="58"/>
        <v>0</v>
      </c>
      <c r="M320" s="84">
        <f t="shared" si="58"/>
        <v>232650</v>
      </c>
      <c r="N320" s="84">
        <f t="shared" si="58"/>
        <v>-8000</v>
      </c>
      <c r="O320" s="84">
        <f t="shared" si="58"/>
        <v>0</v>
      </c>
      <c r="P320" s="84">
        <f t="shared" si="58"/>
        <v>0</v>
      </c>
      <c r="Q320" s="84">
        <f t="shared" si="58"/>
        <v>0</v>
      </c>
      <c r="R320" s="84"/>
      <c r="S320" s="84"/>
      <c r="T320" s="84">
        <f t="shared" si="46"/>
        <v>224650</v>
      </c>
      <c r="U320" s="85">
        <f t="shared" si="58"/>
        <v>172650</v>
      </c>
      <c r="V320" s="86">
        <f t="shared" si="45"/>
        <v>52000</v>
      </c>
    </row>
    <row r="321" spans="1:23" x14ac:dyDescent="0.25">
      <c r="A321" s="136"/>
      <c r="B321" s="150"/>
      <c r="C321" s="34" t="s">
        <v>112</v>
      </c>
      <c r="D321" s="22">
        <v>0</v>
      </c>
      <c r="E321" s="22"/>
      <c r="F321" s="22"/>
      <c r="G321" s="22"/>
      <c r="H321" s="22"/>
      <c r="I321" s="22"/>
      <c r="J321" s="22"/>
      <c r="K321" s="22"/>
      <c r="L321" s="22"/>
      <c r="M321" s="22">
        <f>D321+E321+F321+G321+H321+J321+I321</f>
        <v>0</v>
      </c>
      <c r="N321" s="22"/>
      <c r="O321" s="22"/>
      <c r="P321" s="22"/>
      <c r="Q321" s="22"/>
      <c r="R321" s="22"/>
      <c r="S321" s="22"/>
      <c r="T321" s="22">
        <f t="shared" si="46"/>
        <v>0</v>
      </c>
      <c r="U321" s="35">
        <v>0</v>
      </c>
      <c r="V321" s="37">
        <f t="shared" si="45"/>
        <v>0</v>
      </c>
    </row>
    <row r="322" spans="1:23" x14ac:dyDescent="0.25">
      <c r="A322" s="136"/>
      <c r="B322" s="150"/>
      <c r="C322" s="34" t="s">
        <v>113</v>
      </c>
      <c r="D322" s="22">
        <v>0</v>
      </c>
      <c r="E322" s="22"/>
      <c r="F322" s="22"/>
      <c r="G322" s="22"/>
      <c r="H322" s="22"/>
      <c r="I322" s="22"/>
      <c r="J322" s="22"/>
      <c r="K322" s="22"/>
      <c r="L322" s="22"/>
      <c r="M322" s="22">
        <f>D322+E322+F322+G322+H322+J322+I322</f>
        <v>0</v>
      </c>
      <c r="N322" s="22"/>
      <c r="O322" s="22"/>
      <c r="P322" s="22"/>
      <c r="Q322" s="22"/>
      <c r="R322" s="22"/>
      <c r="S322" s="22"/>
      <c r="T322" s="22">
        <f t="shared" si="46"/>
        <v>0</v>
      </c>
      <c r="U322" s="35">
        <v>0</v>
      </c>
      <c r="V322" s="37">
        <f t="shared" si="45"/>
        <v>0</v>
      </c>
    </row>
    <row r="323" spans="1:23" x14ac:dyDescent="0.25">
      <c r="A323" s="136"/>
      <c r="B323" s="151"/>
      <c r="C323" s="83" t="s">
        <v>114</v>
      </c>
      <c r="D323" s="84">
        <f>SUM(D321:D322)</f>
        <v>0</v>
      </c>
      <c r="E323" s="84">
        <f t="shared" ref="E323:U323" si="59">SUM(E321:E322)</f>
        <v>0</v>
      </c>
      <c r="F323" s="84">
        <f t="shared" si="59"/>
        <v>0</v>
      </c>
      <c r="G323" s="84">
        <f t="shared" si="59"/>
        <v>0</v>
      </c>
      <c r="H323" s="84">
        <f t="shared" si="59"/>
        <v>0</v>
      </c>
      <c r="I323" s="84">
        <f t="shared" si="59"/>
        <v>0</v>
      </c>
      <c r="J323" s="84">
        <f t="shared" si="59"/>
        <v>0</v>
      </c>
      <c r="K323" s="84">
        <f t="shared" si="59"/>
        <v>0</v>
      </c>
      <c r="L323" s="84">
        <f t="shared" si="59"/>
        <v>0</v>
      </c>
      <c r="M323" s="84">
        <f t="shared" si="59"/>
        <v>0</v>
      </c>
      <c r="N323" s="84">
        <f t="shared" si="59"/>
        <v>0</v>
      </c>
      <c r="O323" s="84">
        <f t="shared" si="59"/>
        <v>0</v>
      </c>
      <c r="P323" s="84">
        <f t="shared" si="59"/>
        <v>0</v>
      </c>
      <c r="Q323" s="84">
        <f t="shared" si="59"/>
        <v>0</v>
      </c>
      <c r="R323" s="84"/>
      <c r="S323" s="84"/>
      <c r="T323" s="84">
        <f t="shared" si="46"/>
        <v>0</v>
      </c>
      <c r="U323" s="85">
        <f t="shared" si="59"/>
        <v>0</v>
      </c>
      <c r="V323" s="86">
        <f t="shared" si="45"/>
        <v>0</v>
      </c>
    </row>
    <row r="324" spans="1:23" x14ac:dyDescent="0.25">
      <c r="A324" s="136"/>
      <c r="B324" s="138" t="s">
        <v>21</v>
      </c>
      <c r="C324" s="34" t="s">
        <v>62</v>
      </c>
      <c r="D324" s="22">
        <v>72000</v>
      </c>
      <c r="E324" s="22"/>
      <c r="F324" s="22"/>
      <c r="G324" s="22"/>
      <c r="H324" s="22"/>
      <c r="I324" s="22"/>
      <c r="J324" s="22"/>
      <c r="K324" s="22"/>
      <c r="L324" s="22"/>
      <c r="M324" s="22">
        <f>D324+E324+F324+G324+H324+J324+I324</f>
        <v>72000</v>
      </c>
      <c r="N324" s="22"/>
      <c r="O324" s="22"/>
      <c r="P324" s="22"/>
      <c r="Q324" s="22"/>
      <c r="R324" s="22"/>
      <c r="S324" s="22"/>
      <c r="T324" s="22">
        <f t="shared" si="46"/>
        <v>72000</v>
      </c>
      <c r="U324" s="35">
        <v>42000</v>
      </c>
      <c r="V324" s="37">
        <f t="shared" si="45"/>
        <v>30000</v>
      </c>
    </row>
    <row r="325" spans="1:23" s="4" customFormat="1" x14ac:dyDescent="0.25">
      <c r="A325" s="136"/>
      <c r="B325" s="138"/>
      <c r="C325" s="75" t="s">
        <v>57</v>
      </c>
      <c r="D325" s="25">
        <v>12000</v>
      </c>
      <c r="E325" s="25"/>
      <c r="F325" s="25"/>
      <c r="G325" s="25"/>
      <c r="H325" s="25"/>
      <c r="I325" s="25"/>
      <c r="J325" s="25"/>
      <c r="K325" s="25"/>
      <c r="L325" s="25"/>
      <c r="M325" s="25">
        <f>D325+E325+F325+G325+H325+J325+I325</f>
        <v>12000</v>
      </c>
      <c r="N325" s="25"/>
      <c r="O325" s="25"/>
      <c r="P325" s="25"/>
      <c r="Q325" s="25"/>
      <c r="R325" s="25"/>
      <c r="S325" s="25"/>
      <c r="T325" s="25">
        <f t="shared" si="46"/>
        <v>12000</v>
      </c>
      <c r="U325" s="66">
        <v>12000</v>
      </c>
      <c r="V325" s="39">
        <f t="shared" si="45"/>
        <v>0</v>
      </c>
      <c r="W325" s="18"/>
    </row>
    <row r="326" spans="1:23" s="4" customFormat="1" x14ac:dyDescent="0.25">
      <c r="A326" s="136"/>
      <c r="B326" s="138"/>
      <c r="C326" s="75" t="s">
        <v>64</v>
      </c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>
        <v>4000</v>
      </c>
      <c r="O326" s="25"/>
      <c r="P326" s="25"/>
      <c r="Q326" s="25"/>
      <c r="R326" s="25"/>
      <c r="S326" s="25"/>
      <c r="T326" s="25">
        <f t="shared" si="46"/>
        <v>4000</v>
      </c>
      <c r="U326" s="66">
        <v>4000</v>
      </c>
      <c r="V326" s="39">
        <f t="shared" si="45"/>
        <v>0</v>
      </c>
      <c r="W326" s="18"/>
    </row>
    <row r="327" spans="1:23" x14ac:dyDescent="0.25">
      <c r="A327" s="136"/>
      <c r="B327" s="138"/>
      <c r="C327" s="34" t="s">
        <v>58</v>
      </c>
      <c r="D327" s="22">
        <v>0</v>
      </c>
      <c r="E327" s="22"/>
      <c r="F327" s="22"/>
      <c r="G327" s="22"/>
      <c r="H327" s="22"/>
      <c r="I327" s="22"/>
      <c r="J327" s="22"/>
      <c r="K327" s="22"/>
      <c r="L327" s="22"/>
      <c r="M327" s="22">
        <f>D327+E327+F327+G327+H327+J327+I327</f>
        <v>0</v>
      </c>
      <c r="N327" s="22">
        <v>4000</v>
      </c>
      <c r="O327" s="22"/>
      <c r="P327" s="22"/>
      <c r="Q327" s="22"/>
      <c r="R327" s="22"/>
      <c r="S327" s="22"/>
      <c r="T327" s="22">
        <f t="shared" si="46"/>
        <v>4000</v>
      </c>
      <c r="U327" s="35">
        <v>4000</v>
      </c>
      <c r="V327" s="37">
        <f t="shared" si="45"/>
        <v>0</v>
      </c>
    </row>
    <row r="328" spans="1:23" x14ac:dyDescent="0.25">
      <c r="A328" s="136"/>
      <c r="B328" s="138"/>
      <c r="C328" s="34" t="s">
        <v>45</v>
      </c>
      <c r="D328" s="22">
        <v>22680</v>
      </c>
      <c r="E328" s="22"/>
      <c r="F328" s="22"/>
      <c r="G328" s="22"/>
      <c r="H328" s="22"/>
      <c r="I328" s="22"/>
      <c r="J328" s="22"/>
      <c r="K328" s="22"/>
      <c r="L328" s="22"/>
      <c r="M328" s="22">
        <f>D328+E328+F328+G328+H328+J328+I328</f>
        <v>22680</v>
      </c>
      <c r="N328" s="22"/>
      <c r="O328" s="22"/>
      <c r="P328" s="22"/>
      <c r="Q328" s="22"/>
      <c r="R328" s="22"/>
      <c r="S328" s="22"/>
      <c r="T328" s="22">
        <f t="shared" si="46"/>
        <v>22680</v>
      </c>
      <c r="U328" s="35">
        <v>16740</v>
      </c>
      <c r="V328" s="39">
        <f t="shared" si="45"/>
        <v>5940</v>
      </c>
    </row>
    <row r="329" spans="1:23" x14ac:dyDescent="0.25">
      <c r="A329" s="136"/>
      <c r="B329" s="138"/>
      <c r="C329" s="83" t="s">
        <v>46</v>
      </c>
      <c r="D329" s="84">
        <f>SUM(D324:D328)</f>
        <v>106680</v>
      </c>
      <c r="E329" s="84">
        <f t="shared" ref="E329:U329" si="60">SUM(E324:E328)</f>
        <v>0</v>
      </c>
      <c r="F329" s="84">
        <f t="shared" si="60"/>
        <v>0</v>
      </c>
      <c r="G329" s="84">
        <f t="shared" si="60"/>
        <v>0</v>
      </c>
      <c r="H329" s="84">
        <f t="shared" si="60"/>
        <v>0</v>
      </c>
      <c r="I329" s="84">
        <f t="shared" si="60"/>
        <v>0</v>
      </c>
      <c r="J329" s="84">
        <f t="shared" si="60"/>
        <v>0</v>
      </c>
      <c r="K329" s="84">
        <f t="shared" si="60"/>
        <v>0</v>
      </c>
      <c r="L329" s="84">
        <f t="shared" si="60"/>
        <v>0</v>
      </c>
      <c r="M329" s="84">
        <f t="shared" si="60"/>
        <v>106680</v>
      </c>
      <c r="N329" s="84">
        <f>SUM(N324:N328)</f>
        <v>8000</v>
      </c>
      <c r="O329" s="84">
        <f t="shared" si="60"/>
        <v>0</v>
      </c>
      <c r="P329" s="84">
        <f t="shared" si="60"/>
        <v>0</v>
      </c>
      <c r="Q329" s="84">
        <f t="shared" si="60"/>
        <v>0</v>
      </c>
      <c r="R329" s="84"/>
      <c r="S329" s="84"/>
      <c r="T329" s="84">
        <f t="shared" si="46"/>
        <v>114680</v>
      </c>
      <c r="U329" s="85">
        <f t="shared" si="60"/>
        <v>78740</v>
      </c>
      <c r="V329" s="86">
        <f t="shared" ref="V329:V392" si="61">T329-U329</f>
        <v>35940</v>
      </c>
    </row>
    <row r="330" spans="1:23" x14ac:dyDescent="0.25">
      <c r="A330" s="137" t="s">
        <v>88</v>
      </c>
      <c r="B330" s="139" t="s">
        <v>18</v>
      </c>
      <c r="C330" s="34" t="s">
        <v>40</v>
      </c>
      <c r="D330" s="22">
        <v>318073</v>
      </c>
      <c r="E330" s="22"/>
      <c r="F330" s="22"/>
      <c r="G330" s="22"/>
      <c r="H330" s="22"/>
      <c r="I330" s="22"/>
      <c r="J330" s="22"/>
      <c r="K330" s="22"/>
      <c r="L330" s="22"/>
      <c r="M330" s="22">
        <f>D330+E330+F330+G330+H330+J330+I330+K330</f>
        <v>318073</v>
      </c>
      <c r="N330" s="22"/>
      <c r="O330" s="22"/>
      <c r="P330" s="22"/>
      <c r="Q330" s="22"/>
      <c r="R330" s="22"/>
      <c r="S330" s="22"/>
      <c r="T330" s="22">
        <f t="shared" si="46"/>
        <v>318073</v>
      </c>
      <c r="U330" s="35">
        <v>211123</v>
      </c>
      <c r="V330" s="37">
        <f t="shared" si="61"/>
        <v>106950</v>
      </c>
    </row>
    <row r="331" spans="1:23" x14ac:dyDescent="0.25">
      <c r="A331" s="149"/>
      <c r="B331" s="151"/>
      <c r="C331" s="34" t="s">
        <v>42</v>
      </c>
      <c r="D331" s="22">
        <v>49301</v>
      </c>
      <c r="E331" s="22"/>
      <c r="F331" s="22"/>
      <c r="G331" s="22"/>
      <c r="H331" s="22"/>
      <c r="I331" s="22"/>
      <c r="J331" s="22"/>
      <c r="K331" s="22"/>
      <c r="L331" s="22"/>
      <c r="M331" s="22">
        <f>D331+E331+F331+G331+H331+J331+I331+K331</f>
        <v>49301</v>
      </c>
      <c r="N331" s="22"/>
      <c r="O331" s="22"/>
      <c r="P331" s="22"/>
      <c r="Q331" s="22"/>
      <c r="R331" s="22"/>
      <c r="S331" s="22"/>
      <c r="T331" s="22">
        <f t="shared" si="46"/>
        <v>49301</v>
      </c>
      <c r="U331" s="35">
        <v>32128</v>
      </c>
      <c r="V331" s="37">
        <f t="shared" si="61"/>
        <v>17173</v>
      </c>
    </row>
    <row r="332" spans="1:23" x14ac:dyDescent="0.25">
      <c r="A332" s="140" t="s">
        <v>118</v>
      </c>
      <c r="B332" s="141"/>
      <c r="C332" s="142"/>
      <c r="D332" s="96">
        <f>SUM(D297+D300+D301+D304+D310+D311+D320+D323+D329+D330+D331)</f>
        <v>4598042</v>
      </c>
      <c r="E332" s="94">
        <f t="shared" ref="E332:Q332" si="62">SUM(E297+E300+E301+E304+E310+E311+E320+E323+E329+E330+E331)</f>
        <v>0</v>
      </c>
      <c r="F332" s="94">
        <f t="shared" si="62"/>
        <v>137550</v>
      </c>
      <c r="G332" s="94">
        <f t="shared" si="62"/>
        <v>0</v>
      </c>
      <c r="H332" s="94">
        <f t="shared" si="62"/>
        <v>0</v>
      </c>
      <c r="I332" s="94">
        <f t="shared" si="62"/>
        <v>0</v>
      </c>
      <c r="J332" s="94">
        <f t="shared" si="62"/>
        <v>0</v>
      </c>
      <c r="K332" s="94">
        <f t="shared" si="62"/>
        <v>0</v>
      </c>
      <c r="L332" s="94">
        <f t="shared" si="62"/>
        <v>0</v>
      </c>
      <c r="M332" s="94">
        <f t="shared" si="62"/>
        <v>4735592</v>
      </c>
      <c r="N332" s="94">
        <f t="shared" si="62"/>
        <v>0</v>
      </c>
      <c r="O332" s="94">
        <f t="shared" si="62"/>
        <v>0</v>
      </c>
      <c r="P332" s="94">
        <f t="shared" si="62"/>
        <v>0</v>
      </c>
      <c r="Q332" s="94">
        <f t="shared" si="62"/>
        <v>0</v>
      </c>
      <c r="R332" s="94"/>
      <c r="S332" s="94"/>
      <c r="T332" s="94">
        <f t="shared" ref="T332:T395" si="63">SUM(M332:S332)</f>
        <v>4735592</v>
      </c>
      <c r="U332" s="95">
        <f>SUM(U297+U300+U301+U304+U310+U311+U320+U323+U329+U330+U331)</f>
        <v>3304663</v>
      </c>
      <c r="V332" s="93">
        <f t="shared" si="61"/>
        <v>1430929</v>
      </c>
    </row>
    <row r="333" spans="1:23" x14ac:dyDescent="0.25">
      <c r="A333" s="136" t="s">
        <v>69</v>
      </c>
      <c r="B333" s="138" t="s">
        <v>39</v>
      </c>
      <c r="C333" s="34" t="s">
        <v>40</v>
      </c>
      <c r="D333" s="22">
        <v>978360</v>
      </c>
      <c r="E333" s="22"/>
      <c r="F333" s="22"/>
      <c r="G333" s="22"/>
      <c r="H333" s="22"/>
      <c r="I333" s="22"/>
      <c r="J333" s="22"/>
      <c r="K333" s="22"/>
      <c r="L333" s="22"/>
      <c r="M333" s="22">
        <f>D333+E333+F333+G333+H333+J333+I333</f>
        <v>978360</v>
      </c>
      <c r="N333" s="22"/>
      <c r="O333" s="22"/>
      <c r="P333" s="22"/>
      <c r="Q333" s="22"/>
      <c r="R333" s="22"/>
      <c r="S333" s="22"/>
      <c r="T333" s="22">
        <f t="shared" si="63"/>
        <v>978360</v>
      </c>
      <c r="U333" s="35">
        <v>669590</v>
      </c>
      <c r="V333" s="37">
        <f t="shared" si="61"/>
        <v>308770</v>
      </c>
    </row>
    <row r="334" spans="1:23" x14ac:dyDescent="0.25">
      <c r="A334" s="136"/>
      <c r="B334" s="138"/>
      <c r="C334" s="34" t="s">
        <v>51</v>
      </c>
      <c r="D334" s="22">
        <v>0</v>
      </c>
      <c r="E334" s="22"/>
      <c r="F334" s="22"/>
      <c r="G334" s="22"/>
      <c r="H334" s="22"/>
      <c r="I334" s="22"/>
      <c r="J334" s="22"/>
      <c r="K334" s="22"/>
      <c r="L334" s="22"/>
      <c r="M334" s="22">
        <f>D334+E334+F334+G334+H334+J334+I334</f>
        <v>0</v>
      </c>
      <c r="N334" s="22"/>
      <c r="O334" s="22"/>
      <c r="P334" s="22"/>
      <c r="Q334" s="22"/>
      <c r="R334" s="22"/>
      <c r="S334" s="22"/>
      <c r="T334" s="22">
        <f t="shared" si="63"/>
        <v>0</v>
      </c>
      <c r="U334" s="35">
        <v>0</v>
      </c>
      <c r="V334" s="39">
        <f t="shared" si="61"/>
        <v>0</v>
      </c>
    </row>
    <row r="335" spans="1:23" x14ac:dyDescent="0.25">
      <c r="A335" s="136"/>
      <c r="B335" s="138"/>
      <c r="C335" s="83" t="s">
        <v>41</v>
      </c>
      <c r="D335" s="84">
        <f>SUM(D333:D334)</f>
        <v>978360</v>
      </c>
      <c r="E335" s="84">
        <f t="shared" ref="E335:U335" si="64">SUM(E333:E334)</f>
        <v>0</v>
      </c>
      <c r="F335" s="84">
        <f t="shared" si="64"/>
        <v>0</v>
      </c>
      <c r="G335" s="84">
        <f t="shared" si="64"/>
        <v>0</v>
      </c>
      <c r="H335" s="84">
        <f t="shared" si="64"/>
        <v>0</v>
      </c>
      <c r="I335" s="84">
        <f t="shared" si="64"/>
        <v>0</v>
      </c>
      <c r="J335" s="84">
        <f t="shared" si="64"/>
        <v>0</v>
      </c>
      <c r="K335" s="84">
        <f t="shared" si="64"/>
        <v>0</v>
      </c>
      <c r="L335" s="84">
        <f t="shared" si="64"/>
        <v>0</v>
      </c>
      <c r="M335" s="84">
        <f t="shared" si="64"/>
        <v>978360</v>
      </c>
      <c r="N335" s="84">
        <f t="shared" si="64"/>
        <v>0</v>
      </c>
      <c r="O335" s="84">
        <f t="shared" si="64"/>
        <v>0</v>
      </c>
      <c r="P335" s="84">
        <f t="shared" si="64"/>
        <v>0</v>
      </c>
      <c r="Q335" s="84">
        <f t="shared" si="64"/>
        <v>0</v>
      </c>
      <c r="R335" s="84"/>
      <c r="S335" s="84"/>
      <c r="T335" s="84">
        <f t="shared" si="63"/>
        <v>978360</v>
      </c>
      <c r="U335" s="85">
        <f t="shared" si="64"/>
        <v>669590</v>
      </c>
      <c r="V335" s="86">
        <f t="shared" si="61"/>
        <v>308770</v>
      </c>
    </row>
    <row r="336" spans="1:23" x14ac:dyDescent="0.25">
      <c r="A336" s="136"/>
      <c r="B336" s="138"/>
      <c r="C336" s="87" t="s">
        <v>42</v>
      </c>
      <c r="D336" s="88">
        <v>75823</v>
      </c>
      <c r="E336" s="88"/>
      <c r="F336" s="88"/>
      <c r="G336" s="88"/>
      <c r="H336" s="88"/>
      <c r="I336" s="88"/>
      <c r="J336" s="88"/>
      <c r="K336" s="88"/>
      <c r="L336" s="88"/>
      <c r="M336" s="89">
        <f>D336+E336+F336+G336+H336+J336</f>
        <v>75823</v>
      </c>
      <c r="N336" s="89"/>
      <c r="O336" s="89"/>
      <c r="P336" s="89"/>
      <c r="Q336" s="89"/>
      <c r="R336" s="89"/>
      <c r="S336" s="89"/>
      <c r="T336" s="89">
        <f t="shared" si="63"/>
        <v>75823</v>
      </c>
      <c r="U336" s="90">
        <v>51897</v>
      </c>
      <c r="V336" s="91">
        <f t="shared" si="61"/>
        <v>23926</v>
      </c>
    </row>
    <row r="337" spans="1:22" x14ac:dyDescent="0.25">
      <c r="A337" s="136"/>
      <c r="B337" s="138"/>
      <c r="C337" s="34" t="s">
        <v>43</v>
      </c>
      <c r="D337" s="22">
        <v>0</v>
      </c>
      <c r="E337" s="22"/>
      <c r="F337" s="22"/>
      <c r="G337" s="22"/>
      <c r="H337" s="22"/>
      <c r="I337" s="22"/>
      <c r="J337" s="22"/>
      <c r="K337" s="22"/>
      <c r="L337" s="22"/>
      <c r="M337" s="22">
        <f>D337+E337+F337+G337+H337+J337+I337</f>
        <v>0</v>
      </c>
      <c r="N337" s="22"/>
      <c r="O337" s="22"/>
      <c r="P337" s="22"/>
      <c r="Q337" s="22"/>
      <c r="R337" s="22"/>
      <c r="S337" s="22"/>
      <c r="T337" s="22">
        <f t="shared" si="63"/>
        <v>0</v>
      </c>
      <c r="U337" s="35">
        <v>0</v>
      </c>
      <c r="V337" s="66">
        <f t="shared" si="61"/>
        <v>0</v>
      </c>
    </row>
    <row r="338" spans="1:22" x14ac:dyDescent="0.25">
      <c r="A338" s="136"/>
      <c r="B338" s="138"/>
      <c r="C338" s="75" t="s">
        <v>44</v>
      </c>
      <c r="D338" s="22">
        <v>0</v>
      </c>
      <c r="E338" s="22"/>
      <c r="F338" s="22"/>
      <c r="G338" s="22"/>
      <c r="H338" s="22"/>
      <c r="I338" s="22"/>
      <c r="J338" s="22"/>
      <c r="K338" s="22"/>
      <c r="L338" s="22"/>
      <c r="M338" s="22">
        <f>D338+E338+F338+G338+H338+J338+I338</f>
        <v>0</v>
      </c>
      <c r="N338" s="22"/>
      <c r="O338" s="22"/>
      <c r="P338" s="22"/>
      <c r="Q338" s="22"/>
      <c r="R338" s="22"/>
      <c r="S338" s="22"/>
      <c r="T338" s="22">
        <f t="shared" si="63"/>
        <v>0</v>
      </c>
      <c r="U338" s="35">
        <v>0</v>
      </c>
      <c r="V338" s="66">
        <f t="shared" si="61"/>
        <v>0</v>
      </c>
    </row>
    <row r="339" spans="1:22" x14ac:dyDescent="0.25">
      <c r="A339" s="136"/>
      <c r="B339" s="138"/>
      <c r="C339" s="34" t="s">
        <v>45</v>
      </c>
      <c r="D339" s="22">
        <v>0</v>
      </c>
      <c r="E339" s="22"/>
      <c r="F339" s="22"/>
      <c r="G339" s="22"/>
      <c r="H339" s="22"/>
      <c r="I339" s="22"/>
      <c r="J339" s="22"/>
      <c r="K339" s="22"/>
      <c r="L339" s="22"/>
      <c r="M339" s="22">
        <f>D339+E339+F339+G339+H339+J339+I339</f>
        <v>0</v>
      </c>
      <c r="N339" s="22"/>
      <c r="O339" s="22"/>
      <c r="P339" s="22"/>
      <c r="Q339" s="22"/>
      <c r="R339" s="22"/>
      <c r="S339" s="22"/>
      <c r="T339" s="22">
        <f t="shared" si="63"/>
        <v>0</v>
      </c>
      <c r="U339" s="35">
        <v>0</v>
      </c>
      <c r="V339" s="66">
        <f t="shared" si="61"/>
        <v>0</v>
      </c>
    </row>
    <row r="340" spans="1:22" x14ac:dyDescent="0.25">
      <c r="A340" s="136"/>
      <c r="B340" s="138"/>
      <c r="C340" s="83" t="s">
        <v>46</v>
      </c>
      <c r="D340" s="84">
        <f>SUM(D337:D339)</f>
        <v>0</v>
      </c>
      <c r="E340" s="84">
        <f t="shared" ref="E340:U340" si="65">SUM(E337:E339)</f>
        <v>0</v>
      </c>
      <c r="F340" s="84">
        <f t="shared" si="65"/>
        <v>0</v>
      </c>
      <c r="G340" s="84">
        <f t="shared" si="65"/>
        <v>0</v>
      </c>
      <c r="H340" s="84">
        <f t="shared" si="65"/>
        <v>0</v>
      </c>
      <c r="I340" s="84">
        <f t="shared" si="65"/>
        <v>0</v>
      </c>
      <c r="J340" s="84">
        <f t="shared" si="65"/>
        <v>0</v>
      </c>
      <c r="K340" s="84">
        <f t="shared" si="65"/>
        <v>0</v>
      </c>
      <c r="L340" s="84">
        <f t="shared" si="65"/>
        <v>0</v>
      </c>
      <c r="M340" s="84">
        <f t="shared" si="65"/>
        <v>0</v>
      </c>
      <c r="N340" s="84">
        <f t="shared" si="65"/>
        <v>0</v>
      </c>
      <c r="O340" s="84">
        <f t="shared" si="65"/>
        <v>0</v>
      </c>
      <c r="P340" s="84">
        <f t="shared" si="65"/>
        <v>0</v>
      </c>
      <c r="Q340" s="84">
        <f t="shared" si="65"/>
        <v>0</v>
      </c>
      <c r="R340" s="84"/>
      <c r="S340" s="84"/>
      <c r="T340" s="84">
        <f t="shared" si="63"/>
        <v>0</v>
      </c>
      <c r="U340" s="85">
        <f t="shared" si="65"/>
        <v>0</v>
      </c>
      <c r="V340" s="85">
        <f t="shared" si="61"/>
        <v>0</v>
      </c>
    </row>
    <row r="341" spans="1:22" x14ac:dyDescent="0.25">
      <c r="A341" s="136"/>
      <c r="B341" s="138" t="s">
        <v>10</v>
      </c>
      <c r="C341" s="34" t="s">
        <v>40</v>
      </c>
      <c r="D341" s="25">
        <v>6713960</v>
      </c>
      <c r="E341" s="22"/>
      <c r="F341" s="22"/>
      <c r="G341" s="22"/>
      <c r="H341" s="22"/>
      <c r="I341" s="22"/>
      <c r="J341" s="22"/>
      <c r="K341" s="22"/>
      <c r="L341" s="22"/>
      <c r="M341" s="25">
        <f t="shared" ref="M341:M348" si="66">D341+E341+F341+G341+H341+J341+I341</f>
        <v>6713960</v>
      </c>
      <c r="N341" s="25"/>
      <c r="O341" s="25"/>
      <c r="P341" s="25"/>
      <c r="Q341" s="25"/>
      <c r="R341" s="25"/>
      <c r="S341" s="25"/>
      <c r="T341" s="25">
        <f t="shared" si="63"/>
        <v>6713960</v>
      </c>
      <c r="U341" s="35">
        <v>4670968</v>
      </c>
      <c r="V341" s="37">
        <f t="shared" si="61"/>
        <v>2042992</v>
      </c>
    </row>
    <row r="342" spans="1:22" x14ac:dyDescent="0.25">
      <c r="A342" s="136"/>
      <c r="B342" s="138"/>
      <c r="C342" s="34" t="s">
        <v>63</v>
      </c>
      <c r="D342" s="22">
        <v>0</v>
      </c>
      <c r="E342" s="22"/>
      <c r="F342" s="22"/>
      <c r="G342" s="22"/>
      <c r="H342" s="22"/>
      <c r="I342" s="22"/>
      <c r="J342" s="22"/>
      <c r="K342" s="22"/>
      <c r="L342" s="22"/>
      <c r="M342" s="22">
        <f t="shared" si="66"/>
        <v>0</v>
      </c>
      <c r="N342" s="22"/>
      <c r="O342" s="22"/>
      <c r="P342" s="22"/>
      <c r="Q342" s="22"/>
      <c r="R342" s="22"/>
      <c r="S342" s="22"/>
      <c r="T342" s="22">
        <f t="shared" si="63"/>
        <v>0</v>
      </c>
      <c r="U342" s="35">
        <v>0</v>
      </c>
      <c r="V342" s="37">
        <f t="shared" si="61"/>
        <v>0</v>
      </c>
    </row>
    <row r="343" spans="1:22" x14ac:dyDescent="0.25">
      <c r="A343" s="136"/>
      <c r="B343" s="138"/>
      <c r="C343" s="34" t="s">
        <v>47</v>
      </c>
      <c r="D343" s="22">
        <v>200000</v>
      </c>
      <c r="E343" s="22"/>
      <c r="F343" s="22"/>
      <c r="G343" s="22"/>
      <c r="H343" s="22"/>
      <c r="I343" s="22"/>
      <c r="J343" s="22"/>
      <c r="K343" s="22"/>
      <c r="L343" s="22"/>
      <c r="M343" s="22">
        <f t="shared" si="66"/>
        <v>200000</v>
      </c>
      <c r="N343" s="22"/>
      <c r="O343" s="22"/>
      <c r="P343" s="22"/>
      <c r="Q343" s="22"/>
      <c r="R343" s="22"/>
      <c r="S343" s="22"/>
      <c r="T343" s="22">
        <f t="shared" si="63"/>
        <v>200000</v>
      </c>
      <c r="U343" s="35">
        <v>100000</v>
      </c>
      <c r="V343" s="37">
        <f t="shared" si="61"/>
        <v>100000</v>
      </c>
    </row>
    <row r="344" spans="1:22" x14ac:dyDescent="0.25">
      <c r="A344" s="136"/>
      <c r="B344" s="138"/>
      <c r="C344" s="34" t="s">
        <v>48</v>
      </c>
      <c r="D344" s="22">
        <v>20000</v>
      </c>
      <c r="E344" s="22"/>
      <c r="F344" s="22"/>
      <c r="G344" s="22"/>
      <c r="H344" s="22"/>
      <c r="I344" s="22"/>
      <c r="J344" s="22"/>
      <c r="K344" s="22"/>
      <c r="L344" s="22"/>
      <c r="M344" s="22">
        <f t="shared" si="66"/>
        <v>20000</v>
      </c>
      <c r="N344" s="22"/>
      <c r="O344" s="22"/>
      <c r="P344" s="22"/>
      <c r="Q344" s="22"/>
      <c r="R344" s="22"/>
      <c r="S344" s="22"/>
      <c r="T344" s="22">
        <f t="shared" si="63"/>
        <v>20000</v>
      </c>
      <c r="U344" s="35">
        <v>0</v>
      </c>
      <c r="V344" s="39">
        <f t="shared" si="61"/>
        <v>20000</v>
      </c>
    </row>
    <row r="345" spans="1:22" x14ac:dyDescent="0.25">
      <c r="A345" s="136"/>
      <c r="B345" s="138"/>
      <c r="C345" s="34" t="s">
        <v>49</v>
      </c>
      <c r="D345" s="22">
        <v>65000</v>
      </c>
      <c r="E345" s="22"/>
      <c r="F345" s="22"/>
      <c r="G345" s="22"/>
      <c r="H345" s="22"/>
      <c r="I345" s="22"/>
      <c r="J345" s="22"/>
      <c r="K345" s="22"/>
      <c r="L345" s="22"/>
      <c r="M345" s="22">
        <f t="shared" si="66"/>
        <v>65000</v>
      </c>
      <c r="N345" s="22"/>
      <c r="O345" s="22"/>
      <c r="P345" s="22"/>
      <c r="Q345" s="22"/>
      <c r="R345" s="22"/>
      <c r="S345" s="22"/>
      <c r="T345" s="22">
        <f t="shared" si="63"/>
        <v>65000</v>
      </c>
      <c r="U345" s="66">
        <v>0</v>
      </c>
      <c r="V345" s="39">
        <f t="shared" si="61"/>
        <v>65000</v>
      </c>
    </row>
    <row r="346" spans="1:22" x14ac:dyDescent="0.25">
      <c r="A346" s="136"/>
      <c r="B346" s="138"/>
      <c r="C346" s="34" t="s">
        <v>50</v>
      </c>
      <c r="D346" s="22">
        <v>24000</v>
      </c>
      <c r="E346" s="22"/>
      <c r="F346" s="22"/>
      <c r="G346" s="22"/>
      <c r="H346" s="22"/>
      <c r="I346" s="22"/>
      <c r="J346" s="22"/>
      <c r="K346" s="22"/>
      <c r="L346" s="22"/>
      <c r="M346" s="22">
        <f t="shared" si="66"/>
        <v>24000</v>
      </c>
      <c r="N346" s="22"/>
      <c r="O346" s="22"/>
      <c r="P346" s="22"/>
      <c r="Q346" s="22"/>
      <c r="R346" s="22"/>
      <c r="S346" s="22"/>
      <c r="T346" s="22">
        <f t="shared" si="63"/>
        <v>24000</v>
      </c>
      <c r="U346" s="35">
        <v>12000</v>
      </c>
      <c r="V346" s="39">
        <f t="shared" si="61"/>
        <v>12000</v>
      </c>
    </row>
    <row r="347" spans="1:22" x14ac:dyDescent="0.25">
      <c r="A347" s="136"/>
      <c r="B347" s="138"/>
      <c r="C347" s="34" t="s">
        <v>51</v>
      </c>
      <c r="D347" s="22">
        <v>0</v>
      </c>
      <c r="E347" s="22"/>
      <c r="F347" s="22"/>
      <c r="G347" s="22"/>
      <c r="H347" s="22"/>
      <c r="I347" s="22"/>
      <c r="J347" s="22"/>
      <c r="K347" s="22"/>
      <c r="L347" s="22"/>
      <c r="M347" s="22">
        <f t="shared" si="66"/>
        <v>0</v>
      </c>
      <c r="N347" s="22"/>
      <c r="O347" s="22"/>
      <c r="P347" s="22"/>
      <c r="Q347" s="22"/>
      <c r="R347" s="22"/>
      <c r="S347" s="22"/>
      <c r="T347" s="22">
        <f t="shared" si="63"/>
        <v>0</v>
      </c>
      <c r="U347" s="35">
        <v>0</v>
      </c>
      <c r="V347" s="39">
        <f t="shared" si="61"/>
        <v>0</v>
      </c>
    </row>
    <row r="348" spans="1:22" x14ac:dyDescent="0.25">
      <c r="A348" s="136"/>
      <c r="B348" s="138"/>
      <c r="C348" s="34" t="s">
        <v>52</v>
      </c>
      <c r="D348" s="22">
        <v>50000</v>
      </c>
      <c r="E348" s="22"/>
      <c r="F348" s="22"/>
      <c r="G348" s="22"/>
      <c r="H348" s="22"/>
      <c r="I348" s="22"/>
      <c r="J348" s="22"/>
      <c r="K348" s="22"/>
      <c r="L348" s="22"/>
      <c r="M348" s="22">
        <f t="shared" si="66"/>
        <v>50000</v>
      </c>
      <c r="N348" s="22"/>
      <c r="O348" s="22"/>
      <c r="P348" s="22"/>
      <c r="Q348" s="22"/>
      <c r="R348" s="22"/>
      <c r="S348" s="22"/>
      <c r="T348" s="22">
        <f t="shared" si="63"/>
        <v>50000</v>
      </c>
      <c r="U348" s="35">
        <v>0</v>
      </c>
      <c r="V348" s="39">
        <f t="shared" si="61"/>
        <v>50000</v>
      </c>
    </row>
    <row r="349" spans="1:22" x14ac:dyDescent="0.25">
      <c r="A349" s="136"/>
      <c r="B349" s="138"/>
      <c r="C349" s="83" t="s">
        <v>41</v>
      </c>
      <c r="D349" s="84">
        <f>SUM(D341:D348)</f>
        <v>7072960</v>
      </c>
      <c r="E349" s="84">
        <f t="shared" ref="E349:U349" si="67">SUM(E341:E348)</f>
        <v>0</v>
      </c>
      <c r="F349" s="84">
        <f t="shared" si="67"/>
        <v>0</v>
      </c>
      <c r="G349" s="84">
        <f t="shared" si="67"/>
        <v>0</v>
      </c>
      <c r="H349" s="84">
        <f t="shared" si="67"/>
        <v>0</v>
      </c>
      <c r="I349" s="84">
        <f t="shared" si="67"/>
        <v>0</v>
      </c>
      <c r="J349" s="84">
        <f t="shared" si="67"/>
        <v>0</v>
      </c>
      <c r="K349" s="84">
        <f t="shared" si="67"/>
        <v>0</v>
      </c>
      <c r="L349" s="84">
        <f t="shared" si="67"/>
        <v>0</v>
      </c>
      <c r="M349" s="84">
        <f t="shared" si="67"/>
        <v>7072960</v>
      </c>
      <c r="N349" s="84">
        <f t="shared" si="67"/>
        <v>0</v>
      </c>
      <c r="O349" s="84">
        <f t="shared" si="67"/>
        <v>0</v>
      </c>
      <c r="P349" s="84">
        <f t="shared" si="67"/>
        <v>0</v>
      </c>
      <c r="Q349" s="84">
        <f t="shared" si="67"/>
        <v>0</v>
      </c>
      <c r="R349" s="84"/>
      <c r="S349" s="84"/>
      <c r="T349" s="84">
        <f t="shared" si="63"/>
        <v>7072960</v>
      </c>
      <c r="U349" s="85">
        <f t="shared" si="67"/>
        <v>4782968</v>
      </c>
      <c r="V349" s="86">
        <f t="shared" si="61"/>
        <v>2289992</v>
      </c>
    </row>
    <row r="350" spans="1:22" x14ac:dyDescent="0.25">
      <c r="A350" s="136"/>
      <c r="B350" s="138"/>
      <c r="C350" s="87" t="s">
        <v>42</v>
      </c>
      <c r="D350" s="88">
        <v>1113138</v>
      </c>
      <c r="E350" s="88"/>
      <c r="F350" s="88"/>
      <c r="G350" s="88"/>
      <c r="H350" s="88"/>
      <c r="I350" s="88"/>
      <c r="J350" s="88"/>
      <c r="K350" s="88"/>
      <c r="L350" s="88"/>
      <c r="M350" s="89">
        <f>D350+E350+F350+G350+H350+J350</f>
        <v>1113138</v>
      </c>
      <c r="N350" s="89"/>
      <c r="O350" s="89"/>
      <c r="P350" s="89"/>
      <c r="Q350" s="89"/>
      <c r="R350" s="89"/>
      <c r="S350" s="89"/>
      <c r="T350" s="89">
        <f t="shared" si="63"/>
        <v>1113138</v>
      </c>
      <c r="U350" s="90">
        <v>749400</v>
      </c>
      <c r="V350" s="91">
        <f t="shared" si="61"/>
        <v>363738</v>
      </c>
    </row>
    <row r="351" spans="1:22" x14ac:dyDescent="0.25">
      <c r="A351" s="136"/>
      <c r="B351" s="138"/>
      <c r="C351" s="34" t="s">
        <v>43</v>
      </c>
      <c r="D351" s="22">
        <v>50000</v>
      </c>
      <c r="E351" s="22"/>
      <c r="F351" s="22"/>
      <c r="G351" s="22"/>
      <c r="H351" s="22"/>
      <c r="I351" s="22"/>
      <c r="J351" s="22"/>
      <c r="K351" s="22"/>
      <c r="L351" s="22"/>
      <c r="M351" s="22">
        <f t="shared" ref="M351:M362" si="68">D351+E351+F351+G351+H351+J351+I351</f>
        <v>50000</v>
      </c>
      <c r="N351" s="22"/>
      <c r="O351" s="22"/>
      <c r="P351" s="22"/>
      <c r="Q351" s="22"/>
      <c r="R351" s="22"/>
      <c r="S351" s="22"/>
      <c r="T351" s="22">
        <f t="shared" si="63"/>
        <v>50000</v>
      </c>
      <c r="U351" s="35">
        <v>0</v>
      </c>
      <c r="V351" s="37">
        <f t="shared" si="61"/>
        <v>50000</v>
      </c>
    </row>
    <row r="352" spans="1:22" x14ac:dyDescent="0.25">
      <c r="A352" s="136"/>
      <c r="B352" s="138"/>
      <c r="C352" s="34" t="s">
        <v>53</v>
      </c>
      <c r="D352" s="22">
        <v>140000</v>
      </c>
      <c r="E352" s="22"/>
      <c r="F352" s="22">
        <v>150000</v>
      </c>
      <c r="G352" s="22"/>
      <c r="H352" s="22"/>
      <c r="I352" s="22"/>
      <c r="J352" s="22"/>
      <c r="K352" s="22"/>
      <c r="L352" s="22"/>
      <c r="M352" s="22">
        <f t="shared" si="68"/>
        <v>290000</v>
      </c>
      <c r="N352" s="22">
        <v>-30000</v>
      </c>
      <c r="O352" s="22"/>
      <c r="P352" s="22"/>
      <c r="Q352" s="22"/>
      <c r="R352" s="22"/>
      <c r="S352" s="22"/>
      <c r="T352" s="22">
        <f t="shared" si="63"/>
        <v>260000</v>
      </c>
      <c r="U352" s="35">
        <v>0</v>
      </c>
      <c r="V352" s="37">
        <f t="shared" si="61"/>
        <v>260000</v>
      </c>
    </row>
    <row r="353" spans="1:22" x14ac:dyDescent="0.25">
      <c r="A353" s="136"/>
      <c r="B353" s="138"/>
      <c r="C353" s="34" t="s">
        <v>54</v>
      </c>
      <c r="D353" s="22">
        <v>39828</v>
      </c>
      <c r="E353" s="22"/>
      <c r="F353" s="22"/>
      <c r="G353" s="22"/>
      <c r="H353" s="22"/>
      <c r="I353" s="22"/>
      <c r="J353" s="22"/>
      <c r="K353" s="22"/>
      <c r="L353" s="22"/>
      <c r="M353" s="22">
        <f t="shared" si="68"/>
        <v>39828</v>
      </c>
      <c r="N353" s="22"/>
      <c r="O353" s="22"/>
      <c r="P353" s="22"/>
      <c r="Q353" s="22"/>
      <c r="R353" s="22"/>
      <c r="S353" s="22"/>
      <c r="T353" s="22">
        <f t="shared" si="63"/>
        <v>39828</v>
      </c>
      <c r="U353" s="35">
        <v>26552</v>
      </c>
      <c r="V353" s="37">
        <f t="shared" si="61"/>
        <v>13276</v>
      </c>
    </row>
    <row r="354" spans="1:22" x14ac:dyDescent="0.25">
      <c r="A354" s="136"/>
      <c r="B354" s="138"/>
      <c r="C354" s="34" t="s">
        <v>55</v>
      </c>
      <c r="D354" s="22">
        <v>36000</v>
      </c>
      <c r="E354" s="22"/>
      <c r="F354" s="22"/>
      <c r="G354" s="22"/>
      <c r="H354" s="22"/>
      <c r="I354" s="22"/>
      <c r="J354" s="22"/>
      <c r="K354" s="22"/>
      <c r="L354" s="22"/>
      <c r="M354" s="22">
        <f t="shared" si="68"/>
        <v>36000</v>
      </c>
      <c r="N354" s="22"/>
      <c r="O354" s="22"/>
      <c r="P354" s="22"/>
      <c r="Q354" s="22"/>
      <c r="R354" s="22"/>
      <c r="S354" s="22"/>
      <c r="T354" s="22">
        <f t="shared" si="63"/>
        <v>36000</v>
      </c>
      <c r="U354" s="35">
        <v>19309</v>
      </c>
      <c r="V354" s="37">
        <f t="shared" si="61"/>
        <v>16691</v>
      </c>
    </row>
    <row r="355" spans="1:22" x14ac:dyDescent="0.25">
      <c r="A355" s="136"/>
      <c r="B355" s="138"/>
      <c r="C355" s="34" t="s">
        <v>56</v>
      </c>
      <c r="D355" s="22">
        <v>310000</v>
      </c>
      <c r="E355" s="22"/>
      <c r="F355" s="22"/>
      <c r="G355" s="22"/>
      <c r="H355" s="22"/>
      <c r="I355" s="22"/>
      <c r="J355" s="22"/>
      <c r="K355" s="22"/>
      <c r="L355" s="22"/>
      <c r="M355" s="22">
        <f t="shared" si="68"/>
        <v>310000</v>
      </c>
      <c r="N355" s="22"/>
      <c r="O355" s="22"/>
      <c r="P355" s="22"/>
      <c r="Q355" s="22"/>
      <c r="R355" s="22"/>
      <c r="S355" s="22"/>
      <c r="T355" s="22">
        <f t="shared" si="63"/>
        <v>310000</v>
      </c>
      <c r="U355" s="35">
        <f>223095-4617</f>
        <v>218478</v>
      </c>
      <c r="V355" s="37">
        <f t="shared" si="61"/>
        <v>91522</v>
      </c>
    </row>
    <row r="356" spans="1:22" x14ac:dyDescent="0.25">
      <c r="A356" s="136"/>
      <c r="B356" s="138"/>
      <c r="C356" s="34" t="s">
        <v>62</v>
      </c>
      <c r="D356" s="22">
        <v>0</v>
      </c>
      <c r="E356" s="22"/>
      <c r="F356" s="22"/>
      <c r="G356" s="22"/>
      <c r="H356" s="22"/>
      <c r="I356" s="22"/>
      <c r="J356" s="22"/>
      <c r="K356" s="22"/>
      <c r="L356" s="22"/>
      <c r="M356" s="22">
        <f t="shared" si="68"/>
        <v>0</v>
      </c>
      <c r="N356" s="22"/>
      <c r="O356" s="22"/>
      <c r="P356" s="22"/>
      <c r="Q356" s="22"/>
      <c r="R356" s="22"/>
      <c r="S356" s="22"/>
      <c r="T356" s="22">
        <f t="shared" si="63"/>
        <v>0</v>
      </c>
      <c r="U356" s="35">
        <v>0</v>
      </c>
      <c r="V356" s="37">
        <f t="shared" si="61"/>
        <v>0</v>
      </c>
    </row>
    <row r="357" spans="1:22" x14ac:dyDescent="0.25">
      <c r="A357" s="136"/>
      <c r="B357" s="138"/>
      <c r="C357" s="34" t="s">
        <v>57</v>
      </c>
      <c r="D357" s="22">
        <v>0</v>
      </c>
      <c r="E357" s="22"/>
      <c r="F357" s="22">
        <v>50000</v>
      </c>
      <c r="G357" s="22"/>
      <c r="H357" s="22"/>
      <c r="I357" s="22"/>
      <c r="J357" s="22"/>
      <c r="K357" s="22"/>
      <c r="L357" s="22"/>
      <c r="M357" s="22">
        <f t="shared" si="68"/>
        <v>50000</v>
      </c>
      <c r="N357" s="22">
        <v>-50000</v>
      </c>
      <c r="O357" s="22"/>
      <c r="P357" s="22"/>
      <c r="Q357" s="22"/>
      <c r="R357" s="22"/>
      <c r="S357" s="22"/>
      <c r="T357" s="22">
        <f t="shared" si="63"/>
        <v>0</v>
      </c>
      <c r="U357" s="35">
        <v>0</v>
      </c>
      <c r="V357" s="37">
        <f t="shared" si="61"/>
        <v>0</v>
      </c>
    </row>
    <row r="358" spans="1:22" x14ac:dyDescent="0.25">
      <c r="A358" s="136"/>
      <c r="B358" s="138"/>
      <c r="C358" s="34" t="s">
        <v>44</v>
      </c>
      <c r="D358" s="22">
        <v>16800</v>
      </c>
      <c r="E358" s="22"/>
      <c r="F358" s="22"/>
      <c r="G358" s="22"/>
      <c r="H358" s="22"/>
      <c r="I358" s="22"/>
      <c r="J358" s="22"/>
      <c r="K358" s="22"/>
      <c r="L358" s="22"/>
      <c r="M358" s="22">
        <f t="shared" si="68"/>
        <v>16800</v>
      </c>
      <c r="N358" s="22"/>
      <c r="O358" s="22"/>
      <c r="P358" s="22"/>
      <c r="Q358" s="22"/>
      <c r="R358" s="22"/>
      <c r="S358" s="22"/>
      <c r="T358" s="22">
        <f t="shared" si="63"/>
        <v>16800</v>
      </c>
      <c r="U358" s="35">
        <v>4200</v>
      </c>
      <c r="V358" s="37">
        <f t="shared" si="61"/>
        <v>12600</v>
      </c>
    </row>
    <row r="359" spans="1:22" x14ac:dyDescent="0.25">
      <c r="A359" s="136"/>
      <c r="B359" s="138"/>
      <c r="C359" s="34" t="s">
        <v>58</v>
      </c>
      <c r="D359" s="22">
        <v>5000</v>
      </c>
      <c r="E359" s="22"/>
      <c r="F359" s="22"/>
      <c r="G359" s="22"/>
      <c r="H359" s="22"/>
      <c r="I359" s="22"/>
      <c r="J359" s="22"/>
      <c r="K359" s="22"/>
      <c r="L359" s="22"/>
      <c r="M359" s="22">
        <f t="shared" si="68"/>
        <v>5000</v>
      </c>
      <c r="N359" s="22">
        <v>30000</v>
      </c>
      <c r="O359" s="22"/>
      <c r="P359" s="22"/>
      <c r="Q359" s="22"/>
      <c r="R359" s="22"/>
      <c r="S359" s="22"/>
      <c r="T359" s="22">
        <f t="shared" si="63"/>
        <v>35000</v>
      </c>
      <c r="U359" s="35">
        <v>35000</v>
      </c>
      <c r="V359" s="37">
        <f t="shared" si="61"/>
        <v>0</v>
      </c>
    </row>
    <row r="360" spans="1:22" x14ac:dyDescent="0.25">
      <c r="A360" s="136"/>
      <c r="B360" s="138"/>
      <c r="C360" s="34" t="s">
        <v>59</v>
      </c>
      <c r="D360" s="22">
        <v>1000</v>
      </c>
      <c r="E360" s="22"/>
      <c r="F360" s="22"/>
      <c r="G360" s="22"/>
      <c r="H360" s="22"/>
      <c r="I360" s="22"/>
      <c r="J360" s="22"/>
      <c r="K360" s="22"/>
      <c r="L360" s="22"/>
      <c r="M360" s="22">
        <f t="shared" si="68"/>
        <v>1000</v>
      </c>
      <c r="N360" s="22"/>
      <c r="O360" s="22"/>
      <c r="P360" s="22"/>
      <c r="Q360" s="22"/>
      <c r="R360" s="22"/>
      <c r="S360" s="22"/>
      <c r="T360" s="22">
        <f t="shared" si="63"/>
        <v>1000</v>
      </c>
      <c r="U360" s="35">
        <v>0</v>
      </c>
      <c r="V360" s="39">
        <f t="shared" si="61"/>
        <v>1000</v>
      </c>
    </row>
    <row r="361" spans="1:22" x14ac:dyDescent="0.25">
      <c r="A361" s="136"/>
      <c r="B361" s="138"/>
      <c r="C361" s="34" t="s">
        <v>45</v>
      </c>
      <c r="D361" s="22">
        <v>135711</v>
      </c>
      <c r="E361" s="22"/>
      <c r="F361" s="22">
        <v>54000</v>
      </c>
      <c r="G361" s="22"/>
      <c r="H361" s="22"/>
      <c r="I361" s="22"/>
      <c r="J361" s="22"/>
      <c r="K361" s="22"/>
      <c r="L361" s="22"/>
      <c r="M361" s="22">
        <f t="shared" si="68"/>
        <v>189711</v>
      </c>
      <c r="N361" s="22"/>
      <c r="O361" s="22"/>
      <c r="P361" s="22"/>
      <c r="Q361" s="22"/>
      <c r="R361" s="22"/>
      <c r="S361" s="22"/>
      <c r="T361" s="22">
        <f t="shared" si="63"/>
        <v>189711</v>
      </c>
      <c r="U361" s="35">
        <f>72930-1246</f>
        <v>71684</v>
      </c>
      <c r="V361" s="37">
        <f t="shared" si="61"/>
        <v>118027</v>
      </c>
    </row>
    <row r="362" spans="1:22" x14ac:dyDescent="0.25">
      <c r="A362" s="136"/>
      <c r="B362" s="138"/>
      <c r="C362" s="34" t="s">
        <v>60</v>
      </c>
      <c r="D362" s="22">
        <v>0</v>
      </c>
      <c r="E362" s="22"/>
      <c r="F362" s="22"/>
      <c r="G362" s="22"/>
      <c r="H362" s="22"/>
      <c r="I362" s="22"/>
      <c r="J362" s="22"/>
      <c r="K362" s="22"/>
      <c r="L362" s="22"/>
      <c r="M362" s="22">
        <f t="shared" si="68"/>
        <v>0</v>
      </c>
      <c r="N362" s="22"/>
      <c r="O362" s="22"/>
      <c r="P362" s="22"/>
      <c r="Q362" s="22"/>
      <c r="R362" s="22"/>
      <c r="S362" s="22"/>
      <c r="T362" s="22">
        <f t="shared" si="63"/>
        <v>0</v>
      </c>
      <c r="U362" s="35">
        <v>0</v>
      </c>
      <c r="V362" s="37">
        <f t="shared" si="61"/>
        <v>0</v>
      </c>
    </row>
    <row r="363" spans="1:22" x14ac:dyDescent="0.25">
      <c r="A363" s="136"/>
      <c r="B363" s="138"/>
      <c r="C363" s="83" t="s">
        <v>46</v>
      </c>
      <c r="D363" s="84">
        <f>SUM(D351:D362)</f>
        <v>734339</v>
      </c>
      <c r="E363" s="84">
        <f t="shared" ref="E363:U363" si="69">SUM(E351:E362)</f>
        <v>0</v>
      </c>
      <c r="F363" s="84">
        <f t="shared" si="69"/>
        <v>254000</v>
      </c>
      <c r="G363" s="84">
        <f t="shared" si="69"/>
        <v>0</v>
      </c>
      <c r="H363" s="84">
        <f t="shared" si="69"/>
        <v>0</v>
      </c>
      <c r="I363" s="84">
        <f t="shared" si="69"/>
        <v>0</v>
      </c>
      <c r="J363" s="84">
        <f t="shared" si="69"/>
        <v>0</v>
      </c>
      <c r="K363" s="84">
        <f t="shared" si="69"/>
        <v>0</v>
      </c>
      <c r="L363" s="84">
        <f t="shared" si="69"/>
        <v>0</v>
      </c>
      <c r="M363" s="84">
        <f t="shared" si="69"/>
        <v>988339</v>
      </c>
      <c r="N363" s="84">
        <f t="shared" si="69"/>
        <v>-50000</v>
      </c>
      <c r="O363" s="84">
        <f t="shared" si="69"/>
        <v>0</v>
      </c>
      <c r="P363" s="84">
        <f t="shared" si="69"/>
        <v>0</v>
      </c>
      <c r="Q363" s="84">
        <f t="shared" si="69"/>
        <v>0</v>
      </c>
      <c r="R363" s="84"/>
      <c r="S363" s="84"/>
      <c r="T363" s="84">
        <f t="shared" si="63"/>
        <v>938339</v>
      </c>
      <c r="U363" s="85">
        <f t="shared" si="69"/>
        <v>375223</v>
      </c>
      <c r="V363" s="86">
        <f t="shared" si="61"/>
        <v>563116</v>
      </c>
    </row>
    <row r="364" spans="1:22" x14ac:dyDescent="0.25">
      <c r="A364" s="136"/>
      <c r="B364" s="139" t="s">
        <v>18</v>
      </c>
      <c r="C364" s="34" t="s">
        <v>40</v>
      </c>
      <c r="D364" s="25">
        <v>5486095</v>
      </c>
      <c r="E364" s="25"/>
      <c r="F364" s="22"/>
      <c r="G364" s="22"/>
      <c r="H364" s="22"/>
      <c r="I364" s="22"/>
      <c r="J364" s="22"/>
      <c r="K364" s="22"/>
      <c r="L364" s="22"/>
      <c r="M364" s="25">
        <f>D364+E364+F364+G364+H364+J364+I364</f>
        <v>5486095</v>
      </c>
      <c r="N364" s="25"/>
      <c r="O364" s="25"/>
      <c r="P364" s="25"/>
      <c r="Q364" s="25"/>
      <c r="R364" s="25"/>
      <c r="S364" s="25"/>
      <c r="T364" s="25">
        <f t="shared" si="63"/>
        <v>5486095</v>
      </c>
      <c r="U364" s="35">
        <v>3465919</v>
      </c>
      <c r="V364" s="37">
        <f t="shared" si="61"/>
        <v>2020176</v>
      </c>
    </row>
    <row r="365" spans="1:22" x14ac:dyDescent="0.25">
      <c r="A365" s="136"/>
      <c r="B365" s="150"/>
      <c r="C365" s="34" t="s">
        <v>47</v>
      </c>
      <c r="D365" s="22">
        <v>200000</v>
      </c>
      <c r="E365" s="25"/>
      <c r="F365" s="22"/>
      <c r="G365" s="22"/>
      <c r="H365" s="22"/>
      <c r="I365" s="22"/>
      <c r="J365" s="22"/>
      <c r="K365" s="22"/>
      <c r="L365" s="22"/>
      <c r="M365" s="22">
        <f>D365+E365+F365+G365+H365+J365+I365</f>
        <v>200000</v>
      </c>
      <c r="N365" s="22"/>
      <c r="O365" s="22"/>
      <c r="P365" s="22"/>
      <c r="Q365" s="22"/>
      <c r="R365" s="22"/>
      <c r="S365" s="22"/>
      <c r="T365" s="22">
        <f t="shared" si="63"/>
        <v>200000</v>
      </c>
      <c r="U365" s="35">
        <v>100000</v>
      </c>
      <c r="V365" s="37">
        <f t="shared" si="61"/>
        <v>100000</v>
      </c>
    </row>
    <row r="366" spans="1:22" x14ac:dyDescent="0.25">
      <c r="A366" s="136"/>
      <c r="B366" s="150"/>
      <c r="C366" s="34" t="s">
        <v>48</v>
      </c>
      <c r="D366" s="22">
        <v>20000</v>
      </c>
      <c r="E366" s="25"/>
      <c r="F366" s="22"/>
      <c r="G366" s="22"/>
      <c r="H366" s="22"/>
      <c r="I366" s="22"/>
      <c r="J366" s="22"/>
      <c r="K366" s="22"/>
      <c r="L366" s="22"/>
      <c r="M366" s="22">
        <f>D366+E366+F366+G366+H366+J366+I366</f>
        <v>20000</v>
      </c>
      <c r="N366" s="22"/>
      <c r="O366" s="22"/>
      <c r="P366" s="22"/>
      <c r="Q366" s="22"/>
      <c r="R366" s="22"/>
      <c r="S366" s="22"/>
      <c r="T366" s="22">
        <f t="shared" si="63"/>
        <v>20000</v>
      </c>
      <c r="U366" s="35">
        <v>0</v>
      </c>
      <c r="V366" s="37">
        <f t="shared" si="61"/>
        <v>20000</v>
      </c>
    </row>
    <row r="367" spans="1:22" x14ac:dyDescent="0.25">
      <c r="A367" s="136"/>
      <c r="B367" s="150"/>
      <c r="C367" s="34" t="s">
        <v>50</v>
      </c>
      <c r="D367" s="22">
        <v>24000</v>
      </c>
      <c r="E367" s="25"/>
      <c r="F367" s="22"/>
      <c r="G367" s="22"/>
      <c r="H367" s="22"/>
      <c r="I367" s="22"/>
      <c r="J367" s="22"/>
      <c r="K367" s="22"/>
      <c r="L367" s="22"/>
      <c r="M367" s="22">
        <f>D367+E367+F367+G367+H367+J367+I367</f>
        <v>24000</v>
      </c>
      <c r="N367" s="22"/>
      <c r="O367" s="22"/>
      <c r="P367" s="22"/>
      <c r="Q367" s="22"/>
      <c r="R367" s="22"/>
      <c r="S367" s="22"/>
      <c r="T367" s="22">
        <f t="shared" si="63"/>
        <v>24000</v>
      </c>
      <c r="U367" s="35">
        <v>12000</v>
      </c>
      <c r="V367" s="37">
        <f t="shared" si="61"/>
        <v>12000</v>
      </c>
    </row>
    <row r="368" spans="1:22" x14ac:dyDescent="0.25">
      <c r="A368" s="136"/>
      <c r="B368" s="150"/>
      <c r="C368" s="34" t="s">
        <v>51</v>
      </c>
      <c r="D368" s="22">
        <v>0</v>
      </c>
      <c r="E368" s="25"/>
      <c r="F368" s="22"/>
      <c r="G368" s="22"/>
      <c r="H368" s="22"/>
      <c r="I368" s="22"/>
      <c r="J368" s="22"/>
      <c r="K368" s="22"/>
      <c r="L368" s="22"/>
      <c r="M368" s="22">
        <f>D368+E368+F368+G368+H368+J368+I368</f>
        <v>0</v>
      </c>
      <c r="N368" s="22"/>
      <c r="O368" s="22"/>
      <c r="P368" s="22"/>
      <c r="Q368" s="22"/>
      <c r="R368" s="22"/>
      <c r="S368" s="22"/>
      <c r="T368" s="22">
        <f t="shared" si="63"/>
        <v>0</v>
      </c>
      <c r="U368" s="35">
        <v>0</v>
      </c>
      <c r="V368" s="66">
        <f t="shared" si="61"/>
        <v>0</v>
      </c>
    </row>
    <row r="369" spans="1:22" x14ac:dyDescent="0.25">
      <c r="A369" s="136"/>
      <c r="B369" s="150"/>
      <c r="C369" s="83" t="s">
        <v>41</v>
      </c>
      <c r="D369" s="84">
        <f>SUM(D364:D368)</f>
        <v>5730095</v>
      </c>
      <c r="E369" s="84">
        <f t="shared" ref="E369:U369" si="70">SUM(E364:E368)</f>
        <v>0</v>
      </c>
      <c r="F369" s="84">
        <f t="shared" si="70"/>
        <v>0</v>
      </c>
      <c r="G369" s="84">
        <f t="shared" si="70"/>
        <v>0</v>
      </c>
      <c r="H369" s="84">
        <f t="shared" si="70"/>
        <v>0</v>
      </c>
      <c r="I369" s="84">
        <f t="shared" si="70"/>
        <v>0</v>
      </c>
      <c r="J369" s="84">
        <f t="shared" si="70"/>
        <v>0</v>
      </c>
      <c r="K369" s="84">
        <f t="shared" si="70"/>
        <v>0</v>
      </c>
      <c r="L369" s="84">
        <f t="shared" si="70"/>
        <v>0</v>
      </c>
      <c r="M369" s="84">
        <f t="shared" si="70"/>
        <v>5730095</v>
      </c>
      <c r="N369" s="84">
        <f t="shared" si="70"/>
        <v>0</v>
      </c>
      <c r="O369" s="84">
        <f t="shared" si="70"/>
        <v>0</v>
      </c>
      <c r="P369" s="84">
        <f t="shared" si="70"/>
        <v>0</v>
      </c>
      <c r="Q369" s="84">
        <f t="shared" si="70"/>
        <v>0</v>
      </c>
      <c r="R369" s="84"/>
      <c r="S369" s="84"/>
      <c r="T369" s="84">
        <f t="shared" si="63"/>
        <v>5730095</v>
      </c>
      <c r="U369" s="85">
        <f t="shared" si="70"/>
        <v>3577919</v>
      </c>
      <c r="V369" s="86">
        <f t="shared" si="61"/>
        <v>2152176</v>
      </c>
    </row>
    <row r="370" spans="1:22" x14ac:dyDescent="0.25">
      <c r="A370" s="136"/>
      <c r="B370" s="150"/>
      <c r="C370" s="87" t="s">
        <v>42</v>
      </c>
      <c r="D370" s="88">
        <v>902665</v>
      </c>
      <c r="E370" s="88"/>
      <c r="F370" s="88"/>
      <c r="G370" s="88"/>
      <c r="H370" s="88"/>
      <c r="I370" s="88"/>
      <c r="J370" s="88"/>
      <c r="K370" s="88"/>
      <c r="L370" s="88"/>
      <c r="M370" s="89">
        <f>D370+E370+F370+G370+H370+J370</f>
        <v>902665</v>
      </c>
      <c r="N370" s="89"/>
      <c r="O370" s="89"/>
      <c r="P370" s="89"/>
      <c r="Q370" s="89"/>
      <c r="R370" s="89"/>
      <c r="S370" s="89"/>
      <c r="T370" s="89">
        <f t="shared" si="63"/>
        <v>902665</v>
      </c>
      <c r="U370" s="90">
        <v>558756</v>
      </c>
      <c r="V370" s="91">
        <f t="shared" si="61"/>
        <v>343909</v>
      </c>
    </row>
    <row r="371" spans="1:22" x14ac:dyDescent="0.25">
      <c r="A371" s="136"/>
      <c r="B371" s="150"/>
      <c r="C371" s="34" t="s">
        <v>43</v>
      </c>
      <c r="D371" s="22">
        <v>20000</v>
      </c>
      <c r="E371" s="22"/>
      <c r="F371" s="22"/>
      <c r="G371" s="22"/>
      <c r="H371" s="22"/>
      <c r="I371" s="22"/>
      <c r="J371" s="22"/>
      <c r="K371" s="22"/>
      <c r="L371" s="22"/>
      <c r="M371" s="22">
        <f t="shared" ref="M371:M378" si="71">D371+E371+F371+G371+H371+J371+I371</f>
        <v>20000</v>
      </c>
      <c r="N371" s="22"/>
      <c r="O371" s="22"/>
      <c r="P371" s="22"/>
      <c r="Q371" s="22"/>
      <c r="R371" s="22"/>
      <c r="S371" s="22"/>
      <c r="T371" s="22">
        <f t="shared" si="63"/>
        <v>20000</v>
      </c>
      <c r="U371" s="35">
        <v>0</v>
      </c>
      <c r="V371" s="39">
        <f t="shared" si="61"/>
        <v>20000</v>
      </c>
    </row>
    <row r="372" spans="1:22" x14ac:dyDescent="0.25">
      <c r="A372" s="136"/>
      <c r="B372" s="150"/>
      <c r="C372" s="34" t="s">
        <v>53</v>
      </c>
      <c r="D372" s="22">
        <v>30000</v>
      </c>
      <c r="E372" s="22"/>
      <c r="F372" s="22">
        <v>170984</v>
      </c>
      <c r="G372" s="22"/>
      <c r="H372" s="22"/>
      <c r="I372" s="22"/>
      <c r="J372" s="22"/>
      <c r="K372" s="22"/>
      <c r="L372" s="22"/>
      <c r="M372" s="22">
        <f t="shared" si="71"/>
        <v>200984</v>
      </c>
      <c r="N372" s="22"/>
      <c r="O372" s="22"/>
      <c r="P372" s="22"/>
      <c r="Q372" s="22"/>
      <c r="R372" s="22"/>
      <c r="S372" s="22"/>
      <c r="T372" s="22">
        <f t="shared" si="63"/>
        <v>200984</v>
      </c>
      <c r="U372" s="35">
        <v>88976</v>
      </c>
      <c r="V372" s="37">
        <f t="shared" si="61"/>
        <v>112008</v>
      </c>
    </row>
    <row r="373" spans="1:22" x14ac:dyDescent="0.25">
      <c r="A373" s="136"/>
      <c r="B373" s="150"/>
      <c r="C373" s="75" t="s">
        <v>55</v>
      </c>
      <c r="D373" s="22">
        <v>0</v>
      </c>
      <c r="E373" s="22"/>
      <c r="F373" s="22"/>
      <c r="G373" s="22"/>
      <c r="H373" s="22"/>
      <c r="I373" s="22"/>
      <c r="J373" s="22"/>
      <c r="K373" s="22"/>
      <c r="L373" s="22"/>
      <c r="M373" s="22">
        <f t="shared" si="71"/>
        <v>0</v>
      </c>
      <c r="N373" s="22"/>
      <c r="O373" s="22"/>
      <c r="P373" s="22"/>
      <c r="Q373" s="22"/>
      <c r="R373" s="22"/>
      <c r="S373" s="22"/>
      <c r="T373" s="22">
        <f t="shared" si="63"/>
        <v>0</v>
      </c>
      <c r="U373" s="35">
        <v>0</v>
      </c>
      <c r="V373" s="37">
        <f t="shared" si="61"/>
        <v>0</v>
      </c>
    </row>
    <row r="374" spans="1:22" x14ac:dyDescent="0.25">
      <c r="A374" s="136"/>
      <c r="B374" s="150"/>
      <c r="C374" s="34" t="s">
        <v>57</v>
      </c>
      <c r="D374" s="22">
        <v>0</v>
      </c>
      <c r="E374" s="22"/>
      <c r="F374" s="22"/>
      <c r="G374" s="22"/>
      <c r="H374" s="22"/>
      <c r="I374" s="22"/>
      <c r="J374" s="22"/>
      <c r="K374" s="22"/>
      <c r="L374" s="22"/>
      <c r="M374" s="22">
        <f t="shared" si="71"/>
        <v>0</v>
      </c>
      <c r="N374" s="22">
        <v>50000</v>
      </c>
      <c r="O374" s="22">
        <v>19685</v>
      </c>
      <c r="P374" s="22"/>
      <c r="Q374" s="22"/>
      <c r="R374" s="22"/>
      <c r="S374" s="22"/>
      <c r="T374" s="22">
        <f t="shared" si="63"/>
        <v>69685</v>
      </c>
      <c r="U374" s="35">
        <v>50000</v>
      </c>
      <c r="V374" s="37">
        <f t="shared" si="61"/>
        <v>19685</v>
      </c>
    </row>
    <row r="375" spans="1:22" x14ac:dyDescent="0.25">
      <c r="A375" s="136"/>
      <c r="B375" s="150"/>
      <c r="C375" s="34" t="s">
        <v>44</v>
      </c>
      <c r="D375" s="22">
        <v>16800</v>
      </c>
      <c r="E375" s="22"/>
      <c r="F375" s="22"/>
      <c r="G375" s="22"/>
      <c r="H375" s="22"/>
      <c r="I375" s="22"/>
      <c r="J375" s="22"/>
      <c r="K375" s="22"/>
      <c r="L375" s="22"/>
      <c r="M375" s="22">
        <f t="shared" si="71"/>
        <v>16800</v>
      </c>
      <c r="N375" s="22"/>
      <c r="O375" s="22"/>
      <c r="P375" s="22"/>
      <c r="Q375" s="22"/>
      <c r="R375" s="22"/>
      <c r="S375" s="22"/>
      <c r="T375" s="22">
        <f t="shared" si="63"/>
        <v>16800</v>
      </c>
      <c r="U375" s="35">
        <v>4200</v>
      </c>
      <c r="V375" s="37">
        <f t="shared" si="61"/>
        <v>12600</v>
      </c>
    </row>
    <row r="376" spans="1:22" x14ac:dyDescent="0.25">
      <c r="A376" s="136"/>
      <c r="B376" s="150"/>
      <c r="C376" s="34" t="s">
        <v>58</v>
      </c>
      <c r="D376" s="22">
        <v>0</v>
      </c>
      <c r="E376" s="22"/>
      <c r="F376" s="22"/>
      <c r="G376" s="22"/>
      <c r="H376" s="22"/>
      <c r="I376" s="22"/>
      <c r="J376" s="22"/>
      <c r="K376" s="22"/>
      <c r="L376" s="22"/>
      <c r="M376" s="22">
        <f t="shared" si="71"/>
        <v>0</v>
      </c>
      <c r="N376" s="22"/>
      <c r="O376" s="22"/>
      <c r="P376" s="22"/>
      <c r="Q376" s="22"/>
      <c r="R376" s="22"/>
      <c r="S376" s="22"/>
      <c r="T376" s="22">
        <f t="shared" si="63"/>
        <v>0</v>
      </c>
      <c r="U376" s="35">
        <v>0</v>
      </c>
      <c r="V376" s="37">
        <f t="shared" si="61"/>
        <v>0</v>
      </c>
    </row>
    <row r="377" spans="1:22" x14ac:dyDescent="0.25">
      <c r="A377" s="136"/>
      <c r="B377" s="150"/>
      <c r="C377" s="34" t="s">
        <v>59</v>
      </c>
      <c r="D377" s="22">
        <v>8000</v>
      </c>
      <c r="E377" s="22"/>
      <c r="F377" s="22"/>
      <c r="G377" s="22"/>
      <c r="H377" s="22"/>
      <c r="I377" s="22"/>
      <c r="J377" s="22"/>
      <c r="K377" s="22"/>
      <c r="L377" s="22"/>
      <c r="M377" s="22">
        <f t="shared" si="71"/>
        <v>8000</v>
      </c>
      <c r="N377" s="22"/>
      <c r="O377" s="22"/>
      <c r="P377" s="22"/>
      <c r="Q377" s="22"/>
      <c r="R377" s="22"/>
      <c r="S377" s="22"/>
      <c r="T377" s="22">
        <f t="shared" si="63"/>
        <v>8000</v>
      </c>
      <c r="U377" s="35">
        <v>0</v>
      </c>
      <c r="V377" s="37">
        <f t="shared" si="61"/>
        <v>8000</v>
      </c>
    </row>
    <row r="378" spans="1:22" x14ac:dyDescent="0.25">
      <c r="A378" s="136"/>
      <c r="B378" s="150"/>
      <c r="C378" s="34" t="s">
        <v>45</v>
      </c>
      <c r="D378" s="22">
        <v>9100</v>
      </c>
      <c r="E378" s="22"/>
      <c r="F378" s="22">
        <v>46166</v>
      </c>
      <c r="G378" s="22"/>
      <c r="H378" s="22"/>
      <c r="I378" s="22"/>
      <c r="J378" s="22"/>
      <c r="K378" s="22"/>
      <c r="L378" s="22"/>
      <c r="M378" s="22">
        <f t="shared" si="71"/>
        <v>55266</v>
      </c>
      <c r="N378" s="22"/>
      <c r="O378" s="22">
        <v>5315</v>
      </c>
      <c r="P378" s="22"/>
      <c r="Q378" s="22"/>
      <c r="R378" s="22"/>
      <c r="S378" s="22"/>
      <c r="T378" s="22">
        <f t="shared" si="63"/>
        <v>60581</v>
      </c>
      <c r="U378" s="35">
        <v>37524</v>
      </c>
      <c r="V378" s="39">
        <f t="shared" si="61"/>
        <v>23057</v>
      </c>
    </row>
    <row r="379" spans="1:22" x14ac:dyDescent="0.25">
      <c r="A379" s="136"/>
      <c r="B379" s="150"/>
      <c r="C379" s="83" t="s">
        <v>46</v>
      </c>
      <c r="D379" s="84">
        <f>SUM(D371:D378)</f>
        <v>83900</v>
      </c>
      <c r="E379" s="84">
        <f t="shared" ref="E379:U379" si="72">SUM(E371:E378)</f>
        <v>0</v>
      </c>
      <c r="F379" s="84">
        <f t="shared" si="72"/>
        <v>217150</v>
      </c>
      <c r="G379" s="84">
        <f t="shared" si="72"/>
        <v>0</v>
      </c>
      <c r="H379" s="84">
        <f t="shared" si="72"/>
        <v>0</v>
      </c>
      <c r="I379" s="84">
        <f t="shared" si="72"/>
        <v>0</v>
      </c>
      <c r="J379" s="84">
        <f t="shared" si="72"/>
        <v>0</v>
      </c>
      <c r="K379" s="84">
        <f t="shared" si="72"/>
        <v>0</v>
      </c>
      <c r="L379" s="84">
        <f t="shared" si="72"/>
        <v>0</v>
      </c>
      <c r="M379" s="84">
        <f t="shared" si="72"/>
        <v>301050</v>
      </c>
      <c r="N379" s="84">
        <f t="shared" si="72"/>
        <v>50000</v>
      </c>
      <c r="O379" s="84">
        <f t="shared" si="72"/>
        <v>25000</v>
      </c>
      <c r="P379" s="84">
        <f t="shared" si="72"/>
        <v>0</v>
      </c>
      <c r="Q379" s="84">
        <f t="shared" si="72"/>
        <v>0</v>
      </c>
      <c r="R379" s="84"/>
      <c r="S379" s="84"/>
      <c r="T379" s="84">
        <f t="shared" si="63"/>
        <v>376050</v>
      </c>
      <c r="U379" s="85">
        <f t="shared" si="72"/>
        <v>180700</v>
      </c>
      <c r="V379" s="86">
        <f t="shared" si="61"/>
        <v>195350</v>
      </c>
    </row>
    <row r="380" spans="1:22" x14ac:dyDescent="0.25">
      <c r="A380" s="136"/>
      <c r="B380" s="150"/>
      <c r="C380" s="34" t="s">
        <v>112</v>
      </c>
      <c r="D380" s="22">
        <v>0</v>
      </c>
      <c r="E380" s="22"/>
      <c r="F380" s="22"/>
      <c r="G380" s="22"/>
      <c r="H380" s="22"/>
      <c r="I380" s="22"/>
      <c r="J380" s="22"/>
      <c r="K380" s="22"/>
      <c r="L380" s="22"/>
      <c r="M380" s="22">
        <f>D380+E380+F380+G380+H380+J380+I380</f>
        <v>0</v>
      </c>
      <c r="N380" s="22"/>
      <c r="O380" s="22"/>
      <c r="P380" s="22"/>
      <c r="Q380" s="22"/>
      <c r="R380" s="22"/>
      <c r="S380" s="22"/>
      <c r="T380" s="22">
        <f t="shared" si="63"/>
        <v>0</v>
      </c>
      <c r="U380" s="35">
        <v>0</v>
      </c>
      <c r="V380" s="37">
        <f t="shared" si="61"/>
        <v>0</v>
      </c>
    </row>
    <row r="381" spans="1:22" x14ac:dyDescent="0.25">
      <c r="A381" s="136"/>
      <c r="B381" s="150"/>
      <c r="C381" s="34" t="s">
        <v>113</v>
      </c>
      <c r="D381" s="22">
        <v>0</v>
      </c>
      <c r="E381" s="22"/>
      <c r="F381" s="22"/>
      <c r="G381" s="22"/>
      <c r="H381" s="22"/>
      <c r="I381" s="22"/>
      <c r="J381" s="22"/>
      <c r="K381" s="22"/>
      <c r="L381" s="22"/>
      <c r="M381" s="22">
        <f>D381+E381+F381+G381+H381+J381+I381</f>
        <v>0</v>
      </c>
      <c r="N381" s="22"/>
      <c r="O381" s="22"/>
      <c r="P381" s="22"/>
      <c r="Q381" s="22"/>
      <c r="R381" s="22"/>
      <c r="S381" s="22"/>
      <c r="T381" s="22">
        <f t="shared" si="63"/>
        <v>0</v>
      </c>
      <c r="U381" s="35">
        <v>0</v>
      </c>
      <c r="V381" s="37">
        <f t="shared" si="61"/>
        <v>0</v>
      </c>
    </row>
    <row r="382" spans="1:22" x14ac:dyDescent="0.25">
      <c r="A382" s="136"/>
      <c r="B382" s="151"/>
      <c r="C382" s="83" t="s">
        <v>114</v>
      </c>
      <c r="D382" s="84">
        <f>SUM(D380:D381)</f>
        <v>0</v>
      </c>
      <c r="E382" s="84">
        <f t="shared" ref="E382:U382" si="73">SUM(E380:E381)</f>
        <v>0</v>
      </c>
      <c r="F382" s="84">
        <f t="shared" si="73"/>
        <v>0</v>
      </c>
      <c r="G382" s="84">
        <f t="shared" si="73"/>
        <v>0</v>
      </c>
      <c r="H382" s="84">
        <f t="shared" si="73"/>
        <v>0</v>
      </c>
      <c r="I382" s="84">
        <f t="shared" si="73"/>
        <v>0</v>
      </c>
      <c r="J382" s="84">
        <f t="shared" si="73"/>
        <v>0</v>
      </c>
      <c r="K382" s="84">
        <f t="shared" si="73"/>
        <v>0</v>
      </c>
      <c r="L382" s="84">
        <f t="shared" si="73"/>
        <v>0</v>
      </c>
      <c r="M382" s="84">
        <f t="shared" si="73"/>
        <v>0</v>
      </c>
      <c r="N382" s="84">
        <f t="shared" si="73"/>
        <v>0</v>
      </c>
      <c r="O382" s="84">
        <f t="shared" si="73"/>
        <v>0</v>
      </c>
      <c r="P382" s="84">
        <f t="shared" si="73"/>
        <v>0</v>
      </c>
      <c r="Q382" s="84">
        <f t="shared" si="73"/>
        <v>0</v>
      </c>
      <c r="R382" s="84"/>
      <c r="S382" s="84"/>
      <c r="T382" s="84">
        <f t="shared" si="63"/>
        <v>0</v>
      </c>
      <c r="U382" s="85">
        <f t="shared" si="73"/>
        <v>0</v>
      </c>
      <c r="V382" s="86">
        <f t="shared" si="61"/>
        <v>0</v>
      </c>
    </row>
    <row r="383" spans="1:22" x14ac:dyDescent="0.25">
      <c r="A383" s="136"/>
      <c r="B383" s="138" t="s">
        <v>21</v>
      </c>
      <c r="C383" s="34" t="s">
        <v>62</v>
      </c>
      <c r="D383" s="22">
        <v>0</v>
      </c>
      <c r="E383" s="22"/>
      <c r="F383" s="22"/>
      <c r="G383" s="22"/>
      <c r="H383" s="22"/>
      <c r="I383" s="22"/>
      <c r="J383" s="22"/>
      <c r="K383" s="22"/>
      <c r="L383" s="22"/>
      <c r="M383" s="22">
        <f>D383+E383+F383+G383+H383+J383+I383</f>
        <v>0</v>
      </c>
      <c r="N383" s="22"/>
      <c r="O383" s="22"/>
      <c r="P383" s="22"/>
      <c r="Q383" s="22"/>
      <c r="R383" s="22"/>
      <c r="S383" s="22"/>
      <c r="T383" s="22">
        <f t="shared" si="63"/>
        <v>0</v>
      </c>
      <c r="U383" s="35">
        <v>0</v>
      </c>
      <c r="V383" s="37">
        <f t="shared" si="61"/>
        <v>0</v>
      </c>
    </row>
    <row r="384" spans="1:22" x14ac:dyDescent="0.25">
      <c r="A384" s="136"/>
      <c r="B384" s="138"/>
      <c r="C384" s="34" t="s">
        <v>57</v>
      </c>
      <c r="D384" s="22">
        <v>0</v>
      </c>
      <c r="E384" s="22"/>
      <c r="F384" s="22"/>
      <c r="G384" s="22"/>
      <c r="H384" s="22"/>
      <c r="I384" s="22"/>
      <c r="J384" s="22"/>
      <c r="K384" s="22"/>
      <c r="L384" s="22"/>
      <c r="M384" s="22">
        <f>D384+E384+F384+G384+H384+J384+I384</f>
        <v>0</v>
      </c>
      <c r="N384" s="22"/>
      <c r="O384" s="22"/>
      <c r="P384" s="22"/>
      <c r="Q384" s="22"/>
      <c r="R384" s="22"/>
      <c r="S384" s="22"/>
      <c r="T384" s="22">
        <f t="shared" si="63"/>
        <v>0</v>
      </c>
      <c r="U384" s="35">
        <v>0</v>
      </c>
      <c r="V384" s="37">
        <f t="shared" si="61"/>
        <v>0</v>
      </c>
    </row>
    <row r="385" spans="1:22" x14ac:dyDescent="0.25">
      <c r="A385" s="136"/>
      <c r="B385" s="138"/>
      <c r="C385" s="34" t="s">
        <v>64</v>
      </c>
      <c r="D385" s="22">
        <v>0</v>
      </c>
      <c r="E385" s="22"/>
      <c r="F385" s="22"/>
      <c r="G385" s="22"/>
      <c r="H385" s="22"/>
      <c r="I385" s="22"/>
      <c r="J385" s="22"/>
      <c r="K385" s="22"/>
      <c r="L385" s="22"/>
      <c r="M385" s="22">
        <f>D385+E385+F385+G385+H385+J385+I385</f>
        <v>0</v>
      </c>
      <c r="N385" s="22"/>
      <c r="O385" s="22"/>
      <c r="P385" s="22"/>
      <c r="Q385" s="22"/>
      <c r="R385" s="22"/>
      <c r="S385" s="22"/>
      <c r="T385" s="22">
        <f t="shared" si="63"/>
        <v>0</v>
      </c>
      <c r="U385" s="35">
        <v>0</v>
      </c>
      <c r="V385" s="37">
        <f t="shared" si="61"/>
        <v>0</v>
      </c>
    </row>
    <row r="386" spans="1:22" x14ac:dyDescent="0.25">
      <c r="A386" s="136"/>
      <c r="B386" s="138"/>
      <c r="C386" s="34" t="s">
        <v>58</v>
      </c>
      <c r="D386" s="22">
        <v>0</v>
      </c>
      <c r="E386" s="22"/>
      <c r="F386" s="22"/>
      <c r="G386" s="22"/>
      <c r="H386" s="22"/>
      <c r="I386" s="22"/>
      <c r="J386" s="22"/>
      <c r="K386" s="22"/>
      <c r="L386" s="22"/>
      <c r="M386" s="22">
        <f>D386+E386+F386+G386+H386+J386+I386</f>
        <v>0</v>
      </c>
      <c r="N386" s="22"/>
      <c r="O386" s="22"/>
      <c r="P386" s="22"/>
      <c r="Q386" s="22"/>
      <c r="R386" s="22"/>
      <c r="S386" s="22"/>
      <c r="T386" s="22">
        <f t="shared" si="63"/>
        <v>0</v>
      </c>
      <c r="U386" s="35">
        <v>0</v>
      </c>
      <c r="V386" s="37">
        <f t="shared" si="61"/>
        <v>0</v>
      </c>
    </row>
    <row r="387" spans="1:22" x14ac:dyDescent="0.25">
      <c r="A387" s="136"/>
      <c r="B387" s="138"/>
      <c r="C387" s="34" t="s">
        <v>45</v>
      </c>
      <c r="D387" s="22">
        <v>0</v>
      </c>
      <c r="E387" s="22"/>
      <c r="F387" s="22"/>
      <c r="G387" s="22"/>
      <c r="H387" s="22"/>
      <c r="I387" s="22"/>
      <c r="J387" s="22"/>
      <c r="K387" s="22"/>
      <c r="L387" s="22"/>
      <c r="M387" s="22">
        <f>D387+E387+F387+G387+H387+J387+I387</f>
        <v>0</v>
      </c>
      <c r="N387" s="22"/>
      <c r="O387" s="22"/>
      <c r="P387" s="22"/>
      <c r="Q387" s="22"/>
      <c r="R387" s="22"/>
      <c r="S387" s="22"/>
      <c r="T387" s="22">
        <f t="shared" si="63"/>
        <v>0</v>
      </c>
      <c r="U387" s="35">
        <v>0</v>
      </c>
      <c r="V387" s="37">
        <f t="shared" si="61"/>
        <v>0</v>
      </c>
    </row>
    <row r="388" spans="1:22" x14ac:dyDescent="0.25">
      <c r="A388" s="136"/>
      <c r="B388" s="138"/>
      <c r="C388" s="83" t="s">
        <v>46</v>
      </c>
      <c r="D388" s="84">
        <v>0</v>
      </c>
      <c r="E388" s="84">
        <f t="shared" ref="E388:Q388" si="74">SUM(E383:E387)</f>
        <v>0</v>
      </c>
      <c r="F388" s="84">
        <f t="shared" si="74"/>
        <v>0</v>
      </c>
      <c r="G388" s="84">
        <f t="shared" si="74"/>
        <v>0</v>
      </c>
      <c r="H388" s="84">
        <f t="shared" si="74"/>
        <v>0</v>
      </c>
      <c r="I388" s="84">
        <f t="shared" si="74"/>
        <v>0</v>
      </c>
      <c r="J388" s="84">
        <f t="shared" si="74"/>
        <v>0</v>
      </c>
      <c r="K388" s="84">
        <f t="shared" si="74"/>
        <v>0</v>
      </c>
      <c r="L388" s="84">
        <f t="shared" si="74"/>
        <v>0</v>
      </c>
      <c r="M388" s="84">
        <f t="shared" si="74"/>
        <v>0</v>
      </c>
      <c r="N388" s="84">
        <f t="shared" si="74"/>
        <v>0</v>
      </c>
      <c r="O388" s="84">
        <f t="shared" si="74"/>
        <v>0</v>
      </c>
      <c r="P388" s="84">
        <f t="shared" si="74"/>
        <v>0</v>
      </c>
      <c r="Q388" s="84">
        <f t="shared" si="74"/>
        <v>0</v>
      </c>
      <c r="R388" s="84"/>
      <c r="S388" s="84"/>
      <c r="T388" s="84">
        <f t="shared" si="63"/>
        <v>0</v>
      </c>
      <c r="U388" s="85">
        <f>SUM(U383:U387)</f>
        <v>0</v>
      </c>
      <c r="V388" s="86">
        <f t="shared" si="61"/>
        <v>0</v>
      </c>
    </row>
    <row r="389" spans="1:22" x14ac:dyDescent="0.25">
      <c r="A389" s="137" t="s">
        <v>89</v>
      </c>
      <c r="B389" s="139" t="s">
        <v>18</v>
      </c>
      <c r="C389" s="34" t="s">
        <v>40</v>
      </c>
      <c r="D389" s="22">
        <v>488280</v>
      </c>
      <c r="E389" s="22"/>
      <c r="F389" s="22"/>
      <c r="G389" s="22"/>
      <c r="H389" s="22"/>
      <c r="I389" s="22"/>
      <c r="J389" s="22"/>
      <c r="K389" s="22"/>
      <c r="L389" s="22"/>
      <c r="M389" s="22">
        <f t="shared" ref="M389:M394" si="75">D389+E389+F389+G389+H389+J389+I389+K389</f>
        <v>488280</v>
      </c>
      <c r="N389" s="22"/>
      <c r="O389" s="22"/>
      <c r="P389" s="22"/>
      <c r="Q389" s="22"/>
      <c r="R389" s="22"/>
      <c r="S389" s="22"/>
      <c r="T389" s="22">
        <f t="shared" si="63"/>
        <v>488280</v>
      </c>
      <c r="U389" s="35">
        <v>315855</v>
      </c>
      <c r="V389" s="37">
        <f t="shared" si="61"/>
        <v>172425</v>
      </c>
    </row>
    <row r="390" spans="1:22" x14ac:dyDescent="0.25">
      <c r="A390" s="149"/>
      <c r="B390" s="151"/>
      <c r="C390" s="34" t="s">
        <v>42</v>
      </c>
      <c r="D390" s="22">
        <v>75683</v>
      </c>
      <c r="E390" s="22"/>
      <c r="F390" s="22"/>
      <c r="G390" s="22"/>
      <c r="H390" s="22"/>
      <c r="I390" s="22"/>
      <c r="J390" s="22"/>
      <c r="K390" s="22"/>
      <c r="L390" s="22"/>
      <c r="M390" s="22">
        <f t="shared" si="75"/>
        <v>75683</v>
      </c>
      <c r="N390" s="22"/>
      <c r="O390" s="22"/>
      <c r="P390" s="22"/>
      <c r="Q390" s="22"/>
      <c r="R390" s="22"/>
      <c r="S390" s="22"/>
      <c r="T390" s="22">
        <f t="shared" si="63"/>
        <v>75683</v>
      </c>
      <c r="U390" s="35">
        <v>47935</v>
      </c>
      <c r="V390" s="37">
        <f t="shared" si="61"/>
        <v>27748</v>
      </c>
    </row>
    <row r="391" spans="1:22" x14ac:dyDescent="0.25">
      <c r="A391" s="137" t="s">
        <v>90</v>
      </c>
      <c r="B391" s="139" t="s">
        <v>10</v>
      </c>
      <c r="C391" s="34" t="s">
        <v>40</v>
      </c>
      <c r="D391" s="22">
        <v>461376</v>
      </c>
      <c r="E391" s="22"/>
      <c r="F391" s="22"/>
      <c r="G391" s="22"/>
      <c r="H391" s="22"/>
      <c r="I391" s="22"/>
      <c r="J391" s="22"/>
      <c r="K391" s="22"/>
      <c r="L391" s="22"/>
      <c r="M391" s="22">
        <f t="shared" si="75"/>
        <v>461376</v>
      </c>
      <c r="N391" s="22"/>
      <c r="O391" s="22"/>
      <c r="P391" s="22"/>
      <c r="Q391" s="22"/>
      <c r="R391" s="22"/>
      <c r="S391" s="22"/>
      <c r="T391" s="22">
        <f t="shared" si="63"/>
        <v>461376</v>
      </c>
      <c r="U391" s="35">
        <v>298144</v>
      </c>
      <c r="V391" s="37">
        <f t="shared" si="61"/>
        <v>163232</v>
      </c>
    </row>
    <row r="392" spans="1:22" x14ac:dyDescent="0.25">
      <c r="A392" s="149"/>
      <c r="B392" s="151"/>
      <c r="C392" s="34" t="s">
        <v>42</v>
      </c>
      <c r="D392" s="22">
        <v>71513</v>
      </c>
      <c r="E392" s="22"/>
      <c r="F392" s="22"/>
      <c r="G392" s="22"/>
      <c r="H392" s="22"/>
      <c r="I392" s="22"/>
      <c r="J392" s="22"/>
      <c r="K392" s="22"/>
      <c r="L392" s="22"/>
      <c r="M392" s="22">
        <f t="shared" si="75"/>
        <v>71513</v>
      </c>
      <c r="N392" s="22"/>
      <c r="O392" s="22"/>
      <c r="P392" s="22"/>
      <c r="Q392" s="22"/>
      <c r="R392" s="22"/>
      <c r="S392" s="22"/>
      <c r="T392" s="22">
        <f t="shared" si="63"/>
        <v>71513</v>
      </c>
      <c r="U392" s="35">
        <v>45104</v>
      </c>
      <c r="V392" s="37">
        <f t="shared" si="61"/>
        <v>26409</v>
      </c>
    </row>
    <row r="393" spans="1:22" x14ac:dyDescent="0.25">
      <c r="A393" s="137" t="s">
        <v>91</v>
      </c>
      <c r="B393" s="139" t="s">
        <v>10</v>
      </c>
      <c r="C393" s="34" t="s">
        <v>51</v>
      </c>
      <c r="D393" s="22">
        <v>0</v>
      </c>
      <c r="E393" s="22"/>
      <c r="F393" s="22"/>
      <c r="G393" s="22"/>
      <c r="H393" s="22"/>
      <c r="I393" s="22"/>
      <c r="J393" s="22"/>
      <c r="K393" s="22"/>
      <c r="L393" s="22"/>
      <c r="M393" s="22">
        <f t="shared" si="75"/>
        <v>0</v>
      </c>
      <c r="N393" s="22"/>
      <c r="O393" s="22"/>
      <c r="P393" s="22"/>
      <c r="Q393" s="22"/>
      <c r="R393" s="22"/>
      <c r="S393" s="22"/>
      <c r="T393" s="22">
        <f t="shared" si="63"/>
        <v>0</v>
      </c>
      <c r="U393" s="35">
        <v>0</v>
      </c>
      <c r="V393" s="37">
        <f t="shared" ref="V393:V456" si="76">T393-U393</f>
        <v>0</v>
      </c>
    </row>
    <row r="394" spans="1:22" x14ac:dyDescent="0.25">
      <c r="A394" s="149"/>
      <c r="B394" s="151"/>
      <c r="C394" s="34" t="s">
        <v>42</v>
      </c>
      <c r="D394" s="22">
        <v>0</v>
      </c>
      <c r="E394" s="22"/>
      <c r="F394" s="22"/>
      <c r="G394" s="22"/>
      <c r="H394" s="22"/>
      <c r="I394" s="22"/>
      <c r="J394" s="22"/>
      <c r="K394" s="22"/>
      <c r="L394" s="22"/>
      <c r="M394" s="22">
        <f t="shared" si="75"/>
        <v>0</v>
      </c>
      <c r="N394" s="22"/>
      <c r="O394" s="22"/>
      <c r="P394" s="22"/>
      <c r="Q394" s="22"/>
      <c r="R394" s="22"/>
      <c r="S394" s="22"/>
      <c r="T394" s="22">
        <f t="shared" si="63"/>
        <v>0</v>
      </c>
      <c r="U394" s="35">
        <v>0</v>
      </c>
      <c r="V394" s="37">
        <f t="shared" si="76"/>
        <v>0</v>
      </c>
    </row>
    <row r="395" spans="1:22" x14ac:dyDescent="0.25">
      <c r="A395" s="140" t="s">
        <v>119</v>
      </c>
      <c r="B395" s="141"/>
      <c r="C395" s="142"/>
      <c r="D395" s="96">
        <f>SUM(D335+D336+D340+D349+D350+D363+D369+D370+D379+D382+D388+D389+D390+D391+D392+D393+D394)</f>
        <v>17788132</v>
      </c>
      <c r="E395" s="94">
        <f t="shared" ref="E395:Q395" si="77">SUM(E335+E336+E340+E349+E350+E363+E369+E370+E382+E388+E389+E390+E391+E392+E393+E394+E379)</f>
        <v>0</v>
      </c>
      <c r="F395" s="94">
        <f t="shared" si="77"/>
        <v>471150</v>
      </c>
      <c r="G395" s="94">
        <f t="shared" si="77"/>
        <v>0</v>
      </c>
      <c r="H395" s="94">
        <f t="shared" si="77"/>
        <v>0</v>
      </c>
      <c r="I395" s="94">
        <f t="shared" si="77"/>
        <v>0</v>
      </c>
      <c r="J395" s="94">
        <f t="shared" si="77"/>
        <v>0</v>
      </c>
      <c r="K395" s="94">
        <f t="shared" si="77"/>
        <v>0</v>
      </c>
      <c r="L395" s="94">
        <f t="shared" si="77"/>
        <v>0</v>
      </c>
      <c r="M395" s="94">
        <f t="shared" si="77"/>
        <v>18259282</v>
      </c>
      <c r="N395" s="94">
        <f t="shared" si="77"/>
        <v>0</v>
      </c>
      <c r="O395" s="94">
        <f t="shared" si="77"/>
        <v>25000</v>
      </c>
      <c r="P395" s="94">
        <f t="shared" si="77"/>
        <v>0</v>
      </c>
      <c r="Q395" s="94">
        <f t="shared" si="77"/>
        <v>0</v>
      </c>
      <c r="R395" s="94"/>
      <c r="S395" s="94"/>
      <c r="T395" s="94">
        <f t="shared" si="63"/>
        <v>18284282</v>
      </c>
      <c r="U395" s="95">
        <f>SUM(U335+U336+U340+U349+U350+U363+U369+U370+U382+U388+U389+U390+U391+U392+U393+U394+U379)</f>
        <v>11653491</v>
      </c>
      <c r="V395" s="93">
        <f t="shared" si="76"/>
        <v>6630791</v>
      </c>
    </row>
    <row r="396" spans="1:22" x14ac:dyDescent="0.25">
      <c r="A396" s="136" t="s">
        <v>145</v>
      </c>
      <c r="B396" s="56" t="s">
        <v>6</v>
      </c>
      <c r="C396" s="34" t="s">
        <v>67</v>
      </c>
      <c r="D396" s="22">
        <v>0</v>
      </c>
      <c r="E396" s="22"/>
      <c r="F396" s="22"/>
      <c r="G396" s="22"/>
      <c r="H396" s="22"/>
      <c r="I396" s="22"/>
      <c r="J396" s="22"/>
      <c r="K396" s="22"/>
      <c r="L396" s="22"/>
      <c r="M396" s="22">
        <f>D396+E396+F396+G396+H396+J396+I396</f>
        <v>0</v>
      </c>
      <c r="N396" s="22"/>
      <c r="O396" s="22"/>
      <c r="P396" s="22"/>
      <c r="Q396" s="22"/>
      <c r="R396" s="22"/>
      <c r="S396" s="22"/>
      <c r="T396" s="22">
        <f t="shared" ref="T396:T459" si="78">SUM(M396:S396)</f>
        <v>0</v>
      </c>
      <c r="U396" s="35">
        <v>0</v>
      </c>
      <c r="V396" s="37">
        <f t="shared" si="76"/>
        <v>0</v>
      </c>
    </row>
    <row r="397" spans="1:22" x14ac:dyDescent="0.25">
      <c r="A397" s="136"/>
      <c r="B397" s="139" t="s">
        <v>39</v>
      </c>
      <c r="C397" s="34" t="s">
        <v>40</v>
      </c>
      <c r="D397" s="22">
        <v>978360</v>
      </c>
      <c r="E397" s="22">
        <f>-2854-12935</f>
        <v>-15789</v>
      </c>
      <c r="F397" s="22"/>
      <c r="G397" s="22"/>
      <c r="H397" s="22"/>
      <c r="I397" s="22"/>
      <c r="J397" s="22"/>
      <c r="K397" s="22"/>
      <c r="L397" s="22"/>
      <c r="M397" s="22">
        <f>D397+E397+F397+G397+H397+J397+I397</f>
        <v>962571</v>
      </c>
      <c r="N397" s="22"/>
      <c r="O397" s="22"/>
      <c r="P397" s="22"/>
      <c r="Q397" s="22"/>
      <c r="R397" s="22"/>
      <c r="S397" s="22"/>
      <c r="T397" s="22">
        <f t="shared" si="78"/>
        <v>962571</v>
      </c>
      <c r="U397" s="35">
        <v>622577</v>
      </c>
      <c r="V397" s="37">
        <f t="shared" si="76"/>
        <v>339994</v>
      </c>
    </row>
    <row r="398" spans="1:22" x14ac:dyDescent="0.25">
      <c r="A398" s="136"/>
      <c r="B398" s="150"/>
      <c r="C398" s="34" t="s">
        <v>51</v>
      </c>
      <c r="D398" s="22">
        <v>0</v>
      </c>
      <c r="E398" s="22">
        <f>2854+12935</f>
        <v>15789</v>
      </c>
      <c r="F398" s="22"/>
      <c r="G398" s="22"/>
      <c r="H398" s="22"/>
      <c r="I398" s="22"/>
      <c r="J398" s="22"/>
      <c r="K398" s="22"/>
      <c r="L398" s="22"/>
      <c r="M398" s="22">
        <f>D398+E398+F398+G398+H398+J398+I398</f>
        <v>15789</v>
      </c>
      <c r="N398" s="22"/>
      <c r="O398" s="22"/>
      <c r="P398" s="22"/>
      <c r="Q398" s="22"/>
      <c r="R398" s="22"/>
      <c r="S398" s="22"/>
      <c r="T398" s="22">
        <f t="shared" si="78"/>
        <v>15789</v>
      </c>
      <c r="U398" s="35">
        <v>15789</v>
      </c>
      <c r="V398" s="37">
        <f t="shared" si="76"/>
        <v>0</v>
      </c>
    </row>
    <row r="399" spans="1:22" x14ac:dyDescent="0.25">
      <c r="A399" s="136"/>
      <c r="B399" s="150"/>
      <c r="C399" s="83" t="s">
        <v>41</v>
      </c>
      <c r="D399" s="84">
        <f>SUM(D397:D398)</f>
        <v>978360</v>
      </c>
      <c r="E399" s="84">
        <f t="shared" ref="E399:U399" si="79">SUM(E397:E398)</f>
        <v>0</v>
      </c>
      <c r="F399" s="84">
        <f t="shared" si="79"/>
        <v>0</v>
      </c>
      <c r="G399" s="84">
        <f t="shared" si="79"/>
        <v>0</v>
      </c>
      <c r="H399" s="84">
        <f t="shared" si="79"/>
        <v>0</v>
      </c>
      <c r="I399" s="84">
        <f t="shared" si="79"/>
        <v>0</v>
      </c>
      <c r="J399" s="84">
        <f t="shared" si="79"/>
        <v>0</v>
      </c>
      <c r="K399" s="84">
        <f t="shared" si="79"/>
        <v>0</v>
      </c>
      <c r="L399" s="84">
        <f t="shared" si="79"/>
        <v>0</v>
      </c>
      <c r="M399" s="84">
        <f t="shared" si="79"/>
        <v>978360</v>
      </c>
      <c r="N399" s="84">
        <f t="shared" si="79"/>
        <v>0</v>
      </c>
      <c r="O399" s="84">
        <f t="shared" si="79"/>
        <v>0</v>
      </c>
      <c r="P399" s="84">
        <f t="shared" si="79"/>
        <v>0</v>
      </c>
      <c r="Q399" s="84">
        <f t="shared" si="79"/>
        <v>0</v>
      </c>
      <c r="R399" s="84"/>
      <c r="S399" s="84"/>
      <c r="T399" s="84">
        <f t="shared" si="78"/>
        <v>978360</v>
      </c>
      <c r="U399" s="85">
        <f t="shared" si="79"/>
        <v>638366</v>
      </c>
      <c r="V399" s="86">
        <f t="shared" si="76"/>
        <v>339994</v>
      </c>
    </row>
    <row r="400" spans="1:22" x14ac:dyDescent="0.25">
      <c r="A400" s="136"/>
      <c r="B400" s="150"/>
      <c r="C400" s="87" t="s">
        <v>42</v>
      </c>
      <c r="D400" s="88">
        <v>75823</v>
      </c>
      <c r="E400" s="88"/>
      <c r="F400" s="88"/>
      <c r="G400" s="88"/>
      <c r="H400" s="88"/>
      <c r="I400" s="88"/>
      <c r="J400" s="88"/>
      <c r="K400" s="88"/>
      <c r="L400" s="88"/>
      <c r="M400" s="89">
        <f>D400+E400+F400+G400+H400+J400</f>
        <v>75823</v>
      </c>
      <c r="N400" s="89"/>
      <c r="O400" s="89"/>
      <c r="P400" s="89"/>
      <c r="Q400" s="89"/>
      <c r="R400" s="89"/>
      <c r="S400" s="89"/>
      <c r="T400" s="89">
        <f t="shared" si="78"/>
        <v>75823</v>
      </c>
      <c r="U400" s="90">
        <v>49254</v>
      </c>
      <c r="V400" s="91">
        <f t="shared" si="76"/>
        <v>26569</v>
      </c>
    </row>
    <row r="401" spans="1:23" x14ac:dyDescent="0.25">
      <c r="A401" s="136"/>
      <c r="B401" s="150"/>
      <c r="C401" s="34" t="s">
        <v>43</v>
      </c>
      <c r="D401" s="22">
        <v>0</v>
      </c>
      <c r="E401" s="22"/>
      <c r="F401" s="22"/>
      <c r="G401" s="22"/>
      <c r="H401" s="22"/>
      <c r="I401" s="22"/>
      <c r="J401" s="22"/>
      <c r="K401" s="22"/>
      <c r="L401" s="22"/>
      <c r="M401" s="22">
        <f>D401+E401+F401+G401+H401+J401+I401</f>
        <v>0</v>
      </c>
      <c r="N401" s="22"/>
      <c r="O401" s="22"/>
      <c r="P401" s="22"/>
      <c r="Q401" s="22"/>
      <c r="R401" s="22"/>
      <c r="S401" s="22"/>
      <c r="T401" s="22">
        <f t="shared" si="78"/>
        <v>0</v>
      </c>
      <c r="U401" s="35">
        <v>0</v>
      </c>
      <c r="V401" s="66">
        <f t="shared" si="76"/>
        <v>0</v>
      </c>
    </row>
    <row r="402" spans="1:23" x14ac:dyDescent="0.25">
      <c r="A402" s="136"/>
      <c r="B402" s="150"/>
      <c r="C402" s="34" t="s">
        <v>53</v>
      </c>
      <c r="D402" s="22">
        <v>0</v>
      </c>
      <c r="E402" s="22"/>
      <c r="F402" s="22"/>
      <c r="G402" s="22"/>
      <c r="H402" s="22"/>
      <c r="I402" s="22"/>
      <c r="J402" s="22"/>
      <c r="K402" s="22"/>
      <c r="L402" s="22"/>
      <c r="M402" s="22">
        <f>D402+E402+F402+G402+H402+J402+I402</f>
        <v>0</v>
      </c>
      <c r="N402" s="22"/>
      <c r="O402" s="22"/>
      <c r="P402" s="22"/>
      <c r="Q402" s="22"/>
      <c r="R402" s="22"/>
      <c r="S402" s="22"/>
      <c r="T402" s="22">
        <f t="shared" si="78"/>
        <v>0</v>
      </c>
      <c r="U402" s="35">
        <v>0</v>
      </c>
      <c r="V402" s="66">
        <f t="shared" si="76"/>
        <v>0</v>
      </c>
    </row>
    <row r="403" spans="1:23" x14ac:dyDescent="0.25">
      <c r="A403" s="136"/>
      <c r="B403" s="150"/>
      <c r="C403" s="75" t="s">
        <v>44</v>
      </c>
      <c r="D403" s="22">
        <v>0</v>
      </c>
      <c r="E403" s="22"/>
      <c r="F403" s="22"/>
      <c r="G403" s="22"/>
      <c r="H403" s="22"/>
      <c r="I403" s="22"/>
      <c r="J403" s="22"/>
      <c r="K403" s="22"/>
      <c r="L403" s="22"/>
      <c r="M403" s="22">
        <f>D403+E403+F403+G403+H403+J403+I403</f>
        <v>0</v>
      </c>
      <c r="N403" s="22"/>
      <c r="O403" s="22"/>
      <c r="P403" s="22"/>
      <c r="Q403" s="22"/>
      <c r="R403" s="22"/>
      <c r="S403" s="22"/>
      <c r="T403" s="22">
        <f t="shared" si="78"/>
        <v>0</v>
      </c>
      <c r="U403" s="35">
        <v>0</v>
      </c>
      <c r="V403" s="66">
        <f t="shared" si="76"/>
        <v>0</v>
      </c>
    </row>
    <row r="404" spans="1:23" x14ac:dyDescent="0.25">
      <c r="A404" s="136"/>
      <c r="B404" s="150"/>
      <c r="C404" s="34" t="s">
        <v>45</v>
      </c>
      <c r="D404" s="22">
        <v>0</v>
      </c>
      <c r="E404" s="22"/>
      <c r="F404" s="22"/>
      <c r="G404" s="22"/>
      <c r="H404" s="22"/>
      <c r="I404" s="22"/>
      <c r="J404" s="22"/>
      <c r="K404" s="22"/>
      <c r="L404" s="22"/>
      <c r="M404" s="22">
        <f>D404+E404+F404+G404+H404+J404+I404</f>
        <v>0</v>
      </c>
      <c r="N404" s="22"/>
      <c r="O404" s="22"/>
      <c r="P404" s="22"/>
      <c r="Q404" s="22"/>
      <c r="R404" s="22"/>
      <c r="S404" s="22"/>
      <c r="T404" s="22">
        <f t="shared" si="78"/>
        <v>0</v>
      </c>
      <c r="U404" s="35">
        <v>0</v>
      </c>
      <c r="V404" s="66">
        <f t="shared" si="76"/>
        <v>0</v>
      </c>
    </row>
    <row r="405" spans="1:23" x14ac:dyDescent="0.25">
      <c r="A405" s="136"/>
      <c r="B405" s="151"/>
      <c r="C405" s="83" t="s">
        <v>46</v>
      </c>
      <c r="D405" s="84">
        <f>SUM(D401:D404)</f>
        <v>0</v>
      </c>
      <c r="E405" s="84">
        <f t="shared" ref="E405:U405" si="80">SUM(E401:E404)</f>
        <v>0</v>
      </c>
      <c r="F405" s="84">
        <f t="shared" si="80"/>
        <v>0</v>
      </c>
      <c r="G405" s="84">
        <f t="shared" si="80"/>
        <v>0</v>
      </c>
      <c r="H405" s="84">
        <f t="shared" si="80"/>
        <v>0</v>
      </c>
      <c r="I405" s="84">
        <f t="shared" si="80"/>
        <v>0</v>
      </c>
      <c r="J405" s="84">
        <f t="shared" si="80"/>
        <v>0</v>
      </c>
      <c r="K405" s="84">
        <f t="shared" si="80"/>
        <v>0</v>
      </c>
      <c r="L405" s="84">
        <f t="shared" si="80"/>
        <v>0</v>
      </c>
      <c r="M405" s="84">
        <f t="shared" si="80"/>
        <v>0</v>
      </c>
      <c r="N405" s="84">
        <f t="shared" si="80"/>
        <v>0</v>
      </c>
      <c r="O405" s="84">
        <f t="shared" si="80"/>
        <v>0</v>
      </c>
      <c r="P405" s="84">
        <f t="shared" si="80"/>
        <v>0</v>
      </c>
      <c r="Q405" s="84">
        <f t="shared" si="80"/>
        <v>0</v>
      </c>
      <c r="R405" s="84"/>
      <c r="S405" s="84"/>
      <c r="T405" s="84">
        <f t="shared" si="78"/>
        <v>0</v>
      </c>
      <c r="U405" s="85">
        <f t="shared" si="80"/>
        <v>0</v>
      </c>
      <c r="V405" s="85">
        <f t="shared" si="76"/>
        <v>0</v>
      </c>
      <c r="W405" s="18"/>
    </row>
    <row r="406" spans="1:23" x14ac:dyDescent="0.25">
      <c r="A406" s="136"/>
      <c r="B406" s="139" t="s">
        <v>18</v>
      </c>
      <c r="C406" s="34" t="s">
        <v>40</v>
      </c>
      <c r="D406" s="22">
        <v>2769545</v>
      </c>
      <c r="E406" s="22"/>
      <c r="F406" s="22"/>
      <c r="G406" s="22"/>
      <c r="H406" s="22"/>
      <c r="I406" s="22"/>
      <c r="J406" s="22"/>
      <c r="K406" s="22"/>
      <c r="L406" s="22"/>
      <c r="M406" s="22">
        <f>D406+E406+F406+G406+H406+J406+I406</f>
        <v>2769545</v>
      </c>
      <c r="N406" s="22"/>
      <c r="O406" s="22"/>
      <c r="P406" s="22"/>
      <c r="Q406" s="22"/>
      <c r="R406" s="22"/>
      <c r="S406" s="22"/>
      <c r="T406" s="22">
        <f t="shared" si="78"/>
        <v>2769545</v>
      </c>
      <c r="U406" s="35">
        <v>1798578</v>
      </c>
      <c r="V406" s="37">
        <f t="shared" si="76"/>
        <v>970967</v>
      </c>
    </row>
    <row r="407" spans="1:23" x14ac:dyDescent="0.25">
      <c r="A407" s="136"/>
      <c r="B407" s="150"/>
      <c r="C407" s="34" t="s">
        <v>47</v>
      </c>
      <c r="D407" s="22">
        <v>100000</v>
      </c>
      <c r="E407" s="22"/>
      <c r="F407" s="22"/>
      <c r="G407" s="22"/>
      <c r="H407" s="22"/>
      <c r="I407" s="22"/>
      <c r="J407" s="22"/>
      <c r="K407" s="22"/>
      <c r="L407" s="22"/>
      <c r="M407" s="22">
        <f>D407+E407+F407+G407+H407+J407+I407</f>
        <v>100000</v>
      </c>
      <c r="N407" s="22"/>
      <c r="O407" s="22"/>
      <c r="P407" s="22"/>
      <c r="Q407" s="22"/>
      <c r="R407" s="22"/>
      <c r="S407" s="22"/>
      <c r="T407" s="22">
        <f t="shared" si="78"/>
        <v>100000</v>
      </c>
      <c r="U407" s="35">
        <v>50000</v>
      </c>
      <c r="V407" s="37">
        <f t="shared" si="76"/>
        <v>50000</v>
      </c>
    </row>
    <row r="408" spans="1:23" x14ac:dyDescent="0.25">
      <c r="A408" s="136"/>
      <c r="B408" s="150"/>
      <c r="C408" s="34" t="s">
        <v>48</v>
      </c>
      <c r="D408" s="22">
        <v>10000</v>
      </c>
      <c r="E408" s="22"/>
      <c r="F408" s="22"/>
      <c r="G408" s="22"/>
      <c r="H408" s="22"/>
      <c r="I408" s="22"/>
      <c r="J408" s="22"/>
      <c r="K408" s="22"/>
      <c r="L408" s="22"/>
      <c r="M408" s="22">
        <f>D408+E408+F408+G408+H408+J408+I408</f>
        <v>10000</v>
      </c>
      <c r="N408" s="22"/>
      <c r="O408" s="22"/>
      <c r="P408" s="22"/>
      <c r="Q408" s="22"/>
      <c r="R408" s="22"/>
      <c r="S408" s="22"/>
      <c r="T408" s="22">
        <f t="shared" si="78"/>
        <v>10000</v>
      </c>
      <c r="U408" s="35">
        <v>0</v>
      </c>
      <c r="V408" s="37">
        <f t="shared" si="76"/>
        <v>10000</v>
      </c>
    </row>
    <row r="409" spans="1:23" x14ac:dyDescent="0.25">
      <c r="A409" s="136"/>
      <c r="B409" s="150"/>
      <c r="C409" s="34" t="s">
        <v>50</v>
      </c>
      <c r="D409" s="22">
        <v>12000</v>
      </c>
      <c r="E409" s="22"/>
      <c r="F409" s="22"/>
      <c r="G409" s="22"/>
      <c r="H409" s="22"/>
      <c r="I409" s="22"/>
      <c r="J409" s="22"/>
      <c r="K409" s="22"/>
      <c r="L409" s="22"/>
      <c r="M409" s="22">
        <f>D409+E409+F409+G409+H409+J409+I409</f>
        <v>12000</v>
      </c>
      <c r="N409" s="22"/>
      <c r="O409" s="22"/>
      <c r="P409" s="22"/>
      <c r="Q409" s="22"/>
      <c r="R409" s="22"/>
      <c r="S409" s="22"/>
      <c r="T409" s="22">
        <f t="shared" si="78"/>
        <v>12000</v>
      </c>
      <c r="U409" s="35">
        <v>6000</v>
      </c>
      <c r="V409" s="37">
        <f t="shared" si="76"/>
        <v>6000</v>
      </c>
    </row>
    <row r="410" spans="1:23" x14ac:dyDescent="0.25">
      <c r="A410" s="136"/>
      <c r="B410" s="150"/>
      <c r="C410" s="34" t="s">
        <v>51</v>
      </c>
      <c r="D410" s="22">
        <v>0</v>
      </c>
      <c r="E410" s="22"/>
      <c r="F410" s="25"/>
      <c r="G410" s="22"/>
      <c r="H410" s="22"/>
      <c r="I410" s="22"/>
      <c r="J410" s="22"/>
      <c r="K410" s="22"/>
      <c r="L410" s="22"/>
      <c r="M410" s="22">
        <f>D410+E410+F410+G410+H410+J410+I410</f>
        <v>0</v>
      </c>
      <c r="N410" s="22"/>
      <c r="O410" s="22"/>
      <c r="P410" s="22"/>
      <c r="Q410" s="22"/>
      <c r="R410" s="22"/>
      <c r="S410" s="22"/>
      <c r="T410" s="22">
        <f t="shared" si="78"/>
        <v>0</v>
      </c>
      <c r="U410" s="35">
        <v>0</v>
      </c>
      <c r="V410" s="37">
        <f t="shared" si="76"/>
        <v>0</v>
      </c>
    </row>
    <row r="411" spans="1:23" x14ac:dyDescent="0.25">
      <c r="A411" s="136"/>
      <c r="B411" s="150"/>
      <c r="C411" s="83" t="s">
        <v>41</v>
      </c>
      <c r="D411" s="84">
        <f>SUM(D406:D410)</f>
        <v>2891545</v>
      </c>
      <c r="E411" s="84">
        <f t="shared" ref="E411:U411" si="81">SUM(E406:E410)</f>
        <v>0</v>
      </c>
      <c r="F411" s="84">
        <f t="shared" si="81"/>
        <v>0</v>
      </c>
      <c r="G411" s="84">
        <f t="shared" si="81"/>
        <v>0</v>
      </c>
      <c r="H411" s="84">
        <f t="shared" si="81"/>
        <v>0</v>
      </c>
      <c r="I411" s="84">
        <f t="shared" si="81"/>
        <v>0</v>
      </c>
      <c r="J411" s="84">
        <f t="shared" si="81"/>
        <v>0</v>
      </c>
      <c r="K411" s="84">
        <f t="shared" si="81"/>
        <v>0</v>
      </c>
      <c r="L411" s="84">
        <f t="shared" si="81"/>
        <v>0</v>
      </c>
      <c r="M411" s="84">
        <f t="shared" si="81"/>
        <v>2891545</v>
      </c>
      <c r="N411" s="84">
        <f t="shared" si="81"/>
        <v>0</v>
      </c>
      <c r="O411" s="84">
        <f t="shared" si="81"/>
        <v>0</v>
      </c>
      <c r="P411" s="84">
        <f t="shared" si="81"/>
        <v>0</v>
      </c>
      <c r="Q411" s="84">
        <f t="shared" si="81"/>
        <v>0</v>
      </c>
      <c r="R411" s="84"/>
      <c r="S411" s="84"/>
      <c r="T411" s="84">
        <f t="shared" si="78"/>
        <v>2891545</v>
      </c>
      <c r="U411" s="85">
        <f t="shared" si="81"/>
        <v>1854578</v>
      </c>
      <c r="V411" s="86">
        <f t="shared" si="76"/>
        <v>1036967</v>
      </c>
    </row>
    <row r="412" spans="1:23" x14ac:dyDescent="0.25">
      <c r="A412" s="136"/>
      <c r="B412" s="150"/>
      <c r="C412" s="87" t="s">
        <v>42</v>
      </c>
      <c r="D412" s="88">
        <v>455440</v>
      </c>
      <c r="E412" s="88"/>
      <c r="F412" s="88"/>
      <c r="G412" s="88"/>
      <c r="H412" s="88"/>
      <c r="I412" s="88"/>
      <c r="J412" s="88"/>
      <c r="K412" s="88"/>
      <c r="L412" s="88"/>
      <c r="M412" s="89">
        <f>D412+E412+F412+G412+H412+J412</f>
        <v>455440</v>
      </c>
      <c r="N412" s="89"/>
      <c r="O412" s="89"/>
      <c r="P412" s="89"/>
      <c r="Q412" s="89"/>
      <c r="R412" s="89"/>
      <c r="S412" s="89"/>
      <c r="T412" s="89">
        <f t="shared" si="78"/>
        <v>455440</v>
      </c>
      <c r="U412" s="90">
        <v>285494</v>
      </c>
      <c r="V412" s="91">
        <f t="shared" si="76"/>
        <v>169946</v>
      </c>
    </row>
    <row r="413" spans="1:23" x14ac:dyDescent="0.25">
      <c r="A413" s="136"/>
      <c r="B413" s="150"/>
      <c r="C413" s="34" t="s">
        <v>43</v>
      </c>
      <c r="D413" s="22">
        <v>10000</v>
      </c>
      <c r="E413" s="22"/>
      <c r="F413" s="22"/>
      <c r="G413" s="22"/>
      <c r="H413" s="22"/>
      <c r="I413" s="22"/>
      <c r="J413" s="22"/>
      <c r="K413" s="22"/>
      <c r="L413" s="22"/>
      <c r="M413" s="22">
        <f t="shared" ref="M413:M423" si="82">D413+E413+F413+G413+H413+J413+I413</f>
        <v>10000</v>
      </c>
      <c r="N413" s="22"/>
      <c r="O413" s="22"/>
      <c r="P413" s="22"/>
      <c r="Q413" s="22"/>
      <c r="R413" s="22"/>
      <c r="S413" s="22"/>
      <c r="T413" s="22">
        <f t="shared" si="78"/>
        <v>10000</v>
      </c>
      <c r="U413" s="35">
        <v>0</v>
      </c>
      <c r="V413" s="37">
        <f t="shared" si="76"/>
        <v>10000</v>
      </c>
    </row>
    <row r="414" spans="1:23" x14ac:dyDescent="0.25">
      <c r="A414" s="136"/>
      <c r="B414" s="150"/>
      <c r="C414" s="34" t="s">
        <v>53</v>
      </c>
      <c r="D414" s="22">
        <v>50000</v>
      </c>
      <c r="E414" s="22"/>
      <c r="F414" s="22">
        <v>92835</v>
      </c>
      <c r="G414" s="22"/>
      <c r="H414" s="22"/>
      <c r="I414" s="22"/>
      <c r="J414" s="22"/>
      <c r="K414" s="22"/>
      <c r="L414" s="22"/>
      <c r="M414" s="22">
        <f t="shared" si="82"/>
        <v>142835</v>
      </c>
      <c r="N414" s="22"/>
      <c r="O414" s="22"/>
      <c r="P414" s="22"/>
      <c r="Q414" s="22"/>
      <c r="R414" s="22"/>
      <c r="S414" s="22"/>
      <c r="T414" s="22">
        <f t="shared" si="78"/>
        <v>142835</v>
      </c>
      <c r="U414" s="35">
        <v>92700</v>
      </c>
      <c r="V414" s="39">
        <f t="shared" si="76"/>
        <v>50135</v>
      </c>
    </row>
    <row r="415" spans="1:23" x14ac:dyDescent="0.25">
      <c r="A415" s="136"/>
      <c r="B415" s="150"/>
      <c r="C415" s="75" t="s">
        <v>55</v>
      </c>
      <c r="D415" s="22">
        <v>0</v>
      </c>
      <c r="E415" s="22"/>
      <c r="F415" s="22"/>
      <c r="G415" s="22"/>
      <c r="H415" s="22"/>
      <c r="I415" s="22"/>
      <c r="J415" s="22"/>
      <c r="K415" s="22"/>
      <c r="L415" s="22"/>
      <c r="M415" s="22">
        <f t="shared" si="82"/>
        <v>0</v>
      </c>
      <c r="N415" s="22"/>
      <c r="O415" s="22"/>
      <c r="P415" s="22"/>
      <c r="Q415" s="22"/>
      <c r="R415" s="22"/>
      <c r="S415" s="22"/>
      <c r="T415" s="22">
        <f t="shared" si="78"/>
        <v>0</v>
      </c>
      <c r="U415" s="35">
        <v>0</v>
      </c>
      <c r="V415" s="35">
        <f t="shared" si="76"/>
        <v>0</v>
      </c>
    </row>
    <row r="416" spans="1:23" x14ac:dyDescent="0.25">
      <c r="A416" s="136"/>
      <c r="B416" s="150"/>
      <c r="C416" s="75" t="s">
        <v>56</v>
      </c>
      <c r="D416" s="22">
        <v>0</v>
      </c>
      <c r="E416" s="22"/>
      <c r="F416" s="22"/>
      <c r="G416" s="22"/>
      <c r="H416" s="22"/>
      <c r="I416" s="22"/>
      <c r="J416" s="22"/>
      <c r="K416" s="22"/>
      <c r="L416" s="22"/>
      <c r="M416" s="22">
        <f t="shared" si="82"/>
        <v>0</v>
      </c>
      <c r="N416" s="22"/>
      <c r="O416" s="22"/>
      <c r="P416" s="22"/>
      <c r="Q416" s="22"/>
      <c r="R416" s="22"/>
      <c r="S416" s="22"/>
      <c r="T416" s="22">
        <f t="shared" si="78"/>
        <v>0</v>
      </c>
      <c r="U416" s="35">
        <v>0</v>
      </c>
      <c r="V416" s="35">
        <f t="shared" si="76"/>
        <v>0</v>
      </c>
    </row>
    <row r="417" spans="1:22" x14ac:dyDescent="0.25">
      <c r="A417" s="136"/>
      <c r="B417" s="150"/>
      <c r="C417" s="34" t="s">
        <v>62</v>
      </c>
      <c r="D417" s="22">
        <v>0</v>
      </c>
      <c r="E417" s="22"/>
      <c r="F417" s="22"/>
      <c r="G417" s="22"/>
      <c r="H417" s="22"/>
      <c r="I417" s="22"/>
      <c r="J417" s="22"/>
      <c r="K417" s="22"/>
      <c r="L417" s="22"/>
      <c r="M417" s="22">
        <f t="shared" si="82"/>
        <v>0</v>
      </c>
      <c r="N417" s="22"/>
      <c r="O417" s="22"/>
      <c r="P417" s="22"/>
      <c r="Q417" s="22"/>
      <c r="R417" s="22"/>
      <c r="S417" s="22"/>
      <c r="T417" s="22">
        <f t="shared" si="78"/>
        <v>0</v>
      </c>
      <c r="U417" s="35">
        <v>0</v>
      </c>
      <c r="V417" s="37">
        <f t="shared" si="76"/>
        <v>0</v>
      </c>
    </row>
    <row r="418" spans="1:22" x14ac:dyDescent="0.25">
      <c r="A418" s="136"/>
      <c r="B418" s="150"/>
      <c r="C418" s="34" t="s">
        <v>57</v>
      </c>
      <c r="D418" s="22">
        <v>0</v>
      </c>
      <c r="E418" s="22"/>
      <c r="F418" s="22"/>
      <c r="G418" s="22"/>
      <c r="H418" s="22"/>
      <c r="I418" s="22"/>
      <c r="J418" s="22"/>
      <c r="K418" s="22"/>
      <c r="L418" s="22"/>
      <c r="M418" s="22">
        <f t="shared" si="82"/>
        <v>0</v>
      </c>
      <c r="N418" s="22"/>
      <c r="O418" s="22"/>
      <c r="P418" s="22"/>
      <c r="Q418" s="22"/>
      <c r="R418" s="22"/>
      <c r="S418" s="22"/>
      <c r="T418" s="22">
        <f t="shared" si="78"/>
        <v>0</v>
      </c>
      <c r="U418" s="35">
        <v>0</v>
      </c>
      <c r="V418" s="37">
        <f t="shared" si="76"/>
        <v>0</v>
      </c>
    </row>
    <row r="419" spans="1:22" x14ac:dyDescent="0.25">
      <c r="A419" s="136"/>
      <c r="B419" s="150"/>
      <c r="C419" s="34" t="s">
        <v>44</v>
      </c>
      <c r="D419" s="22">
        <v>8400</v>
      </c>
      <c r="E419" s="22"/>
      <c r="F419" s="25"/>
      <c r="G419" s="22"/>
      <c r="H419" s="22"/>
      <c r="I419" s="22"/>
      <c r="J419" s="22"/>
      <c r="K419" s="22"/>
      <c r="L419" s="22"/>
      <c r="M419" s="22">
        <f t="shared" si="82"/>
        <v>8400</v>
      </c>
      <c r="N419" s="22"/>
      <c r="O419" s="22"/>
      <c r="P419" s="22"/>
      <c r="Q419" s="22"/>
      <c r="R419" s="22"/>
      <c r="S419" s="22"/>
      <c r="T419" s="22">
        <f t="shared" si="78"/>
        <v>8400</v>
      </c>
      <c r="U419" s="35">
        <v>2100</v>
      </c>
      <c r="V419" s="37">
        <f t="shared" si="76"/>
        <v>6300</v>
      </c>
    </row>
    <row r="420" spans="1:22" x14ac:dyDescent="0.25">
      <c r="A420" s="136"/>
      <c r="B420" s="150"/>
      <c r="C420" s="34" t="s">
        <v>58</v>
      </c>
      <c r="D420" s="22">
        <v>299364</v>
      </c>
      <c r="E420" s="22"/>
      <c r="F420" s="25"/>
      <c r="G420" s="22"/>
      <c r="H420" s="22"/>
      <c r="I420" s="22"/>
      <c r="J420" s="22"/>
      <c r="K420" s="22"/>
      <c r="L420" s="22"/>
      <c r="M420" s="22">
        <f t="shared" si="82"/>
        <v>299364</v>
      </c>
      <c r="N420" s="22"/>
      <c r="O420" s="22"/>
      <c r="P420" s="22"/>
      <c r="Q420" s="22"/>
      <c r="R420" s="22"/>
      <c r="S420" s="22"/>
      <c r="T420" s="22">
        <f t="shared" si="78"/>
        <v>299364</v>
      </c>
      <c r="U420" s="35">
        <v>189435</v>
      </c>
      <c r="V420" s="37">
        <f t="shared" si="76"/>
        <v>109929</v>
      </c>
    </row>
    <row r="421" spans="1:22" x14ac:dyDescent="0.25">
      <c r="A421" s="136"/>
      <c r="B421" s="150"/>
      <c r="C421" s="34" t="s">
        <v>59</v>
      </c>
      <c r="D421" s="22">
        <v>25000</v>
      </c>
      <c r="E421" s="22"/>
      <c r="F421" s="25"/>
      <c r="G421" s="22"/>
      <c r="H421" s="22"/>
      <c r="I421" s="22"/>
      <c r="J421" s="22"/>
      <c r="K421" s="22"/>
      <c r="L421" s="22"/>
      <c r="M421" s="22">
        <f t="shared" si="82"/>
        <v>25000</v>
      </c>
      <c r="N421" s="22"/>
      <c r="O421" s="22"/>
      <c r="P421" s="22"/>
      <c r="Q421" s="22"/>
      <c r="R421" s="22"/>
      <c r="S421" s="22"/>
      <c r="T421" s="22">
        <f t="shared" si="78"/>
        <v>25000</v>
      </c>
      <c r="U421" s="35">
        <v>2808</v>
      </c>
      <c r="V421" s="37">
        <f t="shared" si="76"/>
        <v>22192</v>
      </c>
    </row>
    <row r="422" spans="1:22" x14ac:dyDescent="0.25">
      <c r="A422" s="136"/>
      <c r="B422" s="150"/>
      <c r="C422" s="34" t="s">
        <v>45</v>
      </c>
      <c r="D422" s="22">
        <v>14000</v>
      </c>
      <c r="E422" s="22"/>
      <c r="F422" s="25">
        <v>25065</v>
      </c>
      <c r="G422" s="22"/>
      <c r="H422" s="22"/>
      <c r="I422" s="22"/>
      <c r="J422" s="22"/>
      <c r="K422" s="22"/>
      <c r="L422" s="22"/>
      <c r="M422" s="22">
        <f t="shared" si="82"/>
        <v>39065</v>
      </c>
      <c r="N422" s="22"/>
      <c r="O422" s="22"/>
      <c r="P422" s="22"/>
      <c r="Q422" s="22"/>
      <c r="R422" s="22"/>
      <c r="S422" s="22"/>
      <c r="T422" s="22">
        <f t="shared" si="78"/>
        <v>39065</v>
      </c>
      <c r="U422" s="35">
        <v>25028</v>
      </c>
      <c r="V422" s="39">
        <f t="shared" si="76"/>
        <v>14037</v>
      </c>
    </row>
    <row r="423" spans="1:22" x14ac:dyDescent="0.25">
      <c r="A423" s="136"/>
      <c r="B423" s="150"/>
      <c r="C423" s="34" t="s">
        <v>60</v>
      </c>
      <c r="D423" s="22">
        <v>0</v>
      </c>
      <c r="E423" s="22"/>
      <c r="F423" s="25"/>
      <c r="G423" s="22"/>
      <c r="H423" s="22"/>
      <c r="I423" s="22"/>
      <c r="J423" s="22"/>
      <c r="K423" s="22"/>
      <c r="L423" s="22"/>
      <c r="M423" s="22">
        <f t="shared" si="82"/>
        <v>0</v>
      </c>
      <c r="N423" s="22"/>
      <c r="O423" s="22"/>
      <c r="P423" s="22"/>
      <c r="Q423" s="22"/>
      <c r="R423" s="22"/>
      <c r="S423" s="22"/>
      <c r="T423" s="22">
        <f t="shared" si="78"/>
        <v>0</v>
      </c>
      <c r="U423" s="35">
        <v>0</v>
      </c>
      <c r="V423" s="37">
        <f t="shared" si="76"/>
        <v>0</v>
      </c>
    </row>
    <row r="424" spans="1:22" x14ac:dyDescent="0.25">
      <c r="A424" s="136"/>
      <c r="B424" s="150"/>
      <c r="C424" s="83" t="s">
        <v>46</v>
      </c>
      <c r="D424" s="84">
        <f>SUM(D413:D423)</f>
        <v>406764</v>
      </c>
      <c r="E424" s="84">
        <f t="shared" ref="E424:U424" si="83">SUM(E413:E423)</f>
        <v>0</v>
      </c>
      <c r="F424" s="84">
        <f t="shared" si="83"/>
        <v>117900</v>
      </c>
      <c r="G424" s="84">
        <f t="shared" si="83"/>
        <v>0</v>
      </c>
      <c r="H424" s="84">
        <f t="shared" si="83"/>
        <v>0</v>
      </c>
      <c r="I424" s="84">
        <f t="shared" si="83"/>
        <v>0</v>
      </c>
      <c r="J424" s="84">
        <f t="shared" si="83"/>
        <v>0</v>
      </c>
      <c r="K424" s="84">
        <f t="shared" si="83"/>
        <v>0</v>
      </c>
      <c r="L424" s="84">
        <f t="shared" si="83"/>
        <v>0</v>
      </c>
      <c r="M424" s="84">
        <f t="shared" si="83"/>
        <v>524664</v>
      </c>
      <c r="N424" s="84">
        <f t="shared" si="83"/>
        <v>0</v>
      </c>
      <c r="O424" s="84">
        <f t="shared" si="83"/>
        <v>0</v>
      </c>
      <c r="P424" s="84">
        <f t="shared" si="83"/>
        <v>0</v>
      </c>
      <c r="Q424" s="84">
        <f t="shared" si="83"/>
        <v>0</v>
      </c>
      <c r="R424" s="84">
        <f t="shared" si="83"/>
        <v>0</v>
      </c>
      <c r="S424" s="84">
        <f t="shared" si="83"/>
        <v>0</v>
      </c>
      <c r="T424" s="84">
        <f t="shared" si="78"/>
        <v>524664</v>
      </c>
      <c r="U424" s="85">
        <f t="shared" si="83"/>
        <v>312071</v>
      </c>
      <c r="V424" s="86">
        <f t="shared" si="76"/>
        <v>212593</v>
      </c>
    </row>
    <row r="425" spans="1:22" x14ac:dyDescent="0.25">
      <c r="A425" s="136"/>
      <c r="B425" s="150"/>
      <c r="C425" s="34" t="s">
        <v>112</v>
      </c>
      <c r="D425" s="22">
        <v>0</v>
      </c>
      <c r="E425" s="22"/>
      <c r="F425" s="22"/>
      <c r="G425" s="22"/>
      <c r="H425" s="22"/>
      <c r="I425" s="22"/>
      <c r="J425" s="22"/>
      <c r="K425" s="22"/>
      <c r="L425" s="22"/>
      <c r="M425" s="22">
        <f>D425+E425+F425+G425+H425+J425+I425</f>
        <v>0</v>
      </c>
      <c r="N425" s="22"/>
      <c r="O425" s="22"/>
      <c r="P425" s="22"/>
      <c r="Q425" s="22"/>
      <c r="R425" s="22"/>
      <c r="S425" s="22"/>
      <c r="T425" s="22">
        <f t="shared" si="78"/>
        <v>0</v>
      </c>
      <c r="U425" s="35">
        <v>0</v>
      </c>
      <c r="V425" s="37">
        <f t="shared" si="76"/>
        <v>0</v>
      </c>
    </row>
    <row r="426" spans="1:22" x14ac:dyDescent="0.25">
      <c r="A426" s="136"/>
      <c r="B426" s="150"/>
      <c r="C426" s="34" t="s">
        <v>113</v>
      </c>
      <c r="D426" s="22">
        <v>0</v>
      </c>
      <c r="E426" s="22"/>
      <c r="F426" s="22"/>
      <c r="G426" s="22"/>
      <c r="H426" s="22"/>
      <c r="I426" s="22"/>
      <c r="J426" s="22"/>
      <c r="K426" s="22"/>
      <c r="L426" s="22"/>
      <c r="M426" s="22">
        <f>D426+E426+F426+G426+H426+J426+I426</f>
        <v>0</v>
      </c>
      <c r="N426" s="22"/>
      <c r="O426" s="22"/>
      <c r="P426" s="22"/>
      <c r="Q426" s="22"/>
      <c r="R426" s="22"/>
      <c r="S426" s="22"/>
      <c r="T426" s="22">
        <f t="shared" si="78"/>
        <v>0</v>
      </c>
      <c r="U426" s="35">
        <v>0</v>
      </c>
      <c r="V426" s="37">
        <f t="shared" si="76"/>
        <v>0</v>
      </c>
    </row>
    <row r="427" spans="1:22" x14ac:dyDescent="0.25">
      <c r="A427" s="136"/>
      <c r="B427" s="151"/>
      <c r="C427" s="83" t="s">
        <v>114</v>
      </c>
      <c r="D427" s="84">
        <f>SUM(D425:D426)</f>
        <v>0</v>
      </c>
      <c r="E427" s="84">
        <f t="shared" ref="E427:U427" si="84">SUM(E425:E426)</f>
        <v>0</v>
      </c>
      <c r="F427" s="84">
        <f t="shared" si="84"/>
        <v>0</v>
      </c>
      <c r="G427" s="84">
        <f t="shared" si="84"/>
        <v>0</v>
      </c>
      <c r="H427" s="84">
        <f t="shared" si="84"/>
        <v>0</v>
      </c>
      <c r="I427" s="84">
        <f t="shared" si="84"/>
        <v>0</v>
      </c>
      <c r="J427" s="84">
        <f t="shared" si="84"/>
        <v>0</v>
      </c>
      <c r="K427" s="84">
        <f t="shared" si="84"/>
        <v>0</v>
      </c>
      <c r="L427" s="84">
        <f t="shared" si="84"/>
        <v>0</v>
      </c>
      <c r="M427" s="84">
        <f t="shared" si="84"/>
        <v>0</v>
      </c>
      <c r="N427" s="84">
        <f t="shared" si="84"/>
        <v>0</v>
      </c>
      <c r="O427" s="84">
        <f t="shared" si="84"/>
        <v>0</v>
      </c>
      <c r="P427" s="84">
        <f t="shared" si="84"/>
        <v>0</v>
      </c>
      <c r="Q427" s="84">
        <f t="shared" si="84"/>
        <v>0</v>
      </c>
      <c r="R427" s="84"/>
      <c r="S427" s="84"/>
      <c r="T427" s="84">
        <f t="shared" si="78"/>
        <v>0</v>
      </c>
      <c r="U427" s="85">
        <f t="shared" si="84"/>
        <v>0</v>
      </c>
      <c r="V427" s="86">
        <f t="shared" si="76"/>
        <v>0</v>
      </c>
    </row>
    <row r="428" spans="1:22" x14ac:dyDescent="0.25">
      <c r="A428" s="137" t="s">
        <v>92</v>
      </c>
      <c r="B428" s="139" t="s">
        <v>18</v>
      </c>
      <c r="C428" s="34" t="s">
        <v>40</v>
      </c>
      <c r="D428" s="22">
        <v>239808</v>
      </c>
      <c r="E428" s="22"/>
      <c r="F428" s="22"/>
      <c r="G428" s="22"/>
      <c r="H428" s="22"/>
      <c r="I428" s="22"/>
      <c r="J428" s="22"/>
      <c r="K428" s="22"/>
      <c r="L428" s="22"/>
      <c r="M428" s="22">
        <f>D428+E428+F428+G428+H428+J428+I428+K428</f>
        <v>239808</v>
      </c>
      <c r="N428" s="22"/>
      <c r="O428" s="22"/>
      <c r="P428" s="22"/>
      <c r="Q428" s="22"/>
      <c r="R428" s="22"/>
      <c r="S428" s="22"/>
      <c r="T428" s="22">
        <f t="shared" si="78"/>
        <v>239808</v>
      </c>
      <c r="U428" s="35">
        <v>159720</v>
      </c>
      <c r="V428" s="37">
        <f t="shared" si="76"/>
        <v>80088</v>
      </c>
    </row>
    <row r="429" spans="1:22" x14ac:dyDescent="0.25">
      <c r="A429" s="149"/>
      <c r="B429" s="151"/>
      <c r="C429" s="34" t="s">
        <v>42</v>
      </c>
      <c r="D429" s="22">
        <v>37170</v>
      </c>
      <c r="E429" s="22"/>
      <c r="F429" s="22"/>
      <c r="G429" s="22"/>
      <c r="H429" s="22"/>
      <c r="I429" s="22"/>
      <c r="J429" s="22"/>
      <c r="K429" s="22"/>
      <c r="L429" s="22"/>
      <c r="M429" s="22">
        <f>D429+E429+F429+G429+H429+J429+I429+K429</f>
        <v>37170</v>
      </c>
      <c r="N429" s="22"/>
      <c r="O429" s="22"/>
      <c r="P429" s="22"/>
      <c r="Q429" s="22"/>
      <c r="R429" s="22"/>
      <c r="S429" s="22"/>
      <c r="T429" s="22">
        <f t="shared" si="78"/>
        <v>37170</v>
      </c>
      <c r="U429" s="35">
        <v>24179</v>
      </c>
      <c r="V429" s="37">
        <f t="shared" si="76"/>
        <v>12991</v>
      </c>
    </row>
    <row r="430" spans="1:22" x14ac:dyDescent="0.25">
      <c r="A430" s="140" t="s">
        <v>120</v>
      </c>
      <c r="B430" s="141"/>
      <c r="C430" s="142"/>
      <c r="D430" s="96">
        <f>SUM(D396+D399+D400+D405+D411+D412+D424+D427+D428+D429)</f>
        <v>5084910</v>
      </c>
      <c r="E430" s="94">
        <f t="shared" ref="E430:G430" si="85">SUM(E399,E400,E405,E411,E412,E424,E427,E428,E429,E396)</f>
        <v>0</v>
      </c>
      <c r="F430" s="94">
        <f t="shared" si="85"/>
        <v>117900</v>
      </c>
      <c r="G430" s="94">
        <f t="shared" si="85"/>
        <v>0</v>
      </c>
      <c r="H430" s="94">
        <f>SUM(H399,H400,H405,H411,H412,H424,H427,H428,H429,H396)</f>
        <v>0</v>
      </c>
      <c r="I430" s="94">
        <f>SUM(I399,I400,I405,I411,I412,I424,I427,I428,I429,I396)</f>
        <v>0</v>
      </c>
      <c r="J430" s="94">
        <f>SUM(J399,J400,J405,J411,J412,J424,J427,J428,J429,J396)</f>
        <v>0</v>
      </c>
      <c r="K430" s="94">
        <f t="shared" ref="K430:L430" si="86">SUM(K399,K400,K405,K411,K412,K424,K427,K428,K429,K396)</f>
        <v>0</v>
      </c>
      <c r="L430" s="94">
        <f t="shared" si="86"/>
        <v>0</v>
      </c>
      <c r="M430" s="94">
        <f t="shared" ref="M430:Q430" si="87">SUM(M399,M400,M405,M411,M412,M424,M427,M428,M429,M396)</f>
        <v>5202810</v>
      </c>
      <c r="N430" s="94">
        <f t="shared" si="87"/>
        <v>0</v>
      </c>
      <c r="O430" s="94">
        <f t="shared" si="87"/>
        <v>0</v>
      </c>
      <c r="P430" s="94">
        <f t="shared" si="87"/>
        <v>0</v>
      </c>
      <c r="Q430" s="94">
        <f t="shared" si="87"/>
        <v>0</v>
      </c>
      <c r="R430" s="94"/>
      <c r="S430" s="94"/>
      <c r="T430" s="94">
        <f t="shared" si="78"/>
        <v>5202810</v>
      </c>
      <c r="U430" s="95">
        <f>SUM(U399,U400,U405,U411,U412,U424,U427,U428,U429,U396)</f>
        <v>3323662</v>
      </c>
      <c r="V430" s="93">
        <f t="shared" si="76"/>
        <v>1879148</v>
      </c>
    </row>
    <row r="431" spans="1:22" x14ac:dyDescent="0.25">
      <c r="A431" s="136" t="s">
        <v>70</v>
      </c>
      <c r="B431" s="139" t="s">
        <v>71</v>
      </c>
      <c r="C431" s="75" t="s">
        <v>49</v>
      </c>
      <c r="D431" s="22">
        <v>0</v>
      </c>
      <c r="E431" s="22"/>
      <c r="F431" s="22"/>
      <c r="G431" s="22"/>
      <c r="H431" s="22"/>
      <c r="I431" s="22"/>
      <c r="J431" s="22"/>
      <c r="K431" s="22"/>
      <c r="L431" s="22"/>
      <c r="M431" s="22">
        <f>D431+E431+F431+G431+H431+J431+I431</f>
        <v>0</v>
      </c>
      <c r="N431" s="22"/>
      <c r="O431" s="22"/>
      <c r="P431" s="22"/>
      <c r="Q431" s="22"/>
      <c r="R431" s="22"/>
      <c r="S431" s="22"/>
      <c r="T431" s="22">
        <f t="shared" si="78"/>
        <v>0</v>
      </c>
      <c r="U431" s="35">
        <v>0</v>
      </c>
      <c r="V431" s="39">
        <f t="shared" si="76"/>
        <v>0</v>
      </c>
    </row>
    <row r="432" spans="1:22" x14ac:dyDescent="0.25">
      <c r="A432" s="136"/>
      <c r="B432" s="150"/>
      <c r="C432" s="34" t="s">
        <v>40</v>
      </c>
      <c r="D432" s="22">
        <v>978360</v>
      </c>
      <c r="E432" s="22">
        <v>-35000</v>
      </c>
      <c r="F432" s="22"/>
      <c r="G432" s="22"/>
      <c r="H432" s="22"/>
      <c r="I432" s="22"/>
      <c r="J432" s="22"/>
      <c r="K432" s="22"/>
      <c r="L432" s="22"/>
      <c r="M432" s="22">
        <f>D432+E432+F432+G432+H432+J432+I432</f>
        <v>943360</v>
      </c>
      <c r="N432" s="22">
        <v>-864</v>
      </c>
      <c r="O432" s="22"/>
      <c r="P432" s="22"/>
      <c r="Q432" s="22"/>
      <c r="R432" s="22"/>
      <c r="S432" s="22"/>
      <c r="T432" s="22">
        <f t="shared" si="78"/>
        <v>942496</v>
      </c>
      <c r="U432" s="35">
        <v>551329</v>
      </c>
      <c r="V432" s="37">
        <f t="shared" si="76"/>
        <v>391167</v>
      </c>
    </row>
    <row r="433" spans="1:23" x14ac:dyDescent="0.25">
      <c r="A433" s="136"/>
      <c r="B433" s="150"/>
      <c r="C433" s="34" t="s">
        <v>51</v>
      </c>
      <c r="D433" s="22">
        <v>0</v>
      </c>
      <c r="E433" s="22">
        <v>35000</v>
      </c>
      <c r="F433" s="22"/>
      <c r="G433" s="22"/>
      <c r="H433" s="22"/>
      <c r="I433" s="22"/>
      <c r="J433" s="22"/>
      <c r="K433" s="22"/>
      <c r="L433" s="22"/>
      <c r="M433" s="22">
        <f>D433+E433+F433+G433+H433+J433+I433</f>
        <v>35000</v>
      </c>
      <c r="N433" s="22">
        <v>864</v>
      </c>
      <c r="O433" s="22"/>
      <c r="P433" s="22"/>
      <c r="Q433" s="22"/>
      <c r="R433" s="22"/>
      <c r="S433" s="22"/>
      <c r="T433" s="22">
        <f t="shared" si="78"/>
        <v>35864</v>
      </c>
      <c r="U433" s="35">
        <v>34102</v>
      </c>
      <c r="V433" s="37">
        <f t="shared" si="76"/>
        <v>1762</v>
      </c>
    </row>
    <row r="434" spans="1:23" x14ac:dyDescent="0.25">
      <c r="A434" s="136"/>
      <c r="B434" s="150"/>
      <c r="C434" s="83" t="s">
        <v>41</v>
      </c>
      <c r="D434" s="84">
        <f>SUM(D431:D433)</f>
        <v>978360</v>
      </c>
      <c r="E434" s="84">
        <f t="shared" ref="E434:L434" si="88">SUM(E431:E433)</f>
        <v>0</v>
      </c>
      <c r="F434" s="84">
        <f t="shared" si="88"/>
        <v>0</v>
      </c>
      <c r="G434" s="84">
        <f t="shared" si="88"/>
        <v>0</v>
      </c>
      <c r="H434" s="84">
        <f t="shared" si="88"/>
        <v>0</v>
      </c>
      <c r="I434" s="84">
        <f t="shared" si="88"/>
        <v>0</v>
      </c>
      <c r="J434" s="84">
        <f t="shared" si="88"/>
        <v>0</v>
      </c>
      <c r="K434" s="84">
        <f t="shared" si="88"/>
        <v>0</v>
      </c>
      <c r="L434" s="84">
        <f t="shared" si="88"/>
        <v>0</v>
      </c>
      <c r="M434" s="84">
        <f>SUM(M431:M433)</f>
        <v>978360</v>
      </c>
      <c r="N434" s="84">
        <f t="shared" ref="N434:Q434" si="89">SUM(N431:N433)</f>
        <v>0</v>
      </c>
      <c r="O434" s="84">
        <f t="shared" si="89"/>
        <v>0</v>
      </c>
      <c r="P434" s="84">
        <f t="shared" si="89"/>
        <v>0</v>
      </c>
      <c r="Q434" s="84">
        <f t="shared" si="89"/>
        <v>0</v>
      </c>
      <c r="R434" s="84"/>
      <c r="S434" s="84"/>
      <c r="T434" s="84">
        <f t="shared" si="78"/>
        <v>978360</v>
      </c>
      <c r="U434" s="85">
        <f t="shared" ref="U434" si="90">SUM(U431:U433)</f>
        <v>585431</v>
      </c>
      <c r="V434" s="86">
        <f t="shared" si="76"/>
        <v>392929</v>
      </c>
    </row>
    <row r="435" spans="1:23" x14ac:dyDescent="0.25">
      <c r="A435" s="136"/>
      <c r="B435" s="150"/>
      <c r="C435" s="87" t="s">
        <v>42</v>
      </c>
      <c r="D435" s="88">
        <v>75823</v>
      </c>
      <c r="E435" s="88"/>
      <c r="F435" s="88"/>
      <c r="G435" s="88"/>
      <c r="H435" s="88"/>
      <c r="I435" s="88"/>
      <c r="J435" s="88"/>
      <c r="K435" s="88"/>
      <c r="L435" s="88"/>
      <c r="M435" s="89">
        <f>D435+E435+F435+G435+H435+J435</f>
        <v>75823</v>
      </c>
      <c r="N435" s="89"/>
      <c r="O435" s="89"/>
      <c r="P435" s="89"/>
      <c r="Q435" s="89"/>
      <c r="R435" s="89"/>
      <c r="S435" s="89"/>
      <c r="T435" s="89">
        <f t="shared" si="78"/>
        <v>75823</v>
      </c>
      <c r="U435" s="90">
        <v>53981</v>
      </c>
      <c r="V435" s="91">
        <f t="shared" si="76"/>
        <v>21842</v>
      </c>
    </row>
    <row r="436" spans="1:23" x14ac:dyDescent="0.25">
      <c r="A436" s="136"/>
      <c r="B436" s="150"/>
      <c r="C436" s="34" t="s">
        <v>43</v>
      </c>
      <c r="D436" s="22">
        <v>0</v>
      </c>
      <c r="E436" s="22"/>
      <c r="F436" s="22"/>
      <c r="G436" s="22"/>
      <c r="H436" s="22"/>
      <c r="I436" s="22"/>
      <c r="J436" s="22"/>
      <c r="K436" s="22"/>
      <c r="L436" s="22"/>
      <c r="M436" s="22">
        <f>D436+E436+F436+G436+H436+J436+I436</f>
        <v>0</v>
      </c>
      <c r="N436" s="22"/>
      <c r="O436" s="22"/>
      <c r="P436" s="22"/>
      <c r="Q436" s="22"/>
      <c r="R436" s="22"/>
      <c r="S436" s="22"/>
      <c r="T436" s="22">
        <f t="shared" si="78"/>
        <v>0</v>
      </c>
      <c r="U436" s="35">
        <v>0</v>
      </c>
      <c r="V436" s="66">
        <f t="shared" si="76"/>
        <v>0</v>
      </c>
    </row>
    <row r="437" spans="1:23" x14ac:dyDescent="0.25">
      <c r="A437" s="136"/>
      <c r="B437" s="150"/>
      <c r="C437" s="34" t="s">
        <v>53</v>
      </c>
      <c r="D437" s="22">
        <v>0</v>
      </c>
      <c r="E437" s="22"/>
      <c r="F437" s="22"/>
      <c r="G437" s="22"/>
      <c r="H437" s="22"/>
      <c r="I437" s="22"/>
      <c r="J437" s="22"/>
      <c r="K437" s="22"/>
      <c r="L437" s="22"/>
      <c r="M437" s="22">
        <f>D437+E437+F437+G437+H437+J437+I437</f>
        <v>0</v>
      </c>
      <c r="N437" s="22"/>
      <c r="O437" s="22"/>
      <c r="P437" s="22"/>
      <c r="Q437" s="22"/>
      <c r="R437" s="22"/>
      <c r="S437" s="22"/>
      <c r="T437" s="22">
        <f t="shared" si="78"/>
        <v>0</v>
      </c>
      <c r="U437" s="35">
        <v>0</v>
      </c>
      <c r="V437" s="66">
        <f t="shared" si="76"/>
        <v>0</v>
      </c>
    </row>
    <row r="438" spans="1:23" x14ac:dyDescent="0.25">
      <c r="A438" s="136"/>
      <c r="B438" s="150"/>
      <c r="C438" s="34" t="s">
        <v>44</v>
      </c>
      <c r="D438" s="22">
        <v>0</v>
      </c>
      <c r="E438" s="22"/>
      <c r="F438" s="22"/>
      <c r="G438" s="22"/>
      <c r="H438" s="22"/>
      <c r="I438" s="22"/>
      <c r="J438" s="22"/>
      <c r="K438" s="22"/>
      <c r="L438" s="22"/>
      <c r="M438" s="22">
        <f>D438+E438+F438+G438+H438+J438+I438</f>
        <v>0</v>
      </c>
      <c r="N438" s="22"/>
      <c r="O438" s="22"/>
      <c r="P438" s="22"/>
      <c r="Q438" s="22"/>
      <c r="R438" s="22"/>
      <c r="S438" s="22"/>
      <c r="T438" s="22">
        <f t="shared" si="78"/>
        <v>0</v>
      </c>
      <c r="U438" s="35">
        <v>0</v>
      </c>
      <c r="V438" s="66">
        <f t="shared" si="76"/>
        <v>0</v>
      </c>
      <c r="W438" s="18"/>
    </row>
    <row r="439" spans="1:23" x14ac:dyDescent="0.25">
      <c r="A439" s="136"/>
      <c r="B439" s="150"/>
      <c r="C439" s="34" t="s">
        <v>45</v>
      </c>
      <c r="D439" s="22">
        <v>0</v>
      </c>
      <c r="E439" s="22"/>
      <c r="F439" s="22"/>
      <c r="G439" s="22"/>
      <c r="H439" s="22"/>
      <c r="I439" s="22"/>
      <c r="J439" s="22"/>
      <c r="K439" s="22"/>
      <c r="L439" s="22"/>
      <c r="M439" s="22">
        <f>D439+E439+F439+G439+H439+J439+I439</f>
        <v>0</v>
      </c>
      <c r="N439" s="22"/>
      <c r="O439" s="22"/>
      <c r="P439" s="22"/>
      <c r="Q439" s="22"/>
      <c r="R439" s="22"/>
      <c r="S439" s="22"/>
      <c r="T439" s="22">
        <f t="shared" si="78"/>
        <v>0</v>
      </c>
      <c r="U439" s="35">
        <v>0</v>
      </c>
      <c r="V439" s="66">
        <f t="shared" si="76"/>
        <v>0</v>
      </c>
      <c r="W439" s="18"/>
    </row>
    <row r="440" spans="1:23" x14ac:dyDescent="0.25">
      <c r="A440" s="136"/>
      <c r="B440" s="151"/>
      <c r="C440" s="83" t="s">
        <v>46</v>
      </c>
      <c r="D440" s="84">
        <f>SUM(D436:D439)</f>
        <v>0</v>
      </c>
      <c r="E440" s="84">
        <f t="shared" ref="E440:U440" si="91">SUM(E436:E439)</f>
        <v>0</v>
      </c>
      <c r="F440" s="84">
        <f t="shared" si="91"/>
        <v>0</v>
      </c>
      <c r="G440" s="84">
        <f t="shared" si="91"/>
        <v>0</v>
      </c>
      <c r="H440" s="84">
        <f t="shared" si="91"/>
        <v>0</v>
      </c>
      <c r="I440" s="84">
        <f t="shared" si="91"/>
        <v>0</v>
      </c>
      <c r="J440" s="84">
        <f t="shared" si="91"/>
        <v>0</v>
      </c>
      <c r="K440" s="84">
        <f t="shared" si="91"/>
        <v>0</v>
      </c>
      <c r="L440" s="84">
        <f t="shared" si="91"/>
        <v>0</v>
      </c>
      <c r="M440" s="84">
        <f t="shared" si="91"/>
        <v>0</v>
      </c>
      <c r="N440" s="84">
        <f t="shared" si="91"/>
        <v>0</v>
      </c>
      <c r="O440" s="84">
        <f t="shared" si="91"/>
        <v>0</v>
      </c>
      <c r="P440" s="84">
        <f t="shared" si="91"/>
        <v>0</v>
      </c>
      <c r="Q440" s="84">
        <f t="shared" si="91"/>
        <v>0</v>
      </c>
      <c r="R440" s="84"/>
      <c r="S440" s="84"/>
      <c r="T440" s="84">
        <f t="shared" si="78"/>
        <v>0</v>
      </c>
      <c r="U440" s="85">
        <f t="shared" si="91"/>
        <v>0</v>
      </c>
      <c r="V440" s="85">
        <f t="shared" si="76"/>
        <v>0</v>
      </c>
      <c r="W440" s="18"/>
    </row>
    <row r="441" spans="1:23" x14ac:dyDescent="0.25">
      <c r="A441" s="136"/>
      <c r="B441" s="138" t="s">
        <v>18</v>
      </c>
      <c r="C441" s="34" t="s">
        <v>40</v>
      </c>
      <c r="D441" s="22">
        <v>2772037</v>
      </c>
      <c r="E441" s="24"/>
      <c r="F441" s="22"/>
      <c r="G441" s="22"/>
      <c r="H441" s="22"/>
      <c r="I441" s="22"/>
      <c r="J441" s="22"/>
      <c r="K441" s="22"/>
      <c r="L441" s="22"/>
      <c r="M441" s="22">
        <f t="shared" ref="M441:M446" si="92">D441+E441+F441+G441+H441+J441+I441</f>
        <v>2772037</v>
      </c>
      <c r="N441" s="22"/>
      <c r="O441" s="22"/>
      <c r="P441" s="22"/>
      <c r="Q441" s="22"/>
      <c r="R441" s="22"/>
      <c r="S441" s="22"/>
      <c r="T441" s="22">
        <f t="shared" si="78"/>
        <v>2772037</v>
      </c>
      <c r="U441" s="35">
        <v>1806304</v>
      </c>
      <c r="V441" s="35">
        <f t="shared" si="76"/>
        <v>965733</v>
      </c>
      <c r="W441" s="18"/>
    </row>
    <row r="442" spans="1:23" x14ac:dyDescent="0.25">
      <c r="A442" s="136"/>
      <c r="B442" s="138"/>
      <c r="C442" s="34" t="s">
        <v>47</v>
      </c>
      <c r="D442" s="22">
        <v>100000</v>
      </c>
      <c r="E442" s="25"/>
      <c r="F442" s="22"/>
      <c r="G442" s="22"/>
      <c r="H442" s="22"/>
      <c r="I442" s="22"/>
      <c r="J442" s="22"/>
      <c r="K442" s="22"/>
      <c r="L442" s="22"/>
      <c r="M442" s="22">
        <f t="shared" si="92"/>
        <v>100000</v>
      </c>
      <c r="N442" s="22"/>
      <c r="O442" s="22"/>
      <c r="P442" s="22"/>
      <c r="Q442" s="22"/>
      <c r="R442" s="22"/>
      <c r="S442" s="22"/>
      <c r="T442" s="22">
        <f t="shared" si="78"/>
        <v>100000</v>
      </c>
      <c r="U442" s="35">
        <v>50000</v>
      </c>
      <c r="V442" s="37">
        <f t="shared" si="76"/>
        <v>50000</v>
      </c>
      <c r="W442" s="18"/>
    </row>
    <row r="443" spans="1:23" x14ac:dyDescent="0.25">
      <c r="A443" s="136"/>
      <c r="B443" s="138"/>
      <c r="C443" s="34" t="s">
        <v>48</v>
      </c>
      <c r="D443" s="22">
        <v>10000</v>
      </c>
      <c r="E443" s="25"/>
      <c r="F443" s="22"/>
      <c r="G443" s="22"/>
      <c r="H443" s="22"/>
      <c r="I443" s="22"/>
      <c r="J443" s="22"/>
      <c r="K443" s="22"/>
      <c r="L443" s="22"/>
      <c r="M443" s="22">
        <f t="shared" si="92"/>
        <v>10000</v>
      </c>
      <c r="N443" s="22"/>
      <c r="O443" s="22"/>
      <c r="P443" s="22"/>
      <c r="Q443" s="22"/>
      <c r="R443" s="22"/>
      <c r="S443" s="22"/>
      <c r="T443" s="22">
        <f t="shared" si="78"/>
        <v>10000</v>
      </c>
      <c r="U443" s="35">
        <v>0</v>
      </c>
      <c r="V443" s="37">
        <f t="shared" si="76"/>
        <v>10000</v>
      </c>
      <c r="W443" s="18"/>
    </row>
    <row r="444" spans="1:23" x14ac:dyDescent="0.25">
      <c r="A444" s="136"/>
      <c r="B444" s="138"/>
      <c r="C444" s="34" t="s">
        <v>49</v>
      </c>
      <c r="D444" s="22">
        <v>0</v>
      </c>
      <c r="E444" s="25"/>
      <c r="F444" s="22"/>
      <c r="G444" s="22"/>
      <c r="H444" s="22"/>
      <c r="I444" s="22"/>
      <c r="J444" s="22"/>
      <c r="K444" s="22"/>
      <c r="L444" s="22"/>
      <c r="M444" s="22">
        <f t="shared" si="92"/>
        <v>0</v>
      </c>
      <c r="N444" s="22"/>
      <c r="O444" s="22"/>
      <c r="P444" s="22"/>
      <c r="Q444" s="22"/>
      <c r="R444" s="22"/>
      <c r="S444" s="22"/>
      <c r="T444" s="22">
        <f t="shared" si="78"/>
        <v>0</v>
      </c>
      <c r="U444" s="35">
        <v>0</v>
      </c>
      <c r="V444" s="66">
        <f t="shared" si="76"/>
        <v>0</v>
      </c>
      <c r="W444" s="18"/>
    </row>
    <row r="445" spans="1:23" x14ac:dyDescent="0.25">
      <c r="A445" s="136"/>
      <c r="B445" s="138"/>
      <c r="C445" s="34" t="s">
        <v>50</v>
      </c>
      <c r="D445" s="22">
        <v>12000</v>
      </c>
      <c r="E445" s="22"/>
      <c r="F445" s="22"/>
      <c r="G445" s="22"/>
      <c r="H445" s="22"/>
      <c r="I445" s="22"/>
      <c r="J445" s="22"/>
      <c r="K445" s="22"/>
      <c r="L445" s="22"/>
      <c r="M445" s="22">
        <f t="shared" si="92"/>
        <v>12000</v>
      </c>
      <c r="N445" s="22"/>
      <c r="O445" s="22"/>
      <c r="P445" s="22"/>
      <c r="Q445" s="22"/>
      <c r="R445" s="22"/>
      <c r="S445" s="22"/>
      <c r="T445" s="22">
        <f t="shared" si="78"/>
        <v>12000</v>
      </c>
      <c r="U445" s="35">
        <v>6000</v>
      </c>
      <c r="V445" s="37">
        <f t="shared" si="76"/>
        <v>6000</v>
      </c>
      <c r="W445" s="18"/>
    </row>
    <row r="446" spans="1:23" x14ac:dyDescent="0.25">
      <c r="A446" s="136"/>
      <c r="B446" s="138"/>
      <c r="C446" s="34" t="s">
        <v>51</v>
      </c>
      <c r="D446" s="22">
        <v>0</v>
      </c>
      <c r="E446" s="25"/>
      <c r="F446" s="22"/>
      <c r="G446" s="22"/>
      <c r="H446" s="22"/>
      <c r="I446" s="22"/>
      <c r="J446" s="22"/>
      <c r="K446" s="22"/>
      <c r="L446" s="22"/>
      <c r="M446" s="22">
        <f t="shared" si="92"/>
        <v>0</v>
      </c>
      <c r="N446" s="22"/>
      <c r="O446" s="22"/>
      <c r="P446" s="22"/>
      <c r="Q446" s="22"/>
      <c r="R446" s="22"/>
      <c r="S446" s="22"/>
      <c r="T446" s="22">
        <f t="shared" si="78"/>
        <v>0</v>
      </c>
      <c r="U446" s="35">
        <v>0</v>
      </c>
      <c r="V446" s="39">
        <f t="shared" si="76"/>
        <v>0</v>
      </c>
      <c r="W446" s="18"/>
    </row>
    <row r="447" spans="1:23" x14ac:dyDescent="0.25">
      <c r="A447" s="136"/>
      <c r="B447" s="138"/>
      <c r="C447" s="83" t="s">
        <v>41</v>
      </c>
      <c r="D447" s="84">
        <f>SUM(D441:D446)</f>
        <v>2894037</v>
      </c>
      <c r="E447" s="84">
        <f t="shared" ref="E447:U447" si="93">SUM(E441:E446)</f>
        <v>0</v>
      </c>
      <c r="F447" s="84">
        <f t="shared" si="93"/>
        <v>0</v>
      </c>
      <c r="G447" s="84">
        <f t="shared" si="93"/>
        <v>0</v>
      </c>
      <c r="H447" s="84">
        <f t="shared" si="93"/>
        <v>0</v>
      </c>
      <c r="I447" s="84">
        <f t="shared" si="93"/>
        <v>0</v>
      </c>
      <c r="J447" s="84">
        <f t="shared" si="93"/>
        <v>0</v>
      </c>
      <c r="K447" s="84">
        <f t="shared" si="93"/>
        <v>0</v>
      </c>
      <c r="L447" s="84">
        <f t="shared" si="93"/>
        <v>0</v>
      </c>
      <c r="M447" s="84">
        <f t="shared" si="93"/>
        <v>2894037</v>
      </c>
      <c r="N447" s="84">
        <f t="shared" si="93"/>
        <v>0</v>
      </c>
      <c r="O447" s="84">
        <f t="shared" si="93"/>
        <v>0</v>
      </c>
      <c r="P447" s="84">
        <f t="shared" si="93"/>
        <v>0</v>
      </c>
      <c r="Q447" s="84">
        <f t="shared" si="93"/>
        <v>0</v>
      </c>
      <c r="R447" s="84"/>
      <c r="S447" s="84"/>
      <c r="T447" s="84">
        <f t="shared" si="78"/>
        <v>2894037</v>
      </c>
      <c r="U447" s="85">
        <f t="shared" si="93"/>
        <v>1862304</v>
      </c>
      <c r="V447" s="86">
        <f t="shared" si="76"/>
        <v>1031733</v>
      </c>
      <c r="W447" s="18"/>
    </row>
    <row r="448" spans="1:23" x14ac:dyDescent="0.25">
      <c r="A448" s="136"/>
      <c r="B448" s="138"/>
      <c r="C448" s="87" t="s">
        <v>42</v>
      </c>
      <c r="D448" s="88">
        <v>455826</v>
      </c>
      <c r="E448" s="88"/>
      <c r="F448" s="88"/>
      <c r="G448" s="88"/>
      <c r="H448" s="88"/>
      <c r="I448" s="88"/>
      <c r="J448" s="88"/>
      <c r="K448" s="88"/>
      <c r="L448" s="88"/>
      <c r="M448" s="89">
        <f>D448+E448+F448+G448+H448+J448</f>
        <v>455826</v>
      </c>
      <c r="N448" s="89"/>
      <c r="O448" s="89"/>
      <c r="P448" s="89"/>
      <c r="Q448" s="89"/>
      <c r="R448" s="89"/>
      <c r="S448" s="89"/>
      <c r="T448" s="89">
        <f t="shared" si="78"/>
        <v>455826</v>
      </c>
      <c r="U448" s="90">
        <v>278749</v>
      </c>
      <c r="V448" s="91">
        <f t="shared" si="76"/>
        <v>177077</v>
      </c>
      <c r="W448" s="18"/>
    </row>
    <row r="449" spans="1:23" x14ac:dyDescent="0.25">
      <c r="A449" s="136"/>
      <c r="B449" s="138"/>
      <c r="C449" s="34" t="s">
        <v>43</v>
      </c>
      <c r="D449" s="22">
        <v>15000</v>
      </c>
      <c r="E449" s="22"/>
      <c r="F449" s="22"/>
      <c r="G449" s="22"/>
      <c r="H449" s="22"/>
      <c r="I449" s="22"/>
      <c r="J449" s="22"/>
      <c r="K449" s="22"/>
      <c r="L449" s="22"/>
      <c r="M449" s="22">
        <f t="shared" ref="M449:M459" si="94">D449+E449+F449+G449+H449+J449+I449</f>
        <v>15000</v>
      </c>
      <c r="N449" s="22"/>
      <c r="O449" s="22"/>
      <c r="P449" s="22"/>
      <c r="Q449" s="22"/>
      <c r="R449" s="22"/>
      <c r="S449" s="22"/>
      <c r="T449" s="22">
        <f t="shared" si="78"/>
        <v>15000</v>
      </c>
      <c r="U449" s="35">
        <v>0</v>
      </c>
      <c r="V449" s="39">
        <f t="shared" si="76"/>
        <v>15000</v>
      </c>
      <c r="W449" s="18"/>
    </row>
    <row r="450" spans="1:23" x14ac:dyDescent="0.25">
      <c r="A450" s="136"/>
      <c r="B450" s="138"/>
      <c r="C450" s="34" t="s">
        <v>53</v>
      </c>
      <c r="D450" s="22">
        <v>40000</v>
      </c>
      <c r="E450" s="22">
        <v>-20000</v>
      </c>
      <c r="F450" s="22">
        <v>58307</v>
      </c>
      <c r="G450" s="22"/>
      <c r="H450" s="22"/>
      <c r="I450" s="22"/>
      <c r="J450" s="22"/>
      <c r="K450" s="22"/>
      <c r="L450" s="22"/>
      <c r="M450" s="22">
        <f t="shared" si="94"/>
        <v>78307</v>
      </c>
      <c r="N450" s="22">
        <v>-50000</v>
      </c>
      <c r="O450" s="22"/>
      <c r="P450" s="22"/>
      <c r="Q450" s="22"/>
      <c r="R450" s="22"/>
      <c r="S450" s="22"/>
      <c r="T450" s="22">
        <f t="shared" si="78"/>
        <v>28307</v>
      </c>
      <c r="U450" s="35">
        <v>9409</v>
      </c>
      <c r="V450" s="39">
        <f t="shared" si="76"/>
        <v>18898</v>
      </c>
    </row>
    <row r="451" spans="1:23" x14ac:dyDescent="0.25">
      <c r="A451" s="136"/>
      <c r="B451" s="138"/>
      <c r="C451" s="75" t="s">
        <v>54</v>
      </c>
      <c r="D451" s="22">
        <v>0</v>
      </c>
      <c r="E451" s="22"/>
      <c r="F451" s="22"/>
      <c r="G451" s="22"/>
      <c r="H451" s="22"/>
      <c r="I451" s="22"/>
      <c r="J451" s="22"/>
      <c r="K451" s="22"/>
      <c r="L451" s="22"/>
      <c r="M451" s="22">
        <f t="shared" si="94"/>
        <v>0</v>
      </c>
      <c r="N451" s="22">
        <v>50000</v>
      </c>
      <c r="O451" s="22"/>
      <c r="P451" s="22"/>
      <c r="Q451" s="22"/>
      <c r="R451" s="22"/>
      <c r="S451" s="22"/>
      <c r="T451" s="22">
        <f t="shared" si="78"/>
        <v>50000</v>
      </c>
      <c r="U451" s="35">
        <v>50000</v>
      </c>
      <c r="V451" s="35">
        <f t="shared" si="76"/>
        <v>0</v>
      </c>
    </row>
    <row r="452" spans="1:23" x14ac:dyDescent="0.25">
      <c r="A452" s="136"/>
      <c r="B452" s="138"/>
      <c r="C452" s="34" t="s">
        <v>56</v>
      </c>
      <c r="D452" s="22">
        <v>0</v>
      </c>
      <c r="E452" s="22"/>
      <c r="F452" s="22"/>
      <c r="G452" s="22"/>
      <c r="H452" s="22"/>
      <c r="I452" s="22"/>
      <c r="J452" s="22"/>
      <c r="K452" s="22"/>
      <c r="L452" s="22"/>
      <c r="M452" s="22">
        <f t="shared" si="94"/>
        <v>0</v>
      </c>
      <c r="N452" s="22"/>
      <c r="O452" s="22"/>
      <c r="P452" s="22"/>
      <c r="Q452" s="22"/>
      <c r="R452" s="22"/>
      <c r="S452" s="22"/>
      <c r="T452" s="22">
        <f t="shared" si="78"/>
        <v>0</v>
      </c>
      <c r="U452" s="35">
        <v>0</v>
      </c>
      <c r="V452" s="37">
        <f t="shared" si="76"/>
        <v>0</v>
      </c>
    </row>
    <row r="453" spans="1:23" x14ac:dyDescent="0.25">
      <c r="A453" s="136"/>
      <c r="B453" s="138"/>
      <c r="C453" s="34" t="s">
        <v>62</v>
      </c>
      <c r="D453" s="22">
        <v>0</v>
      </c>
      <c r="E453" s="22"/>
      <c r="F453" s="22"/>
      <c r="G453" s="22"/>
      <c r="H453" s="22"/>
      <c r="I453" s="22"/>
      <c r="J453" s="22"/>
      <c r="K453" s="22"/>
      <c r="L453" s="22"/>
      <c r="M453" s="22">
        <f t="shared" si="94"/>
        <v>0</v>
      </c>
      <c r="N453" s="22"/>
      <c r="O453" s="22"/>
      <c r="P453" s="22"/>
      <c r="Q453" s="22"/>
      <c r="R453" s="22"/>
      <c r="S453" s="22"/>
      <c r="T453" s="22">
        <f t="shared" si="78"/>
        <v>0</v>
      </c>
      <c r="U453" s="35">
        <v>0</v>
      </c>
      <c r="V453" s="37">
        <f t="shared" si="76"/>
        <v>0</v>
      </c>
    </row>
    <row r="454" spans="1:23" x14ac:dyDescent="0.25">
      <c r="A454" s="136"/>
      <c r="B454" s="138"/>
      <c r="C454" s="34" t="s">
        <v>57</v>
      </c>
      <c r="D454" s="22">
        <v>981098</v>
      </c>
      <c r="E454" s="25">
        <v>20000</v>
      </c>
      <c r="F454" s="22">
        <v>50000</v>
      </c>
      <c r="G454" s="22"/>
      <c r="H454" s="22"/>
      <c r="I454" s="22"/>
      <c r="J454" s="22"/>
      <c r="K454" s="22"/>
      <c r="L454" s="22"/>
      <c r="M454" s="22">
        <f t="shared" si="94"/>
        <v>1051098</v>
      </c>
      <c r="N454" s="22"/>
      <c r="O454" s="22"/>
      <c r="P454" s="22"/>
      <c r="Q454" s="22"/>
      <c r="R454" s="22"/>
      <c r="S454" s="22"/>
      <c r="T454" s="22">
        <f t="shared" si="78"/>
        <v>1051098</v>
      </c>
      <c r="U454" s="35">
        <v>1050998</v>
      </c>
      <c r="V454" s="37">
        <f t="shared" si="76"/>
        <v>100</v>
      </c>
    </row>
    <row r="455" spans="1:23" x14ac:dyDescent="0.25">
      <c r="A455" s="136"/>
      <c r="B455" s="138"/>
      <c r="C455" s="34" t="s">
        <v>44</v>
      </c>
      <c r="D455" s="22">
        <v>8400</v>
      </c>
      <c r="E455" s="25"/>
      <c r="F455" s="22"/>
      <c r="G455" s="22"/>
      <c r="H455" s="22"/>
      <c r="I455" s="22"/>
      <c r="J455" s="22"/>
      <c r="K455" s="22"/>
      <c r="L455" s="22"/>
      <c r="M455" s="22">
        <f t="shared" si="94"/>
        <v>8400</v>
      </c>
      <c r="N455" s="22"/>
      <c r="O455" s="22"/>
      <c r="P455" s="22"/>
      <c r="Q455" s="22"/>
      <c r="R455" s="22"/>
      <c r="S455" s="22"/>
      <c r="T455" s="22">
        <f t="shared" si="78"/>
        <v>8400</v>
      </c>
      <c r="U455" s="35">
        <v>2100</v>
      </c>
      <c r="V455" s="37">
        <f t="shared" si="76"/>
        <v>6300</v>
      </c>
    </row>
    <row r="456" spans="1:23" x14ac:dyDescent="0.25">
      <c r="A456" s="136"/>
      <c r="B456" s="138"/>
      <c r="C456" s="34" t="s">
        <v>58</v>
      </c>
      <c r="D456" s="22">
        <v>0</v>
      </c>
      <c r="E456" s="25"/>
      <c r="F456" s="22"/>
      <c r="G456" s="22"/>
      <c r="H456" s="22"/>
      <c r="I456" s="22"/>
      <c r="J456" s="22"/>
      <c r="K456" s="22"/>
      <c r="L456" s="22">
        <f>-20000+20000</f>
        <v>0</v>
      </c>
      <c r="M456" s="22">
        <f t="shared" si="94"/>
        <v>0</v>
      </c>
      <c r="N456" s="22"/>
      <c r="O456" s="22"/>
      <c r="P456" s="22"/>
      <c r="Q456" s="22"/>
      <c r="R456" s="22"/>
      <c r="S456" s="22"/>
      <c r="T456" s="22">
        <f t="shared" si="78"/>
        <v>0</v>
      </c>
      <c r="U456" s="35">
        <v>0</v>
      </c>
      <c r="V456" s="37">
        <f t="shared" si="76"/>
        <v>0</v>
      </c>
    </row>
    <row r="457" spans="1:23" x14ac:dyDescent="0.25">
      <c r="A457" s="136"/>
      <c r="B457" s="138"/>
      <c r="C457" s="34" t="s">
        <v>59</v>
      </c>
      <c r="D457" s="22">
        <v>13000</v>
      </c>
      <c r="E457" s="25"/>
      <c r="F457" s="22"/>
      <c r="G457" s="22"/>
      <c r="H457" s="22"/>
      <c r="I457" s="22"/>
      <c r="J457" s="22"/>
      <c r="K457" s="22"/>
      <c r="L457" s="22"/>
      <c r="M457" s="22">
        <f t="shared" si="94"/>
        <v>13000</v>
      </c>
      <c r="N457" s="22"/>
      <c r="O457" s="22"/>
      <c r="P457" s="22"/>
      <c r="Q457" s="22"/>
      <c r="R457" s="22"/>
      <c r="S457" s="22"/>
      <c r="T457" s="22">
        <f t="shared" si="78"/>
        <v>13000</v>
      </c>
      <c r="U457" s="35">
        <v>5010</v>
      </c>
      <c r="V457" s="37">
        <f t="shared" ref="V457:V520" si="95">T457-U457</f>
        <v>7990</v>
      </c>
    </row>
    <row r="458" spans="1:23" x14ac:dyDescent="0.25">
      <c r="A458" s="136"/>
      <c r="B458" s="138"/>
      <c r="C458" s="34" t="s">
        <v>45</v>
      </c>
      <c r="D458" s="22">
        <v>276446</v>
      </c>
      <c r="E458" s="25"/>
      <c r="F458" s="22">
        <v>29243</v>
      </c>
      <c r="G458" s="22"/>
      <c r="H458" s="22"/>
      <c r="I458" s="22"/>
      <c r="J458" s="22"/>
      <c r="K458" s="22"/>
      <c r="L458" s="22"/>
      <c r="M458" s="22">
        <f t="shared" si="94"/>
        <v>305689</v>
      </c>
      <c r="N458" s="22"/>
      <c r="O458" s="22"/>
      <c r="P458" s="22"/>
      <c r="Q458" s="22"/>
      <c r="R458" s="22"/>
      <c r="S458" s="22"/>
      <c r="T458" s="22">
        <f t="shared" si="78"/>
        <v>305689</v>
      </c>
      <c r="U458" s="35">
        <v>299810</v>
      </c>
      <c r="V458" s="39">
        <f t="shared" si="95"/>
        <v>5879</v>
      </c>
    </row>
    <row r="459" spans="1:23" x14ac:dyDescent="0.25">
      <c r="A459" s="136"/>
      <c r="B459" s="138"/>
      <c r="C459" s="34" t="s">
        <v>60</v>
      </c>
      <c r="D459" s="22">
        <v>0</v>
      </c>
      <c r="E459" s="25"/>
      <c r="F459" s="22"/>
      <c r="G459" s="22"/>
      <c r="H459" s="22"/>
      <c r="I459" s="22"/>
      <c r="J459" s="22"/>
      <c r="K459" s="22"/>
      <c r="L459" s="22"/>
      <c r="M459" s="22">
        <f t="shared" si="94"/>
        <v>0</v>
      </c>
      <c r="N459" s="22"/>
      <c r="O459" s="22"/>
      <c r="P459" s="22"/>
      <c r="Q459" s="22"/>
      <c r="R459" s="22"/>
      <c r="S459" s="22"/>
      <c r="T459" s="22">
        <f t="shared" si="78"/>
        <v>0</v>
      </c>
      <c r="U459" s="35">
        <v>0</v>
      </c>
      <c r="V459" s="37">
        <f t="shared" si="95"/>
        <v>0</v>
      </c>
    </row>
    <row r="460" spans="1:23" x14ac:dyDescent="0.25">
      <c r="A460" s="136"/>
      <c r="B460" s="138"/>
      <c r="C460" s="83" t="s">
        <v>46</v>
      </c>
      <c r="D460" s="84">
        <f>SUM(D449:D459)</f>
        <v>1333944</v>
      </c>
      <c r="E460" s="84">
        <f t="shared" ref="E460:U460" si="96">SUM(E449:E459)</f>
        <v>0</v>
      </c>
      <c r="F460" s="84">
        <f t="shared" si="96"/>
        <v>137550</v>
      </c>
      <c r="G460" s="84">
        <f t="shared" si="96"/>
        <v>0</v>
      </c>
      <c r="H460" s="84">
        <f t="shared" si="96"/>
        <v>0</v>
      </c>
      <c r="I460" s="84">
        <f t="shared" si="96"/>
        <v>0</v>
      </c>
      <c r="J460" s="84">
        <f t="shared" si="96"/>
        <v>0</v>
      </c>
      <c r="K460" s="84">
        <f t="shared" si="96"/>
        <v>0</v>
      </c>
      <c r="L460" s="84">
        <f t="shared" si="96"/>
        <v>0</v>
      </c>
      <c r="M460" s="84">
        <f t="shared" si="96"/>
        <v>1471494</v>
      </c>
      <c r="N460" s="84">
        <f t="shared" si="96"/>
        <v>0</v>
      </c>
      <c r="O460" s="84">
        <f t="shared" si="96"/>
        <v>0</v>
      </c>
      <c r="P460" s="84">
        <f t="shared" si="96"/>
        <v>0</v>
      </c>
      <c r="Q460" s="84">
        <f t="shared" si="96"/>
        <v>0</v>
      </c>
      <c r="R460" s="84"/>
      <c r="S460" s="84"/>
      <c r="T460" s="84">
        <f t="shared" ref="T460:T523" si="97">SUM(M460:S460)</f>
        <v>1471494</v>
      </c>
      <c r="U460" s="85">
        <f t="shared" si="96"/>
        <v>1417327</v>
      </c>
      <c r="V460" s="86">
        <f t="shared" si="95"/>
        <v>54167</v>
      </c>
    </row>
    <row r="461" spans="1:23" x14ac:dyDescent="0.25">
      <c r="A461" s="137" t="s">
        <v>93</v>
      </c>
      <c r="B461" s="139" t="s">
        <v>18</v>
      </c>
      <c r="C461" s="34" t="s">
        <v>40</v>
      </c>
      <c r="D461" s="22">
        <v>259416</v>
      </c>
      <c r="E461" s="22"/>
      <c r="F461" s="22"/>
      <c r="G461" s="22"/>
      <c r="H461" s="22"/>
      <c r="I461" s="22"/>
      <c r="J461" s="22"/>
      <c r="K461" s="22"/>
      <c r="L461" s="22"/>
      <c r="M461" s="22">
        <f>D461+E461+F461+G461+H461+J461+I461+K461</f>
        <v>259416</v>
      </c>
      <c r="N461" s="22"/>
      <c r="O461" s="22"/>
      <c r="P461" s="22"/>
      <c r="Q461" s="22"/>
      <c r="R461" s="22"/>
      <c r="S461" s="22"/>
      <c r="T461" s="22">
        <f t="shared" si="97"/>
        <v>259416</v>
      </c>
      <c r="U461" s="35">
        <v>172946</v>
      </c>
      <c r="V461" s="37">
        <f t="shared" si="95"/>
        <v>86470</v>
      </c>
    </row>
    <row r="462" spans="1:23" x14ac:dyDescent="0.25">
      <c r="A462" s="149"/>
      <c r="B462" s="151"/>
      <c r="C462" s="34" t="s">
        <v>42</v>
      </c>
      <c r="D462" s="22">
        <v>40209</v>
      </c>
      <c r="E462" s="22"/>
      <c r="F462" s="22"/>
      <c r="G462" s="22"/>
      <c r="H462" s="22"/>
      <c r="I462" s="22"/>
      <c r="J462" s="22"/>
      <c r="K462" s="22"/>
      <c r="L462" s="22"/>
      <c r="M462" s="22">
        <f>D462+E462+F462+G462+H462+J462+I462+K462</f>
        <v>40209</v>
      </c>
      <c r="N462" s="22"/>
      <c r="O462" s="22"/>
      <c r="P462" s="22"/>
      <c r="Q462" s="22"/>
      <c r="R462" s="22"/>
      <c r="S462" s="22"/>
      <c r="T462" s="22">
        <f t="shared" si="97"/>
        <v>40209</v>
      </c>
      <c r="U462" s="35">
        <v>26346</v>
      </c>
      <c r="V462" s="39">
        <f t="shared" si="95"/>
        <v>13863</v>
      </c>
    </row>
    <row r="463" spans="1:23" x14ac:dyDescent="0.25">
      <c r="A463" s="140" t="s">
        <v>122</v>
      </c>
      <c r="B463" s="141"/>
      <c r="C463" s="142"/>
      <c r="D463" s="96">
        <f>SUM(D434+D435+D440+D447+D448+D460+D461+D462)</f>
        <v>6037615</v>
      </c>
      <c r="E463" s="97">
        <f>E462+E461+E460+E448+E447+E440+E435+E434</f>
        <v>0</v>
      </c>
      <c r="F463" s="97">
        <f t="shared" ref="F463:Q463" si="98">F462+F461+F460+F448+F447+F440+F435+F434</f>
        <v>137550</v>
      </c>
      <c r="G463" s="97">
        <f t="shared" si="98"/>
        <v>0</v>
      </c>
      <c r="H463" s="97">
        <f t="shared" si="98"/>
        <v>0</v>
      </c>
      <c r="I463" s="97">
        <f t="shared" si="98"/>
        <v>0</v>
      </c>
      <c r="J463" s="97">
        <f t="shared" si="98"/>
        <v>0</v>
      </c>
      <c r="K463" s="97">
        <f t="shared" si="98"/>
        <v>0</v>
      </c>
      <c r="L463" s="97">
        <f t="shared" si="98"/>
        <v>0</v>
      </c>
      <c r="M463" s="97">
        <f t="shared" si="98"/>
        <v>6175165</v>
      </c>
      <c r="N463" s="97">
        <f t="shared" si="98"/>
        <v>0</v>
      </c>
      <c r="O463" s="97">
        <f t="shared" si="98"/>
        <v>0</v>
      </c>
      <c r="P463" s="97">
        <f t="shared" si="98"/>
        <v>0</v>
      </c>
      <c r="Q463" s="97">
        <f t="shared" si="98"/>
        <v>0</v>
      </c>
      <c r="R463" s="97"/>
      <c r="S463" s="97"/>
      <c r="T463" s="97">
        <f t="shared" si="97"/>
        <v>6175165</v>
      </c>
      <c r="U463" s="98">
        <f>U462+U461+U460+U448+U447+U440+U435+U434</f>
        <v>4397084</v>
      </c>
      <c r="V463" s="99">
        <f t="shared" si="95"/>
        <v>1778081</v>
      </c>
    </row>
    <row r="464" spans="1:23" x14ac:dyDescent="0.25">
      <c r="A464" s="136" t="s">
        <v>72</v>
      </c>
      <c r="B464" s="38" t="s">
        <v>6</v>
      </c>
      <c r="C464" s="34" t="s">
        <v>67</v>
      </c>
      <c r="D464" s="22">
        <v>0</v>
      </c>
      <c r="E464" s="22"/>
      <c r="F464" s="22"/>
      <c r="G464" s="22"/>
      <c r="H464" s="22"/>
      <c r="I464" s="22"/>
      <c r="J464" s="22"/>
      <c r="K464" s="22"/>
      <c r="L464" s="22"/>
      <c r="M464" s="22">
        <f>D464+E464+F464+G464+H464+J464+I464</f>
        <v>0</v>
      </c>
      <c r="N464" s="22"/>
      <c r="O464" s="22"/>
      <c r="P464" s="22"/>
      <c r="Q464" s="22"/>
      <c r="R464" s="22"/>
      <c r="S464" s="22"/>
      <c r="T464" s="22">
        <f t="shared" si="97"/>
        <v>0</v>
      </c>
      <c r="U464" s="35">
        <v>0</v>
      </c>
      <c r="V464" s="37">
        <f t="shared" si="95"/>
        <v>0</v>
      </c>
    </row>
    <row r="465" spans="1:23" x14ac:dyDescent="0.25">
      <c r="A465" s="136"/>
      <c r="B465" s="139" t="s">
        <v>39</v>
      </c>
      <c r="C465" s="34" t="s">
        <v>40</v>
      </c>
      <c r="D465" s="22">
        <v>978360</v>
      </c>
      <c r="E465" s="22"/>
      <c r="F465" s="22"/>
      <c r="G465" s="22"/>
      <c r="H465" s="22"/>
      <c r="I465" s="22"/>
      <c r="J465" s="22"/>
      <c r="K465" s="22"/>
      <c r="L465" s="22"/>
      <c r="M465" s="22">
        <f>D465+E465+F465+G465+H465+J465+I465</f>
        <v>978360</v>
      </c>
      <c r="N465" s="22"/>
      <c r="O465" s="22"/>
      <c r="P465" s="22"/>
      <c r="Q465" s="22"/>
      <c r="R465" s="22"/>
      <c r="S465" s="22"/>
      <c r="T465" s="22">
        <f t="shared" si="97"/>
        <v>978360</v>
      </c>
      <c r="U465" s="35">
        <v>669590</v>
      </c>
      <c r="V465" s="37">
        <f t="shared" si="95"/>
        <v>308770</v>
      </c>
    </row>
    <row r="466" spans="1:23" x14ac:dyDescent="0.25">
      <c r="A466" s="136"/>
      <c r="B466" s="150"/>
      <c r="C466" s="34" t="s">
        <v>51</v>
      </c>
      <c r="D466" s="22">
        <v>0</v>
      </c>
      <c r="E466" s="22"/>
      <c r="F466" s="22"/>
      <c r="G466" s="22"/>
      <c r="H466" s="22"/>
      <c r="I466" s="22"/>
      <c r="J466" s="22"/>
      <c r="K466" s="22"/>
      <c r="L466" s="22"/>
      <c r="M466" s="22">
        <f>D466+E466+F466+G466+H466+J466+I466</f>
        <v>0</v>
      </c>
      <c r="N466" s="22"/>
      <c r="O466" s="22"/>
      <c r="P466" s="22"/>
      <c r="Q466" s="22"/>
      <c r="R466" s="22"/>
      <c r="S466" s="22"/>
      <c r="T466" s="22">
        <f t="shared" si="97"/>
        <v>0</v>
      </c>
      <c r="U466" s="35">
        <v>0</v>
      </c>
      <c r="V466" s="39">
        <f t="shared" si="95"/>
        <v>0</v>
      </c>
    </row>
    <row r="467" spans="1:23" x14ac:dyDescent="0.25">
      <c r="A467" s="136"/>
      <c r="B467" s="150"/>
      <c r="C467" s="83" t="s">
        <v>41</v>
      </c>
      <c r="D467" s="84">
        <f>SUM(D465:D466)</f>
        <v>978360</v>
      </c>
      <c r="E467" s="84">
        <f t="shared" ref="E467:U467" si="99">E466+E465</f>
        <v>0</v>
      </c>
      <c r="F467" s="84">
        <f t="shared" si="99"/>
        <v>0</v>
      </c>
      <c r="G467" s="84">
        <f t="shared" si="99"/>
        <v>0</v>
      </c>
      <c r="H467" s="84">
        <f t="shared" si="99"/>
        <v>0</v>
      </c>
      <c r="I467" s="84">
        <f t="shared" si="99"/>
        <v>0</v>
      </c>
      <c r="J467" s="84">
        <f t="shared" si="99"/>
        <v>0</v>
      </c>
      <c r="K467" s="84">
        <f t="shared" si="99"/>
        <v>0</v>
      </c>
      <c r="L467" s="84">
        <f t="shared" si="99"/>
        <v>0</v>
      </c>
      <c r="M467" s="84">
        <f t="shared" si="99"/>
        <v>978360</v>
      </c>
      <c r="N467" s="84">
        <f t="shared" si="99"/>
        <v>0</v>
      </c>
      <c r="O467" s="84">
        <f t="shared" si="99"/>
        <v>0</v>
      </c>
      <c r="P467" s="84">
        <f t="shared" si="99"/>
        <v>0</v>
      </c>
      <c r="Q467" s="84">
        <f t="shared" si="99"/>
        <v>0</v>
      </c>
      <c r="R467" s="84"/>
      <c r="S467" s="84"/>
      <c r="T467" s="84">
        <f t="shared" si="97"/>
        <v>978360</v>
      </c>
      <c r="U467" s="85">
        <f t="shared" si="99"/>
        <v>669590</v>
      </c>
      <c r="V467" s="86">
        <f t="shared" si="95"/>
        <v>308770</v>
      </c>
    </row>
    <row r="468" spans="1:23" x14ac:dyDescent="0.25">
      <c r="A468" s="136"/>
      <c r="B468" s="150"/>
      <c r="C468" s="87" t="s">
        <v>42</v>
      </c>
      <c r="D468" s="88">
        <v>75823</v>
      </c>
      <c r="E468" s="88"/>
      <c r="F468" s="88"/>
      <c r="G468" s="88"/>
      <c r="H468" s="88"/>
      <c r="I468" s="88"/>
      <c r="J468" s="88"/>
      <c r="K468" s="88"/>
      <c r="L468" s="88"/>
      <c r="M468" s="89">
        <f>D468+E468+F468+G468+H468+J468</f>
        <v>75823</v>
      </c>
      <c r="N468" s="89"/>
      <c r="O468" s="89"/>
      <c r="P468" s="89"/>
      <c r="Q468" s="89"/>
      <c r="R468" s="89"/>
      <c r="S468" s="89"/>
      <c r="T468" s="89">
        <f t="shared" si="97"/>
        <v>75823</v>
      </c>
      <c r="U468" s="90">
        <v>51897</v>
      </c>
      <c r="V468" s="91">
        <f t="shared" si="95"/>
        <v>23926</v>
      </c>
    </row>
    <row r="469" spans="1:23" x14ac:dyDescent="0.25">
      <c r="A469" s="136"/>
      <c r="B469" s="150"/>
      <c r="C469" s="34" t="s">
        <v>43</v>
      </c>
      <c r="D469" s="22">
        <v>0</v>
      </c>
      <c r="E469" s="22"/>
      <c r="F469" s="22"/>
      <c r="G469" s="22"/>
      <c r="H469" s="22"/>
      <c r="I469" s="22"/>
      <c r="J469" s="22"/>
      <c r="K469" s="22"/>
      <c r="L469" s="22"/>
      <c r="M469" s="22">
        <f>D469+E469+F469+G469+H469+J469+I469</f>
        <v>0</v>
      </c>
      <c r="N469" s="22"/>
      <c r="O469" s="22"/>
      <c r="P469" s="22"/>
      <c r="Q469" s="22"/>
      <c r="R469" s="22"/>
      <c r="S469" s="22"/>
      <c r="T469" s="22">
        <f t="shared" si="97"/>
        <v>0</v>
      </c>
      <c r="U469" s="35">
        <v>0</v>
      </c>
      <c r="V469" s="66">
        <f t="shared" si="95"/>
        <v>0</v>
      </c>
      <c r="W469" s="18"/>
    </row>
    <row r="470" spans="1:23" x14ac:dyDescent="0.25">
      <c r="A470" s="136"/>
      <c r="B470" s="150"/>
      <c r="C470" s="75" t="s">
        <v>44</v>
      </c>
      <c r="D470" s="22">
        <v>0</v>
      </c>
      <c r="E470" s="22"/>
      <c r="F470" s="22"/>
      <c r="G470" s="22"/>
      <c r="H470" s="22"/>
      <c r="I470" s="22"/>
      <c r="J470" s="22"/>
      <c r="K470" s="22"/>
      <c r="L470" s="22"/>
      <c r="M470" s="22">
        <f>D470+E470+F470+G470+H470+J470+I470</f>
        <v>0</v>
      </c>
      <c r="N470" s="22"/>
      <c r="O470" s="22"/>
      <c r="P470" s="22"/>
      <c r="Q470" s="22"/>
      <c r="R470" s="22"/>
      <c r="S470" s="22"/>
      <c r="T470" s="22">
        <f t="shared" si="97"/>
        <v>0</v>
      </c>
      <c r="U470" s="35">
        <v>0</v>
      </c>
      <c r="V470" s="35">
        <f t="shared" si="95"/>
        <v>0</v>
      </c>
    </row>
    <row r="471" spans="1:23" x14ac:dyDescent="0.25">
      <c r="A471" s="136"/>
      <c r="B471" s="150"/>
      <c r="C471" s="34" t="s">
        <v>45</v>
      </c>
      <c r="D471" s="22">
        <v>0</v>
      </c>
      <c r="E471" s="22"/>
      <c r="F471" s="22"/>
      <c r="G471" s="22"/>
      <c r="H471" s="22"/>
      <c r="I471" s="22"/>
      <c r="J471" s="22"/>
      <c r="K471" s="22"/>
      <c r="L471" s="22"/>
      <c r="M471" s="22">
        <f>D471+E471+F471+G471+H471+J471+I471</f>
        <v>0</v>
      </c>
      <c r="N471" s="22"/>
      <c r="O471" s="22"/>
      <c r="P471" s="22"/>
      <c r="Q471" s="22"/>
      <c r="R471" s="22"/>
      <c r="S471" s="22"/>
      <c r="T471" s="22">
        <f t="shared" si="97"/>
        <v>0</v>
      </c>
      <c r="U471" s="35">
        <v>0</v>
      </c>
      <c r="V471" s="66">
        <f t="shared" si="95"/>
        <v>0</v>
      </c>
      <c r="W471" s="18"/>
    </row>
    <row r="472" spans="1:23" x14ac:dyDescent="0.25">
      <c r="A472" s="136"/>
      <c r="B472" s="151"/>
      <c r="C472" s="83" t="s">
        <v>46</v>
      </c>
      <c r="D472" s="84">
        <f>SUM(D469:D471)</f>
        <v>0</v>
      </c>
      <c r="E472" s="84">
        <f t="shared" ref="E472:U472" si="100">SUM(E469:E471)</f>
        <v>0</v>
      </c>
      <c r="F472" s="84">
        <f t="shared" si="100"/>
        <v>0</v>
      </c>
      <c r="G472" s="84">
        <f t="shared" si="100"/>
        <v>0</v>
      </c>
      <c r="H472" s="84">
        <f t="shared" si="100"/>
        <v>0</v>
      </c>
      <c r="I472" s="84">
        <f t="shared" si="100"/>
        <v>0</v>
      </c>
      <c r="J472" s="84">
        <f t="shared" si="100"/>
        <v>0</v>
      </c>
      <c r="K472" s="84">
        <f t="shared" si="100"/>
        <v>0</v>
      </c>
      <c r="L472" s="84">
        <f t="shared" si="100"/>
        <v>0</v>
      </c>
      <c r="M472" s="84">
        <f t="shared" si="100"/>
        <v>0</v>
      </c>
      <c r="N472" s="84">
        <f t="shared" si="100"/>
        <v>0</v>
      </c>
      <c r="O472" s="84">
        <f t="shared" si="100"/>
        <v>0</v>
      </c>
      <c r="P472" s="84">
        <f t="shared" si="100"/>
        <v>0</v>
      </c>
      <c r="Q472" s="84">
        <f t="shared" si="100"/>
        <v>0</v>
      </c>
      <c r="R472" s="84"/>
      <c r="S472" s="84"/>
      <c r="T472" s="84">
        <f t="shared" si="97"/>
        <v>0</v>
      </c>
      <c r="U472" s="85">
        <f t="shared" si="100"/>
        <v>0</v>
      </c>
      <c r="V472" s="85">
        <f t="shared" si="95"/>
        <v>0</v>
      </c>
      <c r="W472" s="18"/>
    </row>
    <row r="473" spans="1:23" x14ac:dyDescent="0.25">
      <c r="A473" s="136"/>
      <c r="B473" s="138" t="s">
        <v>18</v>
      </c>
      <c r="C473" s="34" t="s">
        <v>40</v>
      </c>
      <c r="D473" s="22">
        <v>2776557</v>
      </c>
      <c r="E473" s="22"/>
      <c r="F473" s="22"/>
      <c r="G473" s="22"/>
      <c r="H473" s="22"/>
      <c r="I473" s="22"/>
      <c r="J473" s="22"/>
      <c r="K473" s="22"/>
      <c r="L473" s="22"/>
      <c r="M473" s="22">
        <f t="shared" ref="M473:M478" si="101">D473+E473+F473+G473+H473+J473+I473</f>
        <v>2776557</v>
      </c>
      <c r="N473" s="22"/>
      <c r="O473" s="22"/>
      <c r="P473" s="22"/>
      <c r="Q473" s="22"/>
      <c r="R473" s="22"/>
      <c r="S473" s="22"/>
      <c r="T473" s="22">
        <f t="shared" si="97"/>
        <v>2776557</v>
      </c>
      <c r="U473" s="35">
        <v>1798577</v>
      </c>
      <c r="V473" s="37">
        <f t="shared" si="95"/>
        <v>977980</v>
      </c>
    </row>
    <row r="474" spans="1:23" x14ac:dyDescent="0.25">
      <c r="A474" s="136"/>
      <c r="B474" s="138"/>
      <c r="C474" s="34" t="s">
        <v>63</v>
      </c>
      <c r="D474" s="22">
        <v>0</v>
      </c>
      <c r="E474" s="22"/>
      <c r="F474" s="22"/>
      <c r="G474" s="22"/>
      <c r="H474" s="22"/>
      <c r="I474" s="22"/>
      <c r="J474" s="22"/>
      <c r="K474" s="22"/>
      <c r="L474" s="22"/>
      <c r="M474" s="22">
        <f t="shared" si="101"/>
        <v>0</v>
      </c>
      <c r="N474" s="22"/>
      <c r="O474" s="22"/>
      <c r="P474" s="22"/>
      <c r="Q474" s="22"/>
      <c r="R474" s="22"/>
      <c r="S474" s="22"/>
      <c r="T474" s="22">
        <f t="shared" si="97"/>
        <v>0</v>
      </c>
      <c r="U474" s="35">
        <v>0</v>
      </c>
      <c r="V474" s="37">
        <f t="shared" si="95"/>
        <v>0</v>
      </c>
    </row>
    <row r="475" spans="1:23" x14ac:dyDescent="0.25">
      <c r="A475" s="136"/>
      <c r="B475" s="138"/>
      <c r="C475" s="34" t="s">
        <v>47</v>
      </c>
      <c r="D475" s="22">
        <v>100000</v>
      </c>
      <c r="E475" s="22"/>
      <c r="F475" s="22"/>
      <c r="G475" s="22"/>
      <c r="H475" s="22"/>
      <c r="I475" s="22"/>
      <c r="J475" s="22"/>
      <c r="K475" s="22"/>
      <c r="L475" s="22"/>
      <c r="M475" s="22">
        <f t="shared" si="101"/>
        <v>100000</v>
      </c>
      <c r="N475" s="22"/>
      <c r="O475" s="22"/>
      <c r="P475" s="22"/>
      <c r="Q475" s="22"/>
      <c r="R475" s="22"/>
      <c r="S475" s="22"/>
      <c r="T475" s="22">
        <f t="shared" si="97"/>
        <v>100000</v>
      </c>
      <c r="U475" s="35">
        <v>50000</v>
      </c>
      <c r="V475" s="37">
        <f t="shared" si="95"/>
        <v>50000</v>
      </c>
    </row>
    <row r="476" spans="1:23" x14ac:dyDescent="0.25">
      <c r="A476" s="136"/>
      <c r="B476" s="138"/>
      <c r="C476" s="34" t="s">
        <v>48</v>
      </c>
      <c r="D476" s="22">
        <v>10000</v>
      </c>
      <c r="E476" s="22"/>
      <c r="F476" s="22"/>
      <c r="G476" s="22"/>
      <c r="H476" s="22"/>
      <c r="I476" s="22"/>
      <c r="J476" s="22"/>
      <c r="K476" s="22"/>
      <c r="L476" s="22"/>
      <c r="M476" s="22">
        <f t="shared" si="101"/>
        <v>10000</v>
      </c>
      <c r="N476" s="22"/>
      <c r="O476" s="22"/>
      <c r="P476" s="22"/>
      <c r="Q476" s="22"/>
      <c r="R476" s="22"/>
      <c r="S476" s="22"/>
      <c r="T476" s="22">
        <f t="shared" si="97"/>
        <v>10000</v>
      </c>
      <c r="U476" s="35">
        <v>0</v>
      </c>
      <c r="V476" s="37">
        <f t="shared" si="95"/>
        <v>10000</v>
      </c>
    </row>
    <row r="477" spans="1:23" x14ac:dyDescent="0.25">
      <c r="A477" s="136"/>
      <c r="B477" s="138"/>
      <c r="C477" s="34" t="s">
        <v>50</v>
      </c>
      <c r="D477" s="22">
        <v>12000</v>
      </c>
      <c r="E477" s="22"/>
      <c r="F477" s="22"/>
      <c r="G477" s="22"/>
      <c r="H477" s="22"/>
      <c r="I477" s="22"/>
      <c r="J477" s="22"/>
      <c r="K477" s="22"/>
      <c r="L477" s="22"/>
      <c r="M477" s="22">
        <f t="shared" si="101"/>
        <v>12000</v>
      </c>
      <c r="N477" s="22"/>
      <c r="O477" s="22"/>
      <c r="P477" s="22"/>
      <c r="Q477" s="22"/>
      <c r="R477" s="22"/>
      <c r="S477" s="22"/>
      <c r="T477" s="22">
        <f t="shared" si="97"/>
        <v>12000</v>
      </c>
      <c r="U477" s="35">
        <v>6000</v>
      </c>
      <c r="V477" s="37">
        <f t="shared" si="95"/>
        <v>6000</v>
      </c>
    </row>
    <row r="478" spans="1:23" x14ac:dyDescent="0.25">
      <c r="A478" s="136"/>
      <c r="B478" s="138"/>
      <c r="C478" s="34" t="s">
        <v>51</v>
      </c>
      <c r="D478" s="22">
        <v>55200</v>
      </c>
      <c r="E478" s="22"/>
      <c r="F478" s="22"/>
      <c r="G478" s="22"/>
      <c r="H478" s="22"/>
      <c r="I478" s="22"/>
      <c r="J478" s="22"/>
      <c r="K478" s="22"/>
      <c r="L478" s="22"/>
      <c r="M478" s="22">
        <f t="shared" si="101"/>
        <v>55200</v>
      </c>
      <c r="N478" s="22"/>
      <c r="O478" s="22"/>
      <c r="P478" s="22"/>
      <c r="Q478" s="22"/>
      <c r="R478" s="22"/>
      <c r="S478" s="22"/>
      <c r="T478" s="22">
        <f t="shared" si="97"/>
        <v>55200</v>
      </c>
      <c r="U478" s="35">
        <v>22400</v>
      </c>
      <c r="V478" s="37">
        <f t="shared" si="95"/>
        <v>32800</v>
      </c>
    </row>
    <row r="479" spans="1:23" x14ac:dyDescent="0.25">
      <c r="A479" s="136"/>
      <c r="B479" s="138"/>
      <c r="C479" s="83" t="s">
        <v>41</v>
      </c>
      <c r="D479" s="84">
        <f>SUM(D473:D478)</f>
        <v>2953757</v>
      </c>
      <c r="E479" s="84">
        <f t="shared" ref="E479:U479" si="102">SUM(E473:E478)</f>
        <v>0</v>
      </c>
      <c r="F479" s="84">
        <f t="shared" si="102"/>
        <v>0</v>
      </c>
      <c r="G479" s="84">
        <f t="shared" si="102"/>
        <v>0</v>
      </c>
      <c r="H479" s="84">
        <f t="shared" si="102"/>
        <v>0</v>
      </c>
      <c r="I479" s="84">
        <f t="shared" si="102"/>
        <v>0</v>
      </c>
      <c r="J479" s="84">
        <f t="shared" si="102"/>
        <v>0</v>
      </c>
      <c r="K479" s="84">
        <f t="shared" si="102"/>
        <v>0</v>
      </c>
      <c r="L479" s="84">
        <f t="shared" si="102"/>
        <v>0</v>
      </c>
      <c r="M479" s="84">
        <f t="shared" si="102"/>
        <v>2953757</v>
      </c>
      <c r="N479" s="84">
        <f t="shared" si="102"/>
        <v>0</v>
      </c>
      <c r="O479" s="84">
        <f t="shared" si="102"/>
        <v>0</v>
      </c>
      <c r="P479" s="84">
        <f t="shared" si="102"/>
        <v>0</v>
      </c>
      <c r="Q479" s="84">
        <f t="shared" si="102"/>
        <v>0</v>
      </c>
      <c r="R479" s="84"/>
      <c r="S479" s="84"/>
      <c r="T479" s="84">
        <f t="shared" si="97"/>
        <v>2953757</v>
      </c>
      <c r="U479" s="85">
        <f t="shared" si="102"/>
        <v>1876977</v>
      </c>
      <c r="V479" s="86">
        <f t="shared" si="95"/>
        <v>1076780</v>
      </c>
    </row>
    <row r="480" spans="1:23" x14ac:dyDescent="0.25">
      <c r="A480" s="136"/>
      <c r="B480" s="138"/>
      <c r="C480" s="87" t="s">
        <v>42</v>
      </c>
      <c r="D480" s="88">
        <v>465082</v>
      </c>
      <c r="E480" s="88"/>
      <c r="F480" s="88"/>
      <c r="G480" s="88"/>
      <c r="H480" s="88"/>
      <c r="I480" s="88"/>
      <c r="J480" s="88"/>
      <c r="K480" s="88"/>
      <c r="L480" s="88"/>
      <c r="M480" s="89">
        <f>D480+E480+F480+G480+H480+J480</f>
        <v>465082</v>
      </c>
      <c r="N480" s="89"/>
      <c r="O480" s="89"/>
      <c r="P480" s="89"/>
      <c r="Q480" s="89"/>
      <c r="R480" s="89"/>
      <c r="S480" s="89"/>
      <c r="T480" s="89">
        <f t="shared" si="97"/>
        <v>465082</v>
      </c>
      <c r="U480" s="90">
        <v>284152</v>
      </c>
      <c r="V480" s="91">
        <f t="shared" si="95"/>
        <v>180930</v>
      </c>
    </row>
    <row r="481" spans="1:22" x14ac:dyDescent="0.25">
      <c r="A481" s="136"/>
      <c r="B481" s="138"/>
      <c r="C481" s="34" t="s">
        <v>43</v>
      </c>
      <c r="D481" s="22">
        <v>15000</v>
      </c>
      <c r="E481" s="22"/>
      <c r="F481" s="22"/>
      <c r="G481" s="22"/>
      <c r="H481" s="22"/>
      <c r="I481" s="22"/>
      <c r="J481" s="22"/>
      <c r="K481" s="22"/>
      <c r="L481" s="22"/>
      <c r="M481" s="22">
        <f>D481+E481+F481+G481+H481+J481+I481</f>
        <v>15000</v>
      </c>
      <c r="N481" s="22"/>
      <c r="O481" s="22"/>
      <c r="P481" s="22"/>
      <c r="Q481" s="22"/>
      <c r="R481" s="22"/>
      <c r="S481" s="22"/>
      <c r="T481" s="22">
        <f t="shared" si="97"/>
        <v>15000</v>
      </c>
      <c r="U481" s="35">
        <v>0</v>
      </c>
      <c r="V481" s="39">
        <f t="shared" si="95"/>
        <v>15000</v>
      </c>
    </row>
    <row r="482" spans="1:22" x14ac:dyDescent="0.25">
      <c r="A482" s="136"/>
      <c r="B482" s="138"/>
      <c r="C482" s="34" t="s">
        <v>53</v>
      </c>
      <c r="D482" s="22">
        <v>60000</v>
      </c>
      <c r="E482" s="22"/>
      <c r="F482" s="22">
        <v>77362</v>
      </c>
      <c r="G482" s="22"/>
      <c r="H482" s="22"/>
      <c r="I482" s="22"/>
      <c r="J482" s="22"/>
      <c r="K482" s="22"/>
      <c r="L482" s="22"/>
      <c r="M482" s="22">
        <f>D482+E482+F482+G482+H482+J482+I482+K482+L482</f>
        <v>137362</v>
      </c>
      <c r="N482" s="22"/>
      <c r="O482" s="22">
        <v>19685</v>
      </c>
      <c r="P482" s="22"/>
      <c r="Q482" s="22"/>
      <c r="R482" s="22"/>
      <c r="S482" s="22"/>
      <c r="T482" s="22">
        <f t="shared" si="97"/>
        <v>157047</v>
      </c>
      <c r="U482" s="35">
        <v>76772</v>
      </c>
      <c r="V482" s="37">
        <f t="shared" si="95"/>
        <v>80275</v>
      </c>
    </row>
    <row r="483" spans="1:22" x14ac:dyDescent="0.25">
      <c r="A483" s="136"/>
      <c r="B483" s="138"/>
      <c r="C483" s="75" t="s">
        <v>55</v>
      </c>
      <c r="D483" s="22">
        <v>0</v>
      </c>
      <c r="E483" s="22"/>
      <c r="F483" s="22"/>
      <c r="G483" s="22"/>
      <c r="H483" s="22"/>
      <c r="I483" s="22"/>
      <c r="J483" s="22"/>
      <c r="K483" s="22"/>
      <c r="L483" s="22"/>
      <c r="M483" s="22">
        <f t="shared" ref="M483:M489" si="103">D483+E483+F483+G483+H483+J483+I483</f>
        <v>0</v>
      </c>
      <c r="N483" s="22"/>
      <c r="O483" s="22"/>
      <c r="P483" s="22"/>
      <c r="Q483" s="22"/>
      <c r="R483" s="22"/>
      <c r="S483" s="22"/>
      <c r="T483" s="22">
        <f t="shared" si="97"/>
        <v>0</v>
      </c>
      <c r="U483" s="35">
        <v>0</v>
      </c>
      <c r="V483" s="35">
        <f t="shared" si="95"/>
        <v>0</v>
      </c>
    </row>
    <row r="484" spans="1:22" x14ac:dyDescent="0.25">
      <c r="A484" s="136"/>
      <c r="B484" s="138"/>
      <c r="C484" s="34" t="s">
        <v>57</v>
      </c>
      <c r="D484" s="22">
        <v>0</v>
      </c>
      <c r="E484" s="22"/>
      <c r="F484" s="22"/>
      <c r="G484" s="22"/>
      <c r="H484" s="22"/>
      <c r="I484" s="22"/>
      <c r="J484" s="22"/>
      <c r="K484" s="22"/>
      <c r="L484" s="22"/>
      <c r="M484" s="22">
        <f t="shared" si="103"/>
        <v>0</v>
      </c>
      <c r="N484" s="22"/>
      <c r="O484" s="22"/>
      <c r="P484" s="22"/>
      <c r="Q484" s="22"/>
      <c r="R484" s="22"/>
      <c r="S484" s="22"/>
      <c r="T484" s="22">
        <f t="shared" si="97"/>
        <v>0</v>
      </c>
      <c r="U484" s="35">
        <v>0</v>
      </c>
      <c r="V484" s="37">
        <f t="shared" si="95"/>
        <v>0</v>
      </c>
    </row>
    <row r="485" spans="1:22" x14ac:dyDescent="0.25">
      <c r="A485" s="136"/>
      <c r="B485" s="138"/>
      <c r="C485" s="34" t="s">
        <v>44</v>
      </c>
      <c r="D485" s="22">
        <v>8400</v>
      </c>
      <c r="E485" s="22"/>
      <c r="F485" s="22"/>
      <c r="G485" s="22"/>
      <c r="H485" s="22"/>
      <c r="I485" s="22"/>
      <c r="J485" s="22"/>
      <c r="K485" s="22"/>
      <c r="L485" s="22"/>
      <c r="M485" s="22">
        <f t="shared" si="103"/>
        <v>8400</v>
      </c>
      <c r="N485" s="22"/>
      <c r="O485" s="22"/>
      <c r="P485" s="22"/>
      <c r="Q485" s="22"/>
      <c r="R485" s="22"/>
      <c r="S485" s="22"/>
      <c r="T485" s="22">
        <f t="shared" si="97"/>
        <v>8400</v>
      </c>
      <c r="U485" s="35">
        <v>2100</v>
      </c>
      <c r="V485" s="37">
        <f t="shared" si="95"/>
        <v>6300</v>
      </c>
    </row>
    <row r="486" spans="1:22" x14ac:dyDescent="0.25">
      <c r="A486" s="136"/>
      <c r="B486" s="138"/>
      <c r="C486" s="34" t="s">
        <v>58</v>
      </c>
      <c r="D486" s="22">
        <v>0</v>
      </c>
      <c r="E486" s="22"/>
      <c r="F486" s="22"/>
      <c r="G486" s="22"/>
      <c r="H486" s="22"/>
      <c r="I486" s="22"/>
      <c r="J486" s="22"/>
      <c r="K486" s="22"/>
      <c r="L486" s="22"/>
      <c r="M486" s="22">
        <f t="shared" si="103"/>
        <v>0</v>
      </c>
      <c r="N486" s="22"/>
      <c r="O486" s="22"/>
      <c r="P486" s="22"/>
      <c r="Q486" s="22"/>
      <c r="R486" s="22"/>
      <c r="S486" s="22"/>
      <c r="T486" s="22">
        <f t="shared" si="97"/>
        <v>0</v>
      </c>
      <c r="U486" s="35">
        <v>0</v>
      </c>
      <c r="V486" s="37">
        <f t="shared" si="95"/>
        <v>0</v>
      </c>
    </row>
    <row r="487" spans="1:22" x14ac:dyDescent="0.25">
      <c r="A487" s="136"/>
      <c r="B487" s="138"/>
      <c r="C487" s="34" t="s">
        <v>59</v>
      </c>
      <c r="D487" s="22">
        <v>17000</v>
      </c>
      <c r="E487" s="22"/>
      <c r="F487" s="22"/>
      <c r="G487" s="22"/>
      <c r="H487" s="22"/>
      <c r="I487" s="22"/>
      <c r="J487" s="22"/>
      <c r="K487" s="22"/>
      <c r="L487" s="22"/>
      <c r="M487" s="22">
        <f t="shared" si="103"/>
        <v>17000</v>
      </c>
      <c r="N487" s="22"/>
      <c r="O487" s="22"/>
      <c r="P487" s="22"/>
      <c r="Q487" s="22"/>
      <c r="R487" s="22"/>
      <c r="S487" s="22"/>
      <c r="T487" s="22">
        <f t="shared" si="97"/>
        <v>17000</v>
      </c>
      <c r="U487" s="35">
        <v>0</v>
      </c>
      <c r="V487" s="37">
        <f t="shared" si="95"/>
        <v>17000</v>
      </c>
    </row>
    <row r="488" spans="1:22" x14ac:dyDescent="0.25">
      <c r="A488" s="136"/>
      <c r="B488" s="138"/>
      <c r="C488" s="34" t="s">
        <v>45</v>
      </c>
      <c r="D488" s="22">
        <v>16950</v>
      </c>
      <c r="E488" s="22"/>
      <c r="F488" s="22">
        <v>20888</v>
      </c>
      <c r="G488" s="22"/>
      <c r="H488" s="22"/>
      <c r="I488" s="22"/>
      <c r="J488" s="22"/>
      <c r="K488" s="22"/>
      <c r="L488" s="22"/>
      <c r="M488" s="22">
        <f t="shared" si="103"/>
        <v>37838</v>
      </c>
      <c r="N488" s="22"/>
      <c r="O488" s="22">
        <v>5315</v>
      </c>
      <c r="P488" s="22"/>
      <c r="Q488" s="22"/>
      <c r="R488" s="22"/>
      <c r="S488" s="22"/>
      <c r="T488" s="22">
        <f t="shared" si="97"/>
        <v>43153</v>
      </c>
      <c r="U488" s="35">
        <v>20728</v>
      </c>
      <c r="V488" s="39">
        <f t="shared" si="95"/>
        <v>22425</v>
      </c>
    </row>
    <row r="489" spans="1:22" x14ac:dyDescent="0.25">
      <c r="A489" s="136"/>
      <c r="B489" s="138"/>
      <c r="C489" s="34" t="s">
        <v>60</v>
      </c>
      <c r="D489" s="22">
        <v>0</v>
      </c>
      <c r="E489" s="22"/>
      <c r="F489" s="22"/>
      <c r="G489" s="22"/>
      <c r="H489" s="22"/>
      <c r="I489" s="22"/>
      <c r="J489" s="22"/>
      <c r="K489" s="22"/>
      <c r="L489" s="22"/>
      <c r="M489" s="22">
        <f t="shared" si="103"/>
        <v>0</v>
      </c>
      <c r="N489" s="22"/>
      <c r="O489" s="22"/>
      <c r="P489" s="22"/>
      <c r="Q489" s="22"/>
      <c r="R489" s="22"/>
      <c r="S489" s="22"/>
      <c r="T489" s="22">
        <f t="shared" si="97"/>
        <v>0</v>
      </c>
      <c r="U489" s="35">
        <v>0</v>
      </c>
      <c r="V489" s="37">
        <f t="shared" si="95"/>
        <v>0</v>
      </c>
    </row>
    <row r="490" spans="1:22" x14ac:dyDescent="0.25">
      <c r="A490" s="136"/>
      <c r="B490" s="138"/>
      <c r="C490" s="83" t="s">
        <v>46</v>
      </c>
      <c r="D490" s="84">
        <f>SUM(D481:D489)</f>
        <v>117350</v>
      </c>
      <c r="E490" s="84">
        <f t="shared" ref="E490:U490" si="104">SUM(E481:E489)</f>
        <v>0</v>
      </c>
      <c r="F490" s="84">
        <f t="shared" si="104"/>
        <v>98250</v>
      </c>
      <c r="G490" s="84">
        <f t="shared" si="104"/>
        <v>0</v>
      </c>
      <c r="H490" s="84">
        <f t="shared" si="104"/>
        <v>0</v>
      </c>
      <c r="I490" s="84">
        <f t="shared" si="104"/>
        <v>0</v>
      </c>
      <c r="J490" s="84">
        <f t="shared" si="104"/>
        <v>0</v>
      </c>
      <c r="K490" s="84">
        <f t="shared" si="104"/>
        <v>0</v>
      </c>
      <c r="L490" s="84">
        <f t="shared" si="104"/>
        <v>0</v>
      </c>
      <c r="M490" s="84">
        <f t="shared" si="104"/>
        <v>215600</v>
      </c>
      <c r="N490" s="84">
        <f t="shared" si="104"/>
        <v>0</v>
      </c>
      <c r="O490" s="84">
        <f t="shared" si="104"/>
        <v>25000</v>
      </c>
      <c r="P490" s="84">
        <f t="shared" si="104"/>
        <v>0</v>
      </c>
      <c r="Q490" s="84">
        <f t="shared" si="104"/>
        <v>0</v>
      </c>
      <c r="R490" s="84"/>
      <c r="S490" s="84"/>
      <c r="T490" s="84">
        <f t="shared" si="97"/>
        <v>240600</v>
      </c>
      <c r="U490" s="85">
        <f t="shared" si="104"/>
        <v>99600</v>
      </c>
      <c r="V490" s="86">
        <f t="shared" si="95"/>
        <v>141000</v>
      </c>
    </row>
    <row r="491" spans="1:22" x14ac:dyDescent="0.25">
      <c r="A491" s="137" t="s">
        <v>94</v>
      </c>
      <c r="B491" s="139" t="s">
        <v>18</v>
      </c>
      <c r="C491" s="34" t="s">
        <v>40</v>
      </c>
      <c r="D491" s="22">
        <v>634452</v>
      </c>
      <c r="E491" s="22"/>
      <c r="F491" s="22"/>
      <c r="G491" s="22"/>
      <c r="H491" s="22"/>
      <c r="I491" s="22"/>
      <c r="J491" s="22"/>
      <c r="K491" s="22"/>
      <c r="L491" s="22"/>
      <c r="M491" s="22">
        <f>D491+E491+F491+G491+H491+J491+I491+K491</f>
        <v>634452</v>
      </c>
      <c r="N491" s="22"/>
      <c r="O491" s="22"/>
      <c r="P491" s="22"/>
      <c r="Q491" s="22"/>
      <c r="R491" s="22"/>
      <c r="S491" s="22"/>
      <c r="T491" s="22">
        <f t="shared" si="97"/>
        <v>634452</v>
      </c>
      <c r="U491" s="35">
        <v>422969</v>
      </c>
      <c r="V491" s="37">
        <f t="shared" si="95"/>
        <v>211483</v>
      </c>
    </row>
    <row r="492" spans="1:22" x14ac:dyDescent="0.25">
      <c r="A492" s="149"/>
      <c r="B492" s="151"/>
      <c r="C492" s="34" t="s">
        <v>42</v>
      </c>
      <c r="D492" s="22">
        <v>98340</v>
      </c>
      <c r="E492" s="22"/>
      <c r="F492" s="22"/>
      <c r="G492" s="22"/>
      <c r="H492" s="22"/>
      <c r="I492" s="22"/>
      <c r="J492" s="22"/>
      <c r="K492" s="22"/>
      <c r="L492" s="22"/>
      <c r="M492" s="22">
        <f>D492+E492+F492+G492+H492+J492+I492+K492</f>
        <v>98340</v>
      </c>
      <c r="N492" s="22"/>
      <c r="O492" s="22"/>
      <c r="P492" s="22"/>
      <c r="Q492" s="22"/>
      <c r="R492" s="22"/>
      <c r="S492" s="22"/>
      <c r="T492" s="22">
        <f t="shared" si="97"/>
        <v>98340</v>
      </c>
      <c r="U492" s="35">
        <v>64239</v>
      </c>
      <c r="V492" s="37">
        <f t="shared" si="95"/>
        <v>34101</v>
      </c>
    </row>
    <row r="493" spans="1:22" x14ac:dyDescent="0.25">
      <c r="A493" s="137" t="s">
        <v>95</v>
      </c>
      <c r="B493" s="139" t="s">
        <v>18</v>
      </c>
      <c r="C493" s="34" t="s">
        <v>51</v>
      </c>
      <c r="D493" s="22">
        <v>0</v>
      </c>
      <c r="E493" s="22"/>
      <c r="F493" s="22"/>
      <c r="G493" s="22"/>
      <c r="H493" s="22"/>
      <c r="I493" s="22"/>
      <c r="J493" s="22"/>
      <c r="K493" s="22"/>
      <c r="L493" s="22"/>
      <c r="M493" s="22">
        <f>D493+E493+F493+G493+H493+J493+I493+K493</f>
        <v>0</v>
      </c>
      <c r="N493" s="22"/>
      <c r="O493" s="22"/>
      <c r="P493" s="22"/>
      <c r="Q493" s="22"/>
      <c r="R493" s="22"/>
      <c r="S493" s="22"/>
      <c r="T493" s="22">
        <f t="shared" si="97"/>
        <v>0</v>
      </c>
      <c r="U493" s="35">
        <v>0</v>
      </c>
      <c r="V493" s="37">
        <f t="shared" si="95"/>
        <v>0</v>
      </c>
    </row>
    <row r="494" spans="1:22" x14ac:dyDescent="0.25">
      <c r="A494" s="149"/>
      <c r="B494" s="151"/>
      <c r="C494" s="34" t="s">
        <v>42</v>
      </c>
      <c r="D494" s="22">
        <v>0</v>
      </c>
      <c r="E494" s="22"/>
      <c r="F494" s="22"/>
      <c r="G494" s="22"/>
      <c r="H494" s="22"/>
      <c r="I494" s="22"/>
      <c r="J494" s="22"/>
      <c r="K494" s="22"/>
      <c r="L494" s="22"/>
      <c r="M494" s="22">
        <f>D494+E494+F494+G494+H494+J494+I494+K494</f>
        <v>0</v>
      </c>
      <c r="N494" s="22"/>
      <c r="O494" s="22"/>
      <c r="P494" s="22"/>
      <c r="Q494" s="22"/>
      <c r="R494" s="22"/>
      <c r="S494" s="22"/>
      <c r="T494" s="22">
        <f t="shared" si="97"/>
        <v>0</v>
      </c>
      <c r="U494" s="35">
        <v>0</v>
      </c>
      <c r="V494" s="37">
        <f t="shared" si="95"/>
        <v>0</v>
      </c>
    </row>
    <row r="495" spans="1:22" x14ac:dyDescent="0.25">
      <c r="A495" s="140" t="s">
        <v>123</v>
      </c>
      <c r="B495" s="141"/>
      <c r="C495" s="142"/>
      <c r="D495" s="96">
        <f>SUM(D464+D467+D468+D472+D479+D480+D490+D491+D492+D493+D494)</f>
        <v>5323164</v>
      </c>
      <c r="E495" s="97">
        <f t="shared" ref="E495:Q495" si="105">SUM(E464,E467,E468,E472,E479,E480,E490,E491,E492,E493,E494)</f>
        <v>0</v>
      </c>
      <c r="F495" s="97">
        <f t="shared" si="105"/>
        <v>98250</v>
      </c>
      <c r="G495" s="97">
        <f t="shared" si="105"/>
        <v>0</v>
      </c>
      <c r="H495" s="97">
        <f t="shared" si="105"/>
        <v>0</v>
      </c>
      <c r="I495" s="97">
        <f t="shared" si="105"/>
        <v>0</v>
      </c>
      <c r="J495" s="97">
        <f t="shared" si="105"/>
        <v>0</v>
      </c>
      <c r="K495" s="97">
        <f t="shared" si="105"/>
        <v>0</v>
      </c>
      <c r="L495" s="97">
        <f t="shared" si="105"/>
        <v>0</v>
      </c>
      <c r="M495" s="97">
        <f t="shared" si="105"/>
        <v>5421414</v>
      </c>
      <c r="N495" s="97">
        <f t="shared" si="105"/>
        <v>0</v>
      </c>
      <c r="O495" s="97">
        <f t="shared" si="105"/>
        <v>25000</v>
      </c>
      <c r="P495" s="97">
        <f t="shared" si="105"/>
        <v>0</v>
      </c>
      <c r="Q495" s="97">
        <f t="shared" si="105"/>
        <v>0</v>
      </c>
      <c r="R495" s="97"/>
      <c r="S495" s="97"/>
      <c r="T495" s="97">
        <f t="shared" si="97"/>
        <v>5446414</v>
      </c>
      <c r="U495" s="98">
        <f>SUM(U464,U467,U468,U472,U479,U480,U490,U491,U492,U493,U494)</f>
        <v>3469424</v>
      </c>
      <c r="V495" s="99">
        <f t="shared" si="95"/>
        <v>1976990</v>
      </c>
    </row>
    <row r="496" spans="1:22" x14ac:dyDescent="0.25">
      <c r="A496" s="136" t="s">
        <v>73</v>
      </c>
      <c r="B496" s="38" t="s">
        <v>6</v>
      </c>
      <c r="C496" s="34" t="s">
        <v>67</v>
      </c>
      <c r="D496" s="22">
        <v>0</v>
      </c>
      <c r="E496" s="22"/>
      <c r="F496" s="22"/>
      <c r="G496" s="22"/>
      <c r="H496" s="22"/>
      <c r="I496" s="22"/>
      <c r="J496" s="22"/>
      <c r="K496" s="22"/>
      <c r="L496" s="22"/>
      <c r="M496" s="22">
        <f t="shared" ref="M496:M501" si="106">D496+E496+F496+G496+H496+J496+I496</f>
        <v>0</v>
      </c>
      <c r="N496" s="22"/>
      <c r="O496" s="22"/>
      <c r="P496" s="22"/>
      <c r="Q496" s="22"/>
      <c r="R496" s="22"/>
      <c r="S496" s="22"/>
      <c r="T496" s="22">
        <f t="shared" si="97"/>
        <v>0</v>
      </c>
      <c r="U496" s="35">
        <v>0</v>
      </c>
      <c r="V496" s="37">
        <f t="shared" si="95"/>
        <v>0</v>
      </c>
    </row>
    <row r="497" spans="1:22" x14ac:dyDescent="0.25">
      <c r="A497" s="136"/>
      <c r="B497" s="138" t="s">
        <v>18</v>
      </c>
      <c r="C497" s="34" t="s">
        <v>40</v>
      </c>
      <c r="D497" s="22">
        <v>5488077</v>
      </c>
      <c r="E497" s="22"/>
      <c r="F497" s="22"/>
      <c r="G497" s="22"/>
      <c r="H497" s="22"/>
      <c r="I497" s="22"/>
      <c r="J497" s="22"/>
      <c r="K497" s="22"/>
      <c r="L497" s="22"/>
      <c r="M497" s="22">
        <f t="shared" si="106"/>
        <v>5488077</v>
      </c>
      <c r="N497" s="22"/>
      <c r="O497" s="22"/>
      <c r="P497" s="22"/>
      <c r="Q497" s="22"/>
      <c r="R497" s="22"/>
      <c r="S497" s="22"/>
      <c r="T497" s="22">
        <f t="shared" si="97"/>
        <v>5488077</v>
      </c>
      <c r="U497" s="35">
        <v>3565466</v>
      </c>
      <c r="V497" s="37">
        <f t="shared" si="95"/>
        <v>1922611</v>
      </c>
    </row>
    <row r="498" spans="1:22" x14ac:dyDescent="0.25">
      <c r="A498" s="136"/>
      <c r="B498" s="138"/>
      <c r="C498" s="34" t="s">
        <v>47</v>
      </c>
      <c r="D498" s="22">
        <v>200000</v>
      </c>
      <c r="E498" s="22"/>
      <c r="F498" s="22"/>
      <c r="G498" s="22"/>
      <c r="H498" s="22"/>
      <c r="I498" s="22"/>
      <c r="J498" s="22"/>
      <c r="K498" s="22"/>
      <c r="L498" s="22"/>
      <c r="M498" s="22">
        <f t="shared" si="106"/>
        <v>200000</v>
      </c>
      <c r="N498" s="22"/>
      <c r="O498" s="22"/>
      <c r="P498" s="22"/>
      <c r="Q498" s="22"/>
      <c r="R498" s="22"/>
      <c r="S498" s="22"/>
      <c r="T498" s="22">
        <f t="shared" si="97"/>
        <v>200000</v>
      </c>
      <c r="U498" s="35">
        <v>100000</v>
      </c>
      <c r="V498" s="37">
        <f t="shared" si="95"/>
        <v>100000</v>
      </c>
    </row>
    <row r="499" spans="1:22" x14ac:dyDescent="0.25">
      <c r="A499" s="136"/>
      <c r="B499" s="138"/>
      <c r="C499" s="34" t="s">
        <v>48</v>
      </c>
      <c r="D499" s="22">
        <v>20000</v>
      </c>
      <c r="E499" s="22"/>
      <c r="F499" s="22"/>
      <c r="G499" s="22"/>
      <c r="H499" s="22"/>
      <c r="I499" s="22"/>
      <c r="J499" s="22"/>
      <c r="K499" s="22"/>
      <c r="L499" s="22"/>
      <c r="M499" s="22">
        <f t="shared" si="106"/>
        <v>20000</v>
      </c>
      <c r="N499" s="22"/>
      <c r="O499" s="22"/>
      <c r="P499" s="22"/>
      <c r="Q499" s="22"/>
      <c r="R499" s="22"/>
      <c r="S499" s="22"/>
      <c r="T499" s="22">
        <f t="shared" si="97"/>
        <v>20000</v>
      </c>
      <c r="U499" s="35">
        <v>0</v>
      </c>
      <c r="V499" s="37">
        <f t="shared" si="95"/>
        <v>20000</v>
      </c>
    </row>
    <row r="500" spans="1:22" x14ac:dyDescent="0.25">
      <c r="A500" s="136"/>
      <c r="B500" s="138"/>
      <c r="C500" s="34" t="s">
        <v>50</v>
      </c>
      <c r="D500" s="22">
        <v>24000</v>
      </c>
      <c r="E500" s="22"/>
      <c r="F500" s="22"/>
      <c r="G500" s="22"/>
      <c r="H500" s="22"/>
      <c r="I500" s="22"/>
      <c r="J500" s="22"/>
      <c r="K500" s="22"/>
      <c r="L500" s="22"/>
      <c r="M500" s="22">
        <f t="shared" si="106"/>
        <v>24000</v>
      </c>
      <c r="N500" s="22"/>
      <c r="O500" s="22"/>
      <c r="P500" s="22"/>
      <c r="Q500" s="22"/>
      <c r="R500" s="22"/>
      <c r="S500" s="22"/>
      <c r="T500" s="22">
        <f t="shared" si="97"/>
        <v>24000</v>
      </c>
      <c r="U500" s="35">
        <v>12000</v>
      </c>
      <c r="V500" s="37">
        <f t="shared" si="95"/>
        <v>12000</v>
      </c>
    </row>
    <row r="501" spans="1:22" x14ac:dyDescent="0.25">
      <c r="A501" s="136"/>
      <c r="B501" s="138"/>
      <c r="C501" s="34" t="s">
        <v>51</v>
      </c>
      <c r="D501" s="22">
        <v>0</v>
      </c>
      <c r="E501" s="22"/>
      <c r="F501" s="22"/>
      <c r="G501" s="22"/>
      <c r="H501" s="22"/>
      <c r="I501" s="22"/>
      <c r="J501" s="22"/>
      <c r="K501" s="22"/>
      <c r="L501" s="22"/>
      <c r="M501" s="22">
        <f t="shared" si="106"/>
        <v>0</v>
      </c>
      <c r="N501" s="22"/>
      <c r="O501" s="22"/>
      <c r="P501" s="22"/>
      <c r="Q501" s="22"/>
      <c r="R501" s="22"/>
      <c r="S501" s="22"/>
      <c r="T501" s="22">
        <f t="shared" si="97"/>
        <v>0</v>
      </c>
      <c r="U501" s="35">
        <v>0</v>
      </c>
      <c r="V501" s="37">
        <f t="shared" si="95"/>
        <v>0</v>
      </c>
    </row>
    <row r="502" spans="1:22" x14ac:dyDescent="0.25">
      <c r="A502" s="136"/>
      <c r="B502" s="138"/>
      <c r="C502" s="83" t="s">
        <v>41</v>
      </c>
      <c r="D502" s="84">
        <f>SUM(D497:D501)</f>
        <v>5732077</v>
      </c>
      <c r="E502" s="84">
        <f t="shared" ref="E502:U502" si="107">SUM(E497:E501)</f>
        <v>0</v>
      </c>
      <c r="F502" s="84">
        <f t="shared" si="107"/>
        <v>0</v>
      </c>
      <c r="G502" s="84">
        <f t="shared" si="107"/>
        <v>0</v>
      </c>
      <c r="H502" s="84">
        <f t="shared" si="107"/>
        <v>0</v>
      </c>
      <c r="I502" s="84">
        <f t="shared" si="107"/>
        <v>0</v>
      </c>
      <c r="J502" s="84">
        <f t="shared" si="107"/>
        <v>0</v>
      </c>
      <c r="K502" s="84">
        <f t="shared" si="107"/>
        <v>0</v>
      </c>
      <c r="L502" s="84">
        <f t="shared" si="107"/>
        <v>0</v>
      </c>
      <c r="M502" s="84">
        <f t="shared" si="107"/>
        <v>5732077</v>
      </c>
      <c r="N502" s="84">
        <f t="shared" si="107"/>
        <v>0</v>
      </c>
      <c r="O502" s="84">
        <f t="shared" si="107"/>
        <v>0</v>
      </c>
      <c r="P502" s="84">
        <f t="shared" si="107"/>
        <v>0</v>
      </c>
      <c r="Q502" s="84">
        <f t="shared" si="107"/>
        <v>0</v>
      </c>
      <c r="R502" s="84"/>
      <c r="S502" s="84"/>
      <c r="T502" s="84">
        <f t="shared" si="97"/>
        <v>5732077</v>
      </c>
      <c r="U502" s="85">
        <f t="shared" si="107"/>
        <v>3677466</v>
      </c>
      <c r="V502" s="86">
        <f t="shared" si="95"/>
        <v>2054611</v>
      </c>
    </row>
    <row r="503" spans="1:22" x14ac:dyDescent="0.25">
      <c r="A503" s="136"/>
      <c r="B503" s="138"/>
      <c r="C503" s="87" t="s">
        <v>42</v>
      </c>
      <c r="D503" s="88">
        <v>902972</v>
      </c>
      <c r="E503" s="88"/>
      <c r="F503" s="88"/>
      <c r="G503" s="88"/>
      <c r="H503" s="88"/>
      <c r="I503" s="88"/>
      <c r="J503" s="88"/>
      <c r="K503" s="88"/>
      <c r="L503" s="88"/>
      <c r="M503" s="89">
        <f>D503+E503+F503+G503+H503+J503</f>
        <v>902972</v>
      </c>
      <c r="N503" s="89"/>
      <c r="O503" s="89"/>
      <c r="P503" s="89"/>
      <c r="Q503" s="89"/>
      <c r="R503" s="89"/>
      <c r="S503" s="89"/>
      <c r="T503" s="89">
        <f t="shared" si="97"/>
        <v>902972</v>
      </c>
      <c r="U503" s="90">
        <v>573144</v>
      </c>
      <c r="V503" s="91">
        <f t="shared" si="95"/>
        <v>329828</v>
      </c>
    </row>
    <row r="504" spans="1:22" x14ac:dyDescent="0.25">
      <c r="A504" s="136"/>
      <c r="B504" s="138"/>
      <c r="C504" s="34" t="s">
        <v>43</v>
      </c>
      <c r="D504" s="22">
        <v>20000</v>
      </c>
      <c r="E504" s="22"/>
      <c r="F504" s="22"/>
      <c r="G504" s="22"/>
      <c r="H504" s="22"/>
      <c r="I504" s="22"/>
      <c r="J504" s="22"/>
      <c r="K504" s="22"/>
      <c r="L504" s="22"/>
      <c r="M504" s="22">
        <f>D504+E504+F504+G504+H504+J504+I504</f>
        <v>20000</v>
      </c>
      <c r="N504" s="22">
        <v>-10000</v>
      </c>
      <c r="O504" s="22"/>
      <c r="P504" s="22"/>
      <c r="Q504" s="22"/>
      <c r="R504" s="22"/>
      <c r="S504" s="22"/>
      <c r="T504" s="22">
        <f t="shared" si="97"/>
        <v>10000</v>
      </c>
      <c r="U504" s="35">
        <v>0</v>
      </c>
      <c r="V504" s="37">
        <f t="shared" si="95"/>
        <v>10000</v>
      </c>
    </row>
    <row r="505" spans="1:22" x14ac:dyDescent="0.25">
      <c r="A505" s="136"/>
      <c r="B505" s="138"/>
      <c r="C505" s="34" t="s">
        <v>53</v>
      </c>
      <c r="D505" s="22">
        <v>40000</v>
      </c>
      <c r="E505" s="22">
        <v>-4363</v>
      </c>
      <c r="F505" s="22">
        <v>175670</v>
      </c>
      <c r="G505" s="22"/>
      <c r="H505" s="22"/>
      <c r="I505" s="22"/>
      <c r="J505" s="22"/>
      <c r="K505" s="22"/>
      <c r="L505" s="22"/>
      <c r="M505" s="22">
        <f>D505+E505+F505+G505+H505+J505+I505+L505</f>
        <v>211307</v>
      </c>
      <c r="N505" s="22">
        <v>-10000</v>
      </c>
      <c r="O505" s="22"/>
      <c r="P505" s="22"/>
      <c r="Q505" s="22"/>
      <c r="R505" s="22"/>
      <c r="S505" s="22"/>
      <c r="T505" s="22">
        <f t="shared" si="97"/>
        <v>201307</v>
      </c>
      <c r="U505" s="35">
        <v>175669</v>
      </c>
      <c r="V505" s="39">
        <f t="shared" si="95"/>
        <v>25638</v>
      </c>
    </row>
    <row r="506" spans="1:22" x14ac:dyDescent="0.25">
      <c r="A506" s="136"/>
      <c r="B506" s="138"/>
      <c r="C506" s="75" t="s">
        <v>54</v>
      </c>
      <c r="D506" s="22">
        <v>0</v>
      </c>
      <c r="E506" s="25"/>
      <c r="F506" s="22"/>
      <c r="G506" s="22"/>
      <c r="H506" s="22"/>
      <c r="I506" s="22"/>
      <c r="J506" s="22"/>
      <c r="K506" s="22"/>
      <c r="L506" s="22"/>
      <c r="M506" s="22">
        <f t="shared" ref="M506:M513" si="108">D506+E506+F506+G506+H506+J506+I506</f>
        <v>0</v>
      </c>
      <c r="N506" s="22">
        <v>10000</v>
      </c>
      <c r="O506" s="22"/>
      <c r="P506" s="22"/>
      <c r="Q506" s="22"/>
      <c r="R506" s="22"/>
      <c r="S506" s="22"/>
      <c r="T506" s="22">
        <f t="shared" si="97"/>
        <v>10000</v>
      </c>
      <c r="U506" s="35">
        <v>10000</v>
      </c>
      <c r="V506" s="35">
        <f t="shared" si="95"/>
        <v>0</v>
      </c>
    </row>
    <row r="507" spans="1:22" x14ac:dyDescent="0.25">
      <c r="A507" s="136"/>
      <c r="B507" s="138"/>
      <c r="C507" s="34" t="s">
        <v>56</v>
      </c>
      <c r="D507" s="22">
        <v>0</v>
      </c>
      <c r="E507" s="22"/>
      <c r="F507" s="22"/>
      <c r="G507" s="22"/>
      <c r="H507" s="22"/>
      <c r="I507" s="22"/>
      <c r="J507" s="22"/>
      <c r="K507" s="22"/>
      <c r="L507" s="22"/>
      <c r="M507" s="22">
        <f t="shared" si="108"/>
        <v>0</v>
      </c>
      <c r="N507" s="22"/>
      <c r="O507" s="22"/>
      <c r="P507" s="22"/>
      <c r="Q507" s="22"/>
      <c r="R507" s="22"/>
      <c r="S507" s="22"/>
      <c r="T507" s="22">
        <f t="shared" si="97"/>
        <v>0</v>
      </c>
      <c r="U507" s="35">
        <v>0</v>
      </c>
      <c r="V507" s="37">
        <f t="shared" si="95"/>
        <v>0</v>
      </c>
    </row>
    <row r="508" spans="1:22" x14ac:dyDescent="0.25">
      <c r="A508" s="136"/>
      <c r="B508" s="138"/>
      <c r="C508" s="34" t="s">
        <v>57</v>
      </c>
      <c r="D508" s="22">
        <v>8000</v>
      </c>
      <c r="E508" s="22"/>
      <c r="F508" s="22">
        <v>10000</v>
      </c>
      <c r="G508" s="22"/>
      <c r="H508" s="22"/>
      <c r="I508" s="22"/>
      <c r="J508" s="22"/>
      <c r="K508" s="22"/>
      <c r="L508" s="22"/>
      <c r="M508" s="22">
        <f t="shared" si="108"/>
        <v>18000</v>
      </c>
      <c r="N508" s="22"/>
      <c r="O508" s="22"/>
      <c r="P508" s="22"/>
      <c r="Q508" s="22"/>
      <c r="R508" s="22"/>
      <c r="S508" s="22"/>
      <c r="T508" s="22">
        <f t="shared" si="97"/>
        <v>18000</v>
      </c>
      <c r="U508" s="35">
        <v>10000</v>
      </c>
      <c r="V508" s="39">
        <f t="shared" si="95"/>
        <v>8000</v>
      </c>
    </row>
    <row r="509" spans="1:22" x14ac:dyDescent="0.25">
      <c r="A509" s="136"/>
      <c r="B509" s="138"/>
      <c r="C509" s="34" t="s">
        <v>44</v>
      </c>
      <c r="D509" s="22">
        <v>16800</v>
      </c>
      <c r="E509" s="22"/>
      <c r="F509" s="22"/>
      <c r="G509" s="22"/>
      <c r="H509" s="22"/>
      <c r="I509" s="22"/>
      <c r="J509" s="22"/>
      <c r="K509" s="22"/>
      <c r="L509" s="22"/>
      <c r="M509" s="22">
        <f t="shared" si="108"/>
        <v>16800</v>
      </c>
      <c r="N509" s="22"/>
      <c r="O509" s="22"/>
      <c r="P509" s="22"/>
      <c r="Q509" s="22"/>
      <c r="R509" s="22"/>
      <c r="S509" s="22"/>
      <c r="T509" s="22">
        <f t="shared" si="97"/>
        <v>16800</v>
      </c>
      <c r="U509" s="35">
        <v>4200</v>
      </c>
      <c r="V509" s="37">
        <f t="shared" si="95"/>
        <v>12600</v>
      </c>
    </row>
    <row r="510" spans="1:22" x14ac:dyDescent="0.25">
      <c r="A510" s="136"/>
      <c r="B510" s="138"/>
      <c r="C510" s="34" t="s">
        <v>58</v>
      </c>
      <c r="D510" s="22">
        <v>180497</v>
      </c>
      <c r="E510" s="22">
        <v>4363</v>
      </c>
      <c r="F510" s="22"/>
      <c r="G510" s="22"/>
      <c r="H510" s="22"/>
      <c r="I510" s="22"/>
      <c r="J510" s="22"/>
      <c r="K510" s="22"/>
      <c r="L510" s="22"/>
      <c r="M510" s="22">
        <f t="shared" si="108"/>
        <v>184860</v>
      </c>
      <c r="N510" s="22">
        <v>10000</v>
      </c>
      <c r="O510" s="22"/>
      <c r="P510" s="22"/>
      <c r="Q510" s="22"/>
      <c r="R510" s="22"/>
      <c r="S510" s="22"/>
      <c r="T510" s="22">
        <f t="shared" si="97"/>
        <v>194860</v>
      </c>
      <c r="U510" s="35">
        <v>117736</v>
      </c>
      <c r="V510" s="37">
        <f t="shared" si="95"/>
        <v>77124</v>
      </c>
    </row>
    <row r="511" spans="1:22" x14ac:dyDescent="0.25">
      <c r="A511" s="136"/>
      <c r="B511" s="138"/>
      <c r="C511" s="34" t="s">
        <v>59</v>
      </c>
      <c r="D511" s="22">
        <v>26000</v>
      </c>
      <c r="E511" s="22"/>
      <c r="F511" s="22"/>
      <c r="G511" s="22"/>
      <c r="H511" s="22"/>
      <c r="I511" s="22"/>
      <c r="J511" s="22"/>
      <c r="K511" s="22"/>
      <c r="L511" s="22"/>
      <c r="M511" s="22">
        <f t="shared" si="108"/>
        <v>26000</v>
      </c>
      <c r="N511" s="22"/>
      <c r="O511" s="22"/>
      <c r="P511" s="22"/>
      <c r="Q511" s="22"/>
      <c r="R511" s="22"/>
      <c r="S511" s="22"/>
      <c r="T511" s="22">
        <f t="shared" si="97"/>
        <v>26000</v>
      </c>
      <c r="U511" s="35">
        <v>12472</v>
      </c>
      <c r="V511" s="37">
        <f t="shared" si="95"/>
        <v>13528</v>
      </c>
    </row>
    <row r="512" spans="1:22" x14ac:dyDescent="0.25">
      <c r="A512" s="136"/>
      <c r="B512" s="138"/>
      <c r="C512" s="34" t="s">
        <v>45</v>
      </c>
      <c r="D512" s="22">
        <v>13960</v>
      </c>
      <c r="E512" s="22"/>
      <c r="F512" s="22">
        <v>50130</v>
      </c>
      <c r="G512" s="22"/>
      <c r="H512" s="22"/>
      <c r="I512" s="22"/>
      <c r="J512" s="22"/>
      <c r="K512" s="22"/>
      <c r="L512" s="22"/>
      <c r="M512" s="22">
        <f t="shared" si="108"/>
        <v>64090</v>
      </c>
      <c r="N512" s="22"/>
      <c r="O512" s="22"/>
      <c r="P512" s="22"/>
      <c r="Q512" s="22"/>
      <c r="R512" s="22"/>
      <c r="S512" s="22"/>
      <c r="T512" s="22">
        <f t="shared" si="97"/>
        <v>64090</v>
      </c>
      <c r="U512" s="35">
        <v>52831</v>
      </c>
      <c r="V512" s="37">
        <f t="shared" si="95"/>
        <v>11259</v>
      </c>
    </row>
    <row r="513" spans="1:22" x14ac:dyDescent="0.25">
      <c r="A513" s="136"/>
      <c r="B513" s="138"/>
      <c r="C513" s="34" t="s">
        <v>60</v>
      </c>
      <c r="D513" s="22">
        <v>0</v>
      </c>
      <c r="E513" s="22"/>
      <c r="F513" s="22"/>
      <c r="G513" s="22"/>
      <c r="H513" s="22"/>
      <c r="I513" s="22"/>
      <c r="J513" s="22"/>
      <c r="K513" s="22"/>
      <c r="L513" s="22"/>
      <c r="M513" s="22">
        <f t="shared" si="108"/>
        <v>0</v>
      </c>
      <c r="N513" s="22"/>
      <c r="O513" s="22"/>
      <c r="P513" s="22"/>
      <c r="Q513" s="22"/>
      <c r="R513" s="22"/>
      <c r="S513" s="22"/>
      <c r="T513" s="22">
        <f t="shared" si="97"/>
        <v>0</v>
      </c>
      <c r="U513" s="35">
        <v>0</v>
      </c>
      <c r="V513" s="37">
        <f t="shared" si="95"/>
        <v>0</v>
      </c>
    </row>
    <row r="514" spans="1:22" x14ac:dyDescent="0.25">
      <c r="A514" s="136"/>
      <c r="B514" s="138"/>
      <c r="C514" s="83" t="s">
        <v>46</v>
      </c>
      <c r="D514" s="84">
        <f>SUM(D504:D513)</f>
        <v>305257</v>
      </c>
      <c r="E514" s="84">
        <f t="shared" ref="E514:U514" si="109">SUM(E504:E513)</f>
        <v>0</v>
      </c>
      <c r="F514" s="84">
        <f t="shared" si="109"/>
        <v>235800</v>
      </c>
      <c r="G514" s="84">
        <f t="shared" si="109"/>
        <v>0</v>
      </c>
      <c r="H514" s="84">
        <f t="shared" si="109"/>
        <v>0</v>
      </c>
      <c r="I514" s="84">
        <f t="shared" si="109"/>
        <v>0</v>
      </c>
      <c r="J514" s="84">
        <f t="shared" si="109"/>
        <v>0</v>
      </c>
      <c r="K514" s="84">
        <f t="shared" si="109"/>
        <v>0</v>
      </c>
      <c r="L514" s="84">
        <f t="shared" si="109"/>
        <v>0</v>
      </c>
      <c r="M514" s="84">
        <f t="shared" si="109"/>
        <v>541057</v>
      </c>
      <c r="N514" s="84">
        <f t="shared" si="109"/>
        <v>0</v>
      </c>
      <c r="O514" s="84">
        <f t="shared" si="109"/>
        <v>0</v>
      </c>
      <c r="P514" s="84">
        <f t="shared" si="109"/>
        <v>0</v>
      </c>
      <c r="Q514" s="84">
        <f t="shared" si="109"/>
        <v>0</v>
      </c>
      <c r="R514" s="84"/>
      <c r="S514" s="84"/>
      <c r="T514" s="84">
        <f t="shared" si="97"/>
        <v>541057</v>
      </c>
      <c r="U514" s="85">
        <f t="shared" si="109"/>
        <v>382908</v>
      </c>
      <c r="V514" s="86">
        <f t="shared" si="95"/>
        <v>158149</v>
      </c>
    </row>
    <row r="515" spans="1:22" x14ac:dyDescent="0.25">
      <c r="A515" s="137" t="s">
        <v>124</v>
      </c>
      <c r="B515" s="139" t="s">
        <v>18</v>
      </c>
      <c r="C515" s="34" t="s">
        <v>40</v>
      </c>
      <c r="D515" s="22">
        <v>635575</v>
      </c>
      <c r="E515" s="22"/>
      <c r="F515" s="22"/>
      <c r="G515" s="22"/>
      <c r="H515" s="22"/>
      <c r="I515" s="22"/>
      <c r="J515" s="22"/>
      <c r="K515" s="22"/>
      <c r="L515" s="22"/>
      <c r="M515" s="22">
        <f>D515+E515+F515+G515+H515+J515+I515+K515</f>
        <v>635575</v>
      </c>
      <c r="N515" s="22"/>
      <c r="O515" s="22"/>
      <c r="P515" s="22"/>
      <c r="Q515" s="22"/>
      <c r="R515" s="22"/>
      <c r="S515" s="22"/>
      <c r="T515" s="22">
        <f t="shared" si="97"/>
        <v>635575</v>
      </c>
      <c r="U515" s="35">
        <v>422528</v>
      </c>
      <c r="V515" s="37">
        <f t="shared" si="95"/>
        <v>213047</v>
      </c>
    </row>
    <row r="516" spans="1:22" x14ac:dyDescent="0.25">
      <c r="A516" s="149"/>
      <c r="B516" s="151"/>
      <c r="C516" s="34" t="s">
        <v>42</v>
      </c>
      <c r="D516" s="22">
        <v>98514</v>
      </c>
      <c r="E516" s="22"/>
      <c r="F516" s="22"/>
      <c r="G516" s="22"/>
      <c r="H516" s="22"/>
      <c r="I516" s="22"/>
      <c r="J516" s="22"/>
      <c r="K516" s="22"/>
      <c r="L516" s="22"/>
      <c r="M516" s="22">
        <f>D516+E516+F516+G516+H516+J516+I516</f>
        <v>98514</v>
      </c>
      <c r="N516" s="22"/>
      <c r="O516" s="22"/>
      <c r="P516" s="22"/>
      <c r="Q516" s="22"/>
      <c r="R516" s="22"/>
      <c r="S516" s="22"/>
      <c r="T516" s="22">
        <f t="shared" si="97"/>
        <v>98514</v>
      </c>
      <c r="U516" s="35">
        <v>64219</v>
      </c>
      <c r="V516" s="37">
        <f t="shared" si="95"/>
        <v>34295</v>
      </c>
    </row>
    <row r="517" spans="1:22" x14ac:dyDescent="0.25">
      <c r="A517" s="140" t="s">
        <v>125</v>
      </c>
      <c r="B517" s="141"/>
      <c r="C517" s="142"/>
      <c r="D517" s="96">
        <f>SUM(D496+D502+D503+D514+D515+D516)</f>
        <v>7674395</v>
      </c>
      <c r="E517" s="97">
        <f t="shared" ref="E517:Q517" si="110">SUM(E496,E502,E503,E514,E515,E516)</f>
        <v>0</v>
      </c>
      <c r="F517" s="97">
        <f t="shared" si="110"/>
        <v>235800</v>
      </c>
      <c r="G517" s="97">
        <f t="shared" si="110"/>
        <v>0</v>
      </c>
      <c r="H517" s="97">
        <f t="shared" si="110"/>
        <v>0</v>
      </c>
      <c r="I517" s="97">
        <f t="shared" si="110"/>
        <v>0</v>
      </c>
      <c r="J517" s="97">
        <f t="shared" si="110"/>
        <v>0</v>
      </c>
      <c r="K517" s="97">
        <f t="shared" si="110"/>
        <v>0</v>
      </c>
      <c r="L517" s="97">
        <f t="shared" si="110"/>
        <v>0</v>
      </c>
      <c r="M517" s="97">
        <f t="shared" si="110"/>
        <v>7910195</v>
      </c>
      <c r="N517" s="97">
        <f t="shared" si="110"/>
        <v>0</v>
      </c>
      <c r="O517" s="97">
        <f t="shared" si="110"/>
        <v>0</v>
      </c>
      <c r="P517" s="97">
        <f t="shared" si="110"/>
        <v>0</v>
      </c>
      <c r="Q517" s="97">
        <f t="shared" si="110"/>
        <v>0</v>
      </c>
      <c r="R517" s="97"/>
      <c r="S517" s="97"/>
      <c r="T517" s="97">
        <f t="shared" si="97"/>
        <v>7910195</v>
      </c>
      <c r="U517" s="98">
        <f>SUM(U496,U502,U503,U514,U515,U516)</f>
        <v>5120265</v>
      </c>
      <c r="V517" s="99">
        <f t="shared" si="95"/>
        <v>2789930</v>
      </c>
    </row>
    <row r="518" spans="1:22" x14ac:dyDescent="0.25">
      <c r="A518" s="136" t="s">
        <v>74</v>
      </c>
      <c r="B518" s="56" t="s">
        <v>6</v>
      </c>
      <c r="C518" s="34" t="s">
        <v>67</v>
      </c>
      <c r="D518" s="22">
        <v>0</v>
      </c>
      <c r="E518" s="22"/>
      <c r="F518" s="22"/>
      <c r="G518" s="22"/>
      <c r="H518" s="22"/>
      <c r="I518" s="22"/>
      <c r="J518" s="22"/>
      <c r="K518" s="22"/>
      <c r="L518" s="22"/>
      <c r="M518" s="22">
        <f t="shared" ref="M518:M523" si="111">D518+E518+F518+G518+H518+J518+I518</f>
        <v>0</v>
      </c>
      <c r="N518" s="22"/>
      <c r="O518" s="22"/>
      <c r="P518" s="22"/>
      <c r="Q518" s="22"/>
      <c r="R518" s="22"/>
      <c r="S518" s="22"/>
      <c r="T518" s="22">
        <f t="shared" si="97"/>
        <v>0</v>
      </c>
      <c r="U518" s="35">
        <v>0</v>
      </c>
      <c r="V518" s="37">
        <f t="shared" si="95"/>
        <v>0</v>
      </c>
    </row>
    <row r="519" spans="1:22" x14ac:dyDescent="0.25">
      <c r="A519" s="136"/>
      <c r="B519" s="139" t="s">
        <v>18</v>
      </c>
      <c r="C519" s="34" t="s">
        <v>40</v>
      </c>
      <c r="D519" s="22">
        <v>5052855</v>
      </c>
      <c r="E519" s="22"/>
      <c r="F519" s="22"/>
      <c r="G519" s="22"/>
      <c r="H519" s="22"/>
      <c r="I519" s="22"/>
      <c r="J519" s="22"/>
      <c r="K519" s="22"/>
      <c r="L519" s="22"/>
      <c r="M519" s="22">
        <f t="shared" si="111"/>
        <v>5052855</v>
      </c>
      <c r="N519" s="22"/>
      <c r="O519" s="22"/>
      <c r="P519" s="22"/>
      <c r="Q519" s="22"/>
      <c r="R519" s="22"/>
      <c r="S519" s="22"/>
      <c r="T519" s="22">
        <f t="shared" si="97"/>
        <v>5052855</v>
      </c>
      <c r="U519" s="35">
        <v>2645828</v>
      </c>
      <c r="V519" s="37">
        <f t="shared" si="95"/>
        <v>2407027</v>
      </c>
    </row>
    <row r="520" spans="1:22" x14ac:dyDescent="0.25">
      <c r="A520" s="136"/>
      <c r="B520" s="150"/>
      <c r="C520" s="34" t="s">
        <v>47</v>
      </c>
      <c r="D520" s="22">
        <v>200000</v>
      </c>
      <c r="E520" s="22"/>
      <c r="F520" s="22"/>
      <c r="G520" s="22"/>
      <c r="H520" s="22"/>
      <c r="I520" s="22"/>
      <c r="J520" s="22"/>
      <c r="K520" s="22"/>
      <c r="L520" s="22"/>
      <c r="M520" s="22">
        <f t="shared" si="111"/>
        <v>200000</v>
      </c>
      <c r="N520" s="22"/>
      <c r="O520" s="22"/>
      <c r="P520" s="22"/>
      <c r="Q520" s="22"/>
      <c r="R520" s="22"/>
      <c r="S520" s="22"/>
      <c r="T520" s="22">
        <f t="shared" si="97"/>
        <v>200000</v>
      </c>
      <c r="U520" s="35">
        <v>100000</v>
      </c>
      <c r="V520" s="37">
        <f t="shared" si="95"/>
        <v>100000</v>
      </c>
    </row>
    <row r="521" spans="1:22" x14ac:dyDescent="0.25">
      <c r="A521" s="136"/>
      <c r="B521" s="150"/>
      <c r="C521" s="34" t="s">
        <v>48</v>
      </c>
      <c r="D521" s="22">
        <v>20000</v>
      </c>
      <c r="E521" s="22"/>
      <c r="F521" s="22"/>
      <c r="G521" s="22"/>
      <c r="H521" s="22"/>
      <c r="I521" s="22"/>
      <c r="J521" s="22"/>
      <c r="K521" s="22"/>
      <c r="L521" s="22"/>
      <c r="M521" s="22">
        <f t="shared" si="111"/>
        <v>20000</v>
      </c>
      <c r="N521" s="22"/>
      <c r="O521" s="22"/>
      <c r="P521" s="22"/>
      <c r="Q521" s="22"/>
      <c r="R521" s="22"/>
      <c r="S521" s="22"/>
      <c r="T521" s="22">
        <f t="shared" si="97"/>
        <v>20000</v>
      </c>
      <c r="U521" s="35">
        <v>0</v>
      </c>
      <c r="V521" s="37">
        <f t="shared" ref="V521:V584" si="112">T521-U521</f>
        <v>20000</v>
      </c>
    </row>
    <row r="522" spans="1:22" x14ac:dyDescent="0.25">
      <c r="A522" s="136"/>
      <c r="B522" s="150"/>
      <c r="C522" s="34" t="s">
        <v>50</v>
      </c>
      <c r="D522" s="22">
        <v>24000</v>
      </c>
      <c r="E522" s="22"/>
      <c r="F522" s="22"/>
      <c r="G522" s="22"/>
      <c r="H522" s="22"/>
      <c r="I522" s="22"/>
      <c r="J522" s="22"/>
      <c r="K522" s="22"/>
      <c r="L522" s="22"/>
      <c r="M522" s="22">
        <f t="shared" si="111"/>
        <v>24000</v>
      </c>
      <c r="N522" s="22"/>
      <c r="O522" s="22"/>
      <c r="P522" s="22"/>
      <c r="Q522" s="22"/>
      <c r="R522" s="22"/>
      <c r="S522" s="22"/>
      <c r="T522" s="22">
        <f t="shared" si="97"/>
        <v>24000</v>
      </c>
      <c r="U522" s="35">
        <v>12000</v>
      </c>
      <c r="V522" s="37">
        <f t="shared" si="112"/>
        <v>12000</v>
      </c>
    </row>
    <row r="523" spans="1:22" x14ac:dyDescent="0.25">
      <c r="A523" s="136"/>
      <c r="B523" s="150"/>
      <c r="C523" s="34" t="s">
        <v>51</v>
      </c>
      <c r="D523" s="22">
        <v>0</v>
      </c>
      <c r="E523" s="22"/>
      <c r="F523" s="22"/>
      <c r="G523" s="22"/>
      <c r="H523" s="22"/>
      <c r="I523" s="22"/>
      <c r="J523" s="22"/>
      <c r="K523" s="22"/>
      <c r="L523" s="22"/>
      <c r="M523" s="22">
        <f t="shared" si="111"/>
        <v>0</v>
      </c>
      <c r="N523" s="22"/>
      <c r="O523" s="22"/>
      <c r="P523" s="22"/>
      <c r="Q523" s="22"/>
      <c r="R523" s="22"/>
      <c r="S523" s="22"/>
      <c r="T523" s="22">
        <f t="shared" si="97"/>
        <v>0</v>
      </c>
      <c r="U523" s="35">
        <v>0</v>
      </c>
      <c r="V523" s="39">
        <f t="shared" si="112"/>
        <v>0</v>
      </c>
    </row>
    <row r="524" spans="1:22" x14ac:dyDescent="0.25">
      <c r="A524" s="136"/>
      <c r="B524" s="150"/>
      <c r="C524" s="83" t="s">
        <v>41</v>
      </c>
      <c r="D524" s="84">
        <f>SUM(D519:D523)</f>
        <v>5296855</v>
      </c>
      <c r="E524" s="84">
        <f t="shared" ref="E524:U524" si="113">SUM(E519:E523)</f>
        <v>0</v>
      </c>
      <c r="F524" s="84">
        <f t="shared" si="113"/>
        <v>0</v>
      </c>
      <c r="G524" s="84">
        <f t="shared" si="113"/>
        <v>0</v>
      </c>
      <c r="H524" s="84">
        <f t="shared" si="113"/>
        <v>0</v>
      </c>
      <c r="I524" s="84">
        <f t="shared" si="113"/>
        <v>0</v>
      </c>
      <c r="J524" s="84">
        <f t="shared" si="113"/>
        <v>0</v>
      </c>
      <c r="K524" s="84">
        <f t="shared" si="113"/>
        <v>0</v>
      </c>
      <c r="L524" s="84">
        <f t="shared" si="113"/>
        <v>0</v>
      </c>
      <c r="M524" s="84">
        <f t="shared" si="113"/>
        <v>5296855</v>
      </c>
      <c r="N524" s="84">
        <f t="shared" si="113"/>
        <v>0</v>
      </c>
      <c r="O524" s="84">
        <f t="shared" si="113"/>
        <v>0</v>
      </c>
      <c r="P524" s="84">
        <f t="shared" si="113"/>
        <v>0</v>
      </c>
      <c r="Q524" s="84">
        <f t="shared" si="113"/>
        <v>0</v>
      </c>
      <c r="R524" s="84"/>
      <c r="S524" s="84"/>
      <c r="T524" s="84">
        <f t="shared" ref="T524:T587" si="114">SUM(M524:S524)</f>
        <v>5296855</v>
      </c>
      <c r="U524" s="85">
        <f t="shared" si="113"/>
        <v>2757828</v>
      </c>
      <c r="V524" s="86">
        <f t="shared" si="112"/>
        <v>2539027</v>
      </c>
    </row>
    <row r="525" spans="1:22" x14ac:dyDescent="0.25">
      <c r="A525" s="136"/>
      <c r="B525" s="150"/>
      <c r="C525" s="87" t="s">
        <v>42</v>
      </c>
      <c r="D525" s="88">
        <v>835513</v>
      </c>
      <c r="E525" s="88"/>
      <c r="F525" s="88"/>
      <c r="G525" s="88"/>
      <c r="H525" s="88"/>
      <c r="I525" s="88"/>
      <c r="J525" s="88"/>
      <c r="K525" s="88"/>
      <c r="L525" s="88"/>
      <c r="M525" s="89">
        <f>D525+E525+F525+G525+H525+J525</f>
        <v>835513</v>
      </c>
      <c r="N525" s="89"/>
      <c r="O525" s="89"/>
      <c r="P525" s="89"/>
      <c r="Q525" s="89"/>
      <c r="R525" s="89"/>
      <c r="S525" s="89"/>
      <c r="T525" s="89">
        <f t="shared" si="114"/>
        <v>835513</v>
      </c>
      <c r="U525" s="90">
        <v>413643</v>
      </c>
      <c r="V525" s="91">
        <f t="shared" si="112"/>
        <v>421870</v>
      </c>
    </row>
    <row r="526" spans="1:22" x14ac:dyDescent="0.25">
      <c r="A526" s="136"/>
      <c r="B526" s="150"/>
      <c r="C526" s="34" t="s">
        <v>43</v>
      </c>
      <c r="D526" s="22">
        <v>20000</v>
      </c>
      <c r="E526" s="22"/>
      <c r="F526" s="22"/>
      <c r="G526" s="22"/>
      <c r="H526" s="22"/>
      <c r="I526" s="22"/>
      <c r="J526" s="22"/>
      <c r="K526" s="22"/>
      <c r="L526" s="22"/>
      <c r="M526" s="22">
        <f t="shared" ref="M526:M536" si="115">D526+E526+F526+G526+H526+J526+I526</f>
        <v>20000</v>
      </c>
      <c r="N526" s="22"/>
      <c r="O526" s="22"/>
      <c r="P526" s="22"/>
      <c r="Q526" s="22"/>
      <c r="R526" s="22"/>
      <c r="S526" s="22"/>
      <c r="T526" s="22">
        <f t="shared" si="114"/>
        <v>20000</v>
      </c>
      <c r="U526" s="35">
        <v>0</v>
      </c>
      <c r="V526" s="37">
        <f t="shared" si="112"/>
        <v>20000</v>
      </c>
    </row>
    <row r="527" spans="1:22" x14ac:dyDescent="0.25">
      <c r="A527" s="136"/>
      <c r="B527" s="150"/>
      <c r="C527" s="34" t="s">
        <v>53</v>
      </c>
      <c r="D527" s="22">
        <v>50000</v>
      </c>
      <c r="E527" s="22"/>
      <c r="F527" s="22">
        <v>150197</v>
      </c>
      <c r="G527" s="22"/>
      <c r="H527" s="22"/>
      <c r="I527" s="22"/>
      <c r="J527" s="22"/>
      <c r="K527" s="22"/>
      <c r="L527" s="22"/>
      <c r="M527" s="22">
        <f t="shared" si="115"/>
        <v>200197</v>
      </c>
      <c r="N527" s="22">
        <v>-20000</v>
      </c>
      <c r="O527" s="22"/>
      <c r="P527" s="22"/>
      <c r="Q527" s="22"/>
      <c r="R527" s="22"/>
      <c r="S527" s="22"/>
      <c r="T527" s="22">
        <f t="shared" si="114"/>
        <v>180197</v>
      </c>
      <c r="U527" s="35">
        <v>0</v>
      </c>
      <c r="V527" s="37">
        <f t="shared" si="112"/>
        <v>180197</v>
      </c>
    </row>
    <row r="528" spans="1:22" x14ac:dyDescent="0.25">
      <c r="A528" s="136"/>
      <c r="B528" s="150"/>
      <c r="C528" s="75" t="s">
        <v>54</v>
      </c>
      <c r="D528" s="22">
        <v>0</v>
      </c>
      <c r="E528" s="22"/>
      <c r="F528" s="22"/>
      <c r="G528" s="22"/>
      <c r="H528" s="22"/>
      <c r="I528" s="22"/>
      <c r="J528" s="22"/>
      <c r="K528" s="22"/>
      <c r="L528" s="22"/>
      <c r="M528" s="22">
        <f t="shared" si="115"/>
        <v>0</v>
      </c>
      <c r="N528" s="22">
        <v>20000</v>
      </c>
      <c r="O528" s="22"/>
      <c r="P528" s="22"/>
      <c r="Q528" s="22"/>
      <c r="R528" s="22"/>
      <c r="S528" s="22"/>
      <c r="T528" s="22">
        <f t="shared" si="114"/>
        <v>20000</v>
      </c>
      <c r="U528" s="35">
        <v>20000</v>
      </c>
      <c r="V528" s="35">
        <f t="shared" si="112"/>
        <v>0</v>
      </c>
    </row>
    <row r="529" spans="1:22" x14ac:dyDescent="0.25">
      <c r="A529" s="136"/>
      <c r="B529" s="150"/>
      <c r="C529" s="34" t="s">
        <v>56</v>
      </c>
      <c r="D529" s="22">
        <v>0</v>
      </c>
      <c r="E529" s="22"/>
      <c r="F529" s="22"/>
      <c r="G529" s="22"/>
      <c r="H529" s="22"/>
      <c r="I529" s="22"/>
      <c r="J529" s="22"/>
      <c r="K529" s="22"/>
      <c r="L529" s="22"/>
      <c r="M529" s="22">
        <f t="shared" si="115"/>
        <v>0</v>
      </c>
      <c r="N529" s="22"/>
      <c r="O529" s="22"/>
      <c r="P529" s="22"/>
      <c r="Q529" s="22"/>
      <c r="R529" s="22"/>
      <c r="S529" s="22"/>
      <c r="T529" s="22">
        <f t="shared" si="114"/>
        <v>0</v>
      </c>
      <c r="U529" s="35">
        <v>0</v>
      </c>
      <c r="V529" s="37">
        <f t="shared" si="112"/>
        <v>0</v>
      </c>
    </row>
    <row r="530" spans="1:22" x14ac:dyDescent="0.25">
      <c r="A530" s="136"/>
      <c r="B530" s="150"/>
      <c r="C530" s="34" t="s">
        <v>62</v>
      </c>
      <c r="D530" s="22">
        <v>0</v>
      </c>
      <c r="E530" s="22"/>
      <c r="F530" s="22"/>
      <c r="G530" s="22"/>
      <c r="H530" s="22"/>
      <c r="I530" s="22"/>
      <c r="J530" s="22"/>
      <c r="K530" s="22"/>
      <c r="L530" s="22"/>
      <c r="M530" s="22">
        <f t="shared" si="115"/>
        <v>0</v>
      </c>
      <c r="N530" s="22"/>
      <c r="O530" s="22"/>
      <c r="P530" s="22"/>
      <c r="Q530" s="22"/>
      <c r="R530" s="22"/>
      <c r="S530" s="22"/>
      <c r="T530" s="22">
        <f t="shared" si="114"/>
        <v>0</v>
      </c>
      <c r="U530" s="35">
        <v>0</v>
      </c>
      <c r="V530" s="39">
        <f t="shared" si="112"/>
        <v>0</v>
      </c>
    </row>
    <row r="531" spans="1:22" x14ac:dyDescent="0.25">
      <c r="A531" s="136"/>
      <c r="B531" s="150"/>
      <c r="C531" s="34" t="s">
        <v>57</v>
      </c>
      <c r="D531" s="22">
        <v>0</v>
      </c>
      <c r="E531" s="22"/>
      <c r="F531" s="22">
        <v>20000</v>
      </c>
      <c r="G531" s="22"/>
      <c r="H531" s="22"/>
      <c r="I531" s="22"/>
      <c r="J531" s="22"/>
      <c r="K531" s="22"/>
      <c r="L531" s="22"/>
      <c r="M531" s="22">
        <f t="shared" si="115"/>
        <v>20000</v>
      </c>
      <c r="N531" s="22"/>
      <c r="O531" s="22"/>
      <c r="P531" s="22"/>
      <c r="Q531" s="22"/>
      <c r="R531" s="22"/>
      <c r="S531" s="22"/>
      <c r="T531" s="22">
        <f t="shared" si="114"/>
        <v>20000</v>
      </c>
      <c r="U531" s="35">
        <v>20000</v>
      </c>
      <c r="V531" s="39">
        <f t="shared" si="112"/>
        <v>0</v>
      </c>
    </row>
    <row r="532" spans="1:22" x14ac:dyDescent="0.25">
      <c r="A532" s="136"/>
      <c r="B532" s="150"/>
      <c r="C532" s="34" t="s">
        <v>44</v>
      </c>
      <c r="D532" s="22">
        <v>16800</v>
      </c>
      <c r="E532" s="22"/>
      <c r="F532" s="22"/>
      <c r="G532" s="22"/>
      <c r="H532" s="22"/>
      <c r="I532" s="22"/>
      <c r="J532" s="22"/>
      <c r="K532" s="22"/>
      <c r="L532" s="22"/>
      <c r="M532" s="22">
        <f t="shared" si="115"/>
        <v>16800</v>
      </c>
      <c r="N532" s="22"/>
      <c r="O532" s="22"/>
      <c r="P532" s="22"/>
      <c r="Q532" s="22"/>
      <c r="R532" s="22"/>
      <c r="S532" s="22"/>
      <c r="T532" s="22">
        <f t="shared" si="114"/>
        <v>16800</v>
      </c>
      <c r="U532" s="35">
        <v>4200</v>
      </c>
      <c r="V532" s="39">
        <f t="shared" si="112"/>
        <v>12600</v>
      </c>
    </row>
    <row r="533" spans="1:22" x14ac:dyDescent="0.25">
      <c r="A533" s="136"/>
      <c r="B533" s="150"/>
      <c r="C533" s="34" t="s">
        <v>58</v>
      </c>
      <c r="D533" s="22">
        <v>0</v>
      </c>
      <c r="E533" s="22"/>
      <c r="F533" s="22"/>
      <c r="G533" s="22"/>
      <c r="H533" s="22"/>
      <c r="I533" s="22"/>
      <c r="J533" s="22"/>
      <c r="K533" s="22"/>
      <c r="L533" s="22"/>
      <c r="M533" s="22">
        <f t="shared" si="115"/>
        <v>0</v>
      </c>
      <c r="N533" s="22"/>
      <c r="O533" s="22"/>
      <c r="P533" s="22"/>
      <c r="Q533" s="22"/>
      <c r="R533" s="22"/>
      <c r="S533" s="22"/>
      <c r="T533" s="22">
        <f t="shared" si="114"/>
        <v>0</v>
      </c>
      <c r="U533" s="35">
        <v>0</v>
      </c>
      <c r="V533" s="39">
        <f t="shared" si="112"/>
        <v>0</v>
      </c>
    </row>
    <row r="534" spans="1:22" x14ac:dyDescent="0.25">
      <c r="A534" s="136"/>
      <c r="B534" s="150"/>
      <c r="C534" s="34" t="s">
        <v>59</v>
      </c>
      <c r="D534" s="22">
        <v>0</v>
      </c>
      <c r="E534" s="22"/>
      <c r="F534" s="22"/>
      <c r="G534" s="22"/>
      <c r="H534" s="22"/>
      <c r="I534" s="22"/>
      <c r="J534" s="22"/>
      <c r="K534" s="22"/>
      <c r="L534" s="22"/>
      <c r="M534" s="22">
        <f t="shared" si="115"/>
        <v>0</v>
      </c>
      <c r="N534" s="22"/>
      <c r="O534" s="22"/>
      <c r="P534" s="22"/>
      <c r="Q534" s="22"/>
      <c r="R534" s="22"/>
      <c r="S534" s="22"/>
      <c r="T534" s="22">
        <f t="shared" si="114"/>
        <v>0</v>
      </c>
      <c r="U534" s="35">
        <v>0</v>
      </c>
      <c r="V534" s="39">
        <f t="shared" si="112"/>
        <v>0</v>
      </c>
    </row>
    <row r="535" spans="1:22" x14ac:dyDescent="0.25">
      <c r="A535" s="136"/>
      <c r="B535" s="150"/>
      <c r="C535" s="34" t="s">
        <v>45</v>
      </c>
      <c r="D535" s="22">
        <v>14500</v>
      </c>
      <c r="E535" s="22"/>
      <c r="F535" s="22">
        <v>45953</v>
      </c>
      <c r="G535" s="22"/>
      <c r="H535" s="22"/>
      <c r="I535" s="22"/>
      <c r="J535" s="22"/>
      <c r="K535" s="22"/>
      <c r="L535" s="22"/>
      <c r="M535" s="22">
        <f t="shared" si="115"/>
        <v>60453</v>
      </c>
      <c r="N535" s="22"/>
      <c r="O535" s="22"/>
      <c r="P535" s="22"/>
      <c r="Q535" s="22"/>
      <c r="R535" s="22"/>
      <c r="S535" s="22"/>
      <c r="T535" s="22">
        <f t="shared" si="114"/>
        <v>60453</v>
      </c>
      <c r="U535" s="35">
        <v>10800</v>
      </c>
      <c r="V535" s="39">
        <f t="shared" si="112"/>
        <v>49653</v>
      </c>
    </row>
    <row r="536" spans="1:22" x14ac:dyDescent="0.25">
      <c r="A536" s="136"/>
      <c r="B536" s="150"/>
      <c r="C536" s="34" t="s">
        <v>60</v>
      </c>
      <c r="D536" s="22">
        <v>0</v>
      </c>
      <c r="E536" s="22"/>
      <c r="F536" s="22"/>
      <c r="G536" s="22"/>
      <c r="H536" s="22"/>
      <c r="I536" s="22"/>
      <c r="J536" s="22"/>
      <c r="K536" s="22"/>
      <c r="L536" s="22"/>
      <c r="M536" s="22">
        <f t="shared" si="115"/>
        <v>0</v>
      </c>
      <c r="N536" s="22"/>
      <c r="O536" s="22"/>
      <c r="P536" s="22"/>
      <c r="Q536" s="22"/>
      <c r="R536" s="22"/>
      <c r="S536" s="22"/>
      <c r="T536" s="22">
        <f t="shared" si="114"/>
        <v>0</v>
      </c>
      <c r="U536" s="35">
        <v>0</v>
      </c>
      <c r="V536" s="37">
        <f t="shared" si="112"/>
        <v>0</v>
      </c>
    </row>
    <row r="537" spans="1:22" x14ac:dyDescent="0.25">
      <c r="A537" s="136"/>
      <c r="B537" s="150"/>
      <c r="C537" s="83" t="s">
        <v>46</v>
      </c>
      <c r="D537" s="84">
        <f>SUM(D526:D536)</f>
        <v>101300</v>
      </c>
      <c r="E537" s="84">
        <f t="shared" ref="E537:U537" si="116">SUM(E526:E536)</f>
        <v>0</v>
      </c>
      <c r="F537" s="84">
        <f t="shared" si="116"/>
        <v>216150</v>
      </c>
      <c r="G537" s="84">
        <f t="shared" si="116"/>
        <v>0</v>
      </c>
      <c r="H537" s="84">
        <f t="shared" si="116"/>
        <v>0</v>
      </c>
      <c r="I537" s="84">
        <f t="shared" si="116"/>
        <v>0</v>
      </c>
      <c r="J537" s="84">
        <f t="shared" si="116"/>
        <v>0</v>
      </c>
      <c r="K537" s="84">
        <f t="shared" si="116"/>
        <v>0</v>
      </c>
      <c r="L537" s="84">
        <f t="shared" si="116"/>
        <v>0</v>
      </c>
      <c r="M537" s="84">
        <f t="shared" si="116"/>
        <v>317450</v>
      </c>
      <c r="N537" s="84">
        <f t="shared" si="116"/>
        <v>0</v>
      </c>
      <c r="O537" s="84">
        <f t="shared" si="116"/>
        <v>0</v>
      </c>
      <c r="P537" s="84">
        <f t="shared" si="116"/>
        <v>0</v>
      </c>
      <c r="Q537" s="84">
        <f t="shared" si="116"/>
        <v>0</v>
      </c>
      <c r="R537" s="84"/>
      <c r="S537" s="84"/>
      <c r="T537" s="84">
        <f t="shared" si="114"/>
        <v>317450</v>
      </c>
      <c r="U537" s="85">
        <f t="shared" si="116"/>
        <v>55000</v>
      </c>
      <c r="V537" s="86">
        <f t="shared" si="112"/>
        <v>262450</v>
      </c>
    </row>
    <row r="538" spans="1:22" x14ac:dyDescent="0.25">
      <c r="A538" s="136"/>
      <c r="B538" s="150"/>
      <c r="C538" s="34" t="s">
        <v>112</v>
      </c>
      <c r="D538" s="22">
        <v>0</v>
      </c>
      <c r="E538" s="22"/>
      <c r="F538" s="22"/>
      <c r="G538" s="22"/>
      <c r="H538" s="22"/>
      <c r="I538" s="22"/>
      <c r="J538" s="22"/>
      <c r="K538" s="22"/>
      <c r="L538" s="22"/>
      <c r="M538" s="22">
        <f>D538+E538+F538+G538+H538+J538+I538</f>
        <v>0</v>
      </c>
      <c r="N538" s="22"/>
      <c r="O538" s="22"/>
      <c r="P538" s="22"/>
      <c r="Q538" s="22"/>
      <c r="R538" s="22"/>
      <c r="S538" s="22"/>
      <c r="T538" s="22">
        <f t="shared" si="114"/>
        <v>0</v>
      </c>
      <c r="U538" s="35">
        <v>0</v>
      </c>
      <c r="V538" s="37">
        <f t="shared" si="112"/>
        <v>0</v>
      </c>
    </row>
    <row r="539" spans="1:22" x14ac:dyDescent="0.25">
      <c r="A539" s="136"/>
      <c r="B539" s="150"/>
      <c r="C539" s="34" t="s">
        <v>113</v>
      </c>
      <c r="D539" s="22">
        <v>0</v>
      </c>
      <c r="E539" s="22"/>
      <c r="F539" s="22"/>
      <c r="G539" s="22"/>
      <c r="H539" s="22"/>
      <c r="I539" s="22"/>
      <c r="J539" s="22"/>
      <c r="K539" s="22"/>
      <c r="L539" s="22"/>
      <c r="M539" s="22">
        <f>D539+E539+F539+G539+H539+J539+I539</f>
        <v>0</v>
      </c>
      <c r="N539" s="22"/>
      <c r="O539" s="22"/>
      <c r="P539" s="22"/>
      <c r="Q539" s="22"/>
      <c r="R539" s="22"/>
      <c r="S539" s="22"/>
      <c r="T539" s="22">
        <f t="shared" si="114"/>
        <v>0</v>
      </c>
      <c r="U539" s="35">
        <v>0</v>
      </c>
      <c r="V539" s="37">
        <f t="shared" si="112"/>
        <v>0</v>
      </c>
    </row>
    <row r="540" spans="1:22" x14ac:dyDescent="0.25">
      <c r="A540" s="136"/>
      <c r="B540" s="151"/>
      <c r="C540" s="83" t="s">
        <v>114</v>
      </c>
      <c r="D540" s="84">
        <f>SUM(D538:D539)</f>
        <v>0</v>
      </c>
      <c r="E540" s="84">
        <f t="shared" ref="E540:U540" si="117">SUM(E538:E539)</f>
        <v>0</v>
      </c>
      <c r="F540" s="84">
        <f t="shared" si="117"/>
        <v>0</v>
      </c>
      <c r="G540" s="84">
        <f t="shared" si="117"/>
        <v>0</v>
      </c>
      <c r="H540" s="84">
        <f t="shared" si="117"/>
        <v>0</v>
      </c>
      <c r="I540" s="84">
        <f t="shared" si="117"/>
        <v>0</v>
      </c>
      <c r="J540" s="84">
        <f t="shared" si="117"/>
        <v>0</v>
      </c>
      <c r="K540" s="84">
        <f t="shared" si="117"/>
        <v>0</v>
      </c>
      <c r="L540" s="84">
        <f t="shared" si="117"/>
        <v>0</v>
      </c>
      <c r="M540" s="84">
        <f t="shared" si="117"/>
        <v>0</v>
      </c>
      <c r="N540" s="84">
        <f t="shared" si="117"/>
        <v>0</v>
      </c>
      <c r="O540" s="84">
        <f t="shared" si="117"/>
        <v>0</v>
      </c>
      <c r="P540" s="84">
        <f t="shared" si="117"/>
        <v>0</v>
      </c>
      <c r="Q540" s="84">
        <f t="shared" si="117"/>
        <v>0</v>
      </c>
      <c r="R540" s="84"/>
      <c r="S540" s="84"/>
      <c r="T540" s="84">
        <f t="shared" si="114"/>
        <v>0</v>
      </c>
      <c r="U540" s="85">
        <f t="shared" si="117"/>
        <v>0</v>
      </c>
      <c r="V540" s="86">
        <f t="shared" si="112"/>
        <v>0</v>
      </c>
    </row>
    <row r="541" spans="1:22" x14ac:dyDescent="0.25">
      <c r="A541" s="136"/>
      <c r="B541" s="138" t="s">
        <v>21</v>
      </c>
      <c r="C541" s="34" t="s">
        <v>62</v>
      </c>
      <c r="D541" s="22">
        <v>36000</v>
      </c>
      <c r="E541" s="22"/>
      <c r="F541" s="22"/>
      <c r="G541" s="22"/>
      <c r="H541" s="22"/>
      <c r="I541" s="22"/>
      <c r="J541" s="22"/>
      <c r="K541" s="22"/>
      <c r="L541" s="22"/>
      <c r="M541" s="22">
        <f>D541+E541+F541+G541+H541+J541+I541</f>
        <v>36000</v>
      </c>
      <c r="N541" s="22"/>
      <c r="O541" s="22"/>
      <c r="P541" s="22"/>
      <c r="Q541" s="22"/>
      <c r="R541" s="22"/>
      <c r="S541" s="22"/>
      <c r="T541" s="22">
        <f t="shared" si="114"/>
        <v>36000</v>
      </c>
      <c r="U541" s="35">
        <v>21000</v>
      </c>
      <c r="V541" s="37">
        <f t="shared" si="112"/>
        <v>15000</v>
      </c>
    </row>
    <row r="542" spans="1:22" x14ac:dyDescent="0.25">
      <c r="A542" s="136"/>
      <c r="B542" s="138"/>
      <c r="C542" s="34" t="s">
        <v>57</v>
      </c>
      <c r="D542" s="25">
        <v>6000</v>
      </c>
      <c r="E542" s="22"/>
      <c r="F542" s="22"/>
      <c r="G542" s="22"/>
      <c r="H542" s="22"/>
      <c r="I542" s="22"/>
      <c r="J542" s="22"/>
      <c r="K542" s="22"/>
      <c r="L542" s="22"/>
      <c r="M542" s="22">
        <f>D542+E542+F542+G542+H542+J542+I542</f>
        <v>6000</v>
      </c>
      <c r="N542" s="22"/>
      <c r="O542" s="22"/>
      <c r="P542" s="22"/>
      <c r="Q542" s="22"/>
      <c r="R542" s="22"/>
      <c r="S542" s="22"/>
      <c r="T542" s="22">
        <f t="shared" si="114"/>
        <v>6000</v>
      </c>
      <c r="U542" s="35">
        <v>0</v>
      </c>
      <c r="V542" s="37">
        <f t="shared" si="112"/>
        <v>6000</v>
      </c>
    </row>
    <row r="543" spans="1:22" x14ac:dyDescent="0.25">
      <c r="A543" s="136"/>
      <c r="B543" s="138"/>
      <c r="C543" s="75" t="s">
        <v>64</v>
      </c>
      <c r="D543" s="22">
        <v>0</v>
      </c>
      <c r="E543" s="22"/>
      <c r="F543" s="22"/>
      <c r="G543" s="22"/>
      <c r="H543" s="22"/>
      <c r="I543" s="22"/>
      <c r="J543" s="22"/>
      <c r="K543" s="22"/>
      <c r="L543" s="22"/>
      <c r="M543" s="22">
        <f>D543+E543+F543+G543+H543+J543+I543</f>
        <v>0</v>
      </c>
      <c r="N543" s="22"/>
      <c r="O543" s="22"/>
      <c r="P543" s="22"/>
      <c r="Q543" s="22"/>
      <c r="R543" s="22"/>
      <c r="S543" s="22"/>
      <c r="T543" s="22">
        <f t="shared" si="114"/>
        <v>0</v>
      </c>
      <c r="U543" s="35">
        <v>0</v>
      </c>
      <c r="V543" s="37">
        <f t="shared" si="112"/>
        <v>0</v>
      </c>
    </row>
    <row r="544" spans="1:22" x14ac:dyDescent="0.25">
      <c r="A544" s="136"/>
      <c r="B544" s="138"/>
      <c r="C544" s="34" t="s">
        <v>58</v>
      </c>
      <c r="D544" s="22">
        <v>0</v>
      </c>
      <c r="E544" s="22"/>
      <c r="F544" s="22"/>
      <c r="G544" s="22"/>
      <c r="H544" s="22"/>
      <c r="I544" s="22"/>
      <c r="J544" s="22"/>
      <c r="K544" s="22"/>
      <c r="L544" s="22"/>
      <c r="M544" s="22">
        <f>D544+E544+F544+G544+H544+J544+I544</f>
        <v>0</v>
      </c>
      <c r="N544" s="22"/>
      <c r="O544" s="22"/>
      <c r="P544" s="22"/>
      <c r="Q544" s="22"/>
      <c r="R544" s="22"/>
      <c r="S544" s="22"/>
      <c r="T544" s="22">
        <f t="shared" si="114"/>
        <v>0</v>
      </c>
      <c r="U544" s="35">
        <v>0</v>
      </c>
      <c r="V544" s="37">
        <f t="shared" si="112"/>
        <v>0</v>
      </c>
    </row>
    <row r="545" spans="1:22" x14ac:dyDescent="0.25">
      <c r="A545" s="136"/>
      <c r="B545" s="138"/>
      <c r="C545" s="34" t="s">
        <v>45</v>
      </c>
      <c r="D545" s="22">
        <v>11340</v>
      </c>
      <c r="E545" s="22"/>
      <c r="F545" s="22"/>
      <c r="G545" s="22"/>
      <c r="H545" s="22"/>
      <c r="I545" s="22"/>
      <c r="J545" s="22"/>
      <c r="K545" s="22"/>
      <c r="L545" s="22"/>
      <c r="M545" s="22">
        <f>D545+E545+F545+G545+H545+J545+I545</f>
        <v>11340</v>
      </c>
      <c r="N545" s="22"/>
      <c r="O545" s="22"/>
      <c r="P545" s="22"/>
      <c r="Q545" s="22"/>
      <c r="R545" s="22"/>
      <c r="S545" s="22"/>
      <c r="T545" s="22">
        <f t="shared" si="114"/>
        <v>11340</v>
      </c>
      <c r="U545" s="35">
        <v>5670</v>
      </c>
      <c r="V545" s="37">
        <f t="shared" si="112"/>
        <v>5670</v>
      </c>
    </row>
    <row r="546" spans="1:22" x14ac:dyDescent="0.25">
      <c r="A546" s="136"/>
      <c r="B546" s="138"/>
      <c r="C546" s="83" t="s">
        <v>46</v>
      </c>
      <c r="D546" s="84">
        <f>SUM(D541:D545)</f>
        <v>53340</v>
      </c>
      <c r="E546" s="84">
        <f t="shared" ref="E546:U546" si="118">SUM(E541:E545)</f>
        <v>0</v>
      </c>
      <c r="F546" s="84">
        <f t="shared" si="118"/>
        <v>0</v>
      </c>
      <c r="G546" s="84">
        <f t="shared" si="118"/>
        <v>0</v>
      </c>
      <c r="H546" s="84">
        <f t="shared" si="118"/>
        <v>0</v>
      </c>
      <c r="I546" s="84">
        <f t="shared" si="118"/>
        <v>0</v>
      </c>
      <c r="J546" s="84">
        <f t="shared" si="118"/>
        <v>0</v>
      </c>
      <c r="K546" s="84">
        <f t="shared" si="118"/>
        <v>0</v>
      </c>
      <c r="L546" s="84">
        <f t="shared" si="118"/>
        <v>0</v>
      </c>
      <c r="M546" s="84">
        <f t="shared" si="118"/>
        <v>53340</v>
      </c>
      <c r="N546" s="84">
        <f t="shared" si="118"/>
        <v>0</v>
      </c>
      <c r="O546" s="84">
        <f t="shared" si="118"/>
        <v>0</v>
      </c>
      <c r="P546" s="84">
        <f t="shared" si="118"/>
        <v>0</v>
      </c>
      <c r="Q546" s="84">
        <f t="shared" si="118"/>
        <v>0</v>
      </c>
      <c r="R546" s="84"/>
      <c r="S546" s="84"/>
      <c r="T546" s="84">
        <f t="shared" si="114"/>
        <v>53340</v>
      </c>
      <c r="U546" s="85">
        <f t="shared" si="118"/>
        <v>26670</v>
      </c>
      <c r="V546" s="86">
        <f t="shared" si="112"/>
        <v>26670</v>
      </c>
    </row>
    <row r="547" spans="1:22" x14ac:dyDescent="0.25">
      <c r="A547" s="137" t="s">
        <v>96</v>
      </c>
      <c r="B547" s="139" t="s">
        <v>18</v>
      </c>
      <c r="C547" s="34" t="s">
        <v>40</v>
      </c>
      <c r="D547" s="22">
        <v>613248</v>
      </c>
      <c r="E547" s="22"/>
      <c r="F547" s="22"/>
      <c r="G547" s="22"/>
      <c r="H547" s="22"/>
      <c r="I547" s="22"/>
      <c r="J547" s="22"/>
      <c r="K547" s="22"/>
      <c r="L547" s="22"/>
      <c r="M547" s="22">
        <f>D547+E547+F547+G547+H547+J547+I547+K547</f>
        <v>613248</v>
      </c>
      <c r="N547" s="22"/>
      <c r="O547" s="22"/>
      <c r="P547" s="22"/>
      <c r="Q547" s="22"/>
      <c r="R547" s="22"/>
      <c r="S547" s="22"/>
      <c r="T547" s="22">
        <f t="shared" si="114"/>
        <v>613248</v>
      </c>
      <c r="U547" s="35">
        <v>367556</v>
      </c>
      <c r="V547" s="37">
        <f t="shared" si="112"/>
        <v>245692</v>
      </c>
    </row>
    <row r="548" spans="1:22" x14ac:dyDescent="0.25">
      <c r="A548" s="149"/>
      <c r="B548" s="151"/>
      <c r="C548" s="34" t="s">
        <v>42</v>
      </c>
      <c r="D548" s="22">
        <v>95053</v>
      </c>
      <c r="E548" s="22"/>
      <c r="F548" s="22"/>
      <c r="G548" s="22"/>
      <c r="H548" s="22"/>
      <c r="I548" s="22"/>
      <c r="J548" s="22"/>
      <c r="K548" s="22"/>
      <c r="L548" s="22"/>
      <c r="M548" s="22">
        <f>D548+E548+F548+G548+H548+J548+I548+K548</f>
        <v>95053</v>
      </c>
      <c r="N548" s="22"/>
      <c r="O548" s="22"/>
      <c r="P548" s="22"/>
      <c r="Q548" s="22"/>
      <c r="R548" s="22"/>
      <c r="S548" s="22"/>
      <c r="T548" s="22">
        <f t="shared" si="114"/>
        <v>95053</v>
      </c>
      <c r="U548" s="35">
        <v>55626</v>
      </c>
      <c r="V548" s="37">
        <f t="shared" si="112"/>
        <v>39427</v>
      </c>
    </row>
    <row r="549" spans="1:22" x14ac:dyDescent="0.25">
      <c r="A549" s="137" t="s">
        <v>97</v>
      </c>
      <c r="B549" s="139" t="s">
        <v>18</v>
      </c>
      <c r="C549" s="34" t="s">
        <v>51</v>
      </c>
      <c r="D549" s="22">
        <v>0</v>
      </c>
      <c r="E549" s="22"/>
      <c r="F549" s="22"/>
      <c r="G549" s="22"/>
      <c r="H549" s="22"/>
      <c r="I549" s="22"/>
      <c r="J549" s="22"/>
      <c r="K549" s="22"/>
      <c r="L549" s="22"/>
      <c r="M549" s="22">
        <f>D549+E549+F549+G549+H549+J549+I549+K549</f>
        <v>0</v>
      </c>
      <c r="N549" s="22"/>
      <c r="O549" s="22"/>
      <c r="P549" s="22"/>
      <c r="Q549" s="22"/>
      <c r="R549" s="22"/>
      <c r="S549" s="22"/>
      <c r="T549" s="22">
        <f t="shared" si="114"/>
        <v>0</v>
      </c>
      <c r="U549" s="35">
        <v>0</v>
      </c>
      <c r="V549" s="37">
        <f t="shared" si="112"/>
        <v>0</v>
      </c>
    </row>
    <row r="550" spans="1:22" x14ac:dyDescent="0.25">
      <c r="A550" s="149"/>
      <c r="B550" s="151"/>
      <c r="C550" s="34" t="s">
        <v>42</v>
      </c>
      <c r="D550" s="22">
        <v>0</v>
      </c>
      <c r="E550" s="22"/>
      <c r="F550" s="22"/>
      <c r="G550" s="22"/>
      <c r="H550" s="22"/>
      <c r="I550" s="22"/>
      <c r="J550" s="22"/>
      <c r="K550" s="22"/>
      <c r="L550" s="22"/>
      <c r="M550" s="22">
        <f>D550+E550+F550+G550+H550+J550+I550+K550</f>
        <v>0</v>
      </c>
      <c r="N550" s="22"/>
      <c r="O550" s="22"/>
      <c r="P550" s="22"/>
      <c r="Q550" s="22"/>
      <c r="R550" s="22"/>
      <c r="S550" s="22"/>
      <c r="T550" s="22">
        <f t="shared" si="114"/>
        <v>0</v>
      </c>
      <c r="U550" s="35">
        <v>0</v>
      </c>
      <c r="V550" s="37">
        <f t="shared" si="112"/>
        <v>0</v>
      </c>
    </row>
    <row r="551" spans="1:22" x14ac:dyDescent="0.25">
      <c r="A551" s="140" t="s">
        <v>126</v>
      </c>
      <c r="B551" s="141"/>
      <c r="C551" s="142"/>
      <c r="D551" s="96">
        <f>SUM(D518+D524+D525+D537+D540+D546+D547+D548+D549+D550)</f>
        <v>6995309</v>
      </c>
      <c r="E551" s="100">
        <f t="shared" ref="E551:Q551" si="119">SUM(E550,E549,E548,E547,E546,E540,E537,E525,E524,E518)</f>
        <v>0</v>
      </c>
      <c r="F551" s="100">
        <f t="shared" si="119"/>
        <v>216150</v>
      </c>
      <c r="G551" s="100">
        <f t="shared" si="119"/>
        <v>0</v>
      </c>
      <c r="H551" s="100">
        <f t="shared" si="119"/>
        <v>0</v>
      </c>
      <c r="I551" s="100">
        <f t="shared" si="119"/>
        <v>0</v>
      </c>
      <c r="J551" s="100">
        <f t="shared" si="119"/>
        <v>0</v>
      </c>
      <c r="K551" s="100">
        <f t="shared" si="119"/>
        <v>0</v>
      </c>
      <c r="L551" s="100">
        <f t="shared" si="119"/>
        <v>0</v>
      </c>
      <c r="M551" s="100">
        <f t="shared" si="119"/>
        <v>7211459</v>
      </c>
      <c r="N551" s="100">
        <f t="shared" si="119"/>
        <v>0</v>
      </c>
      <c r="O551" s="100">
        <f t="shared" si="119"/>
        <v>0</v>
      </c>
      <c r="P551" s="100">
        <f t="shared" si="119"/>
        <v>0</v>
      </c>
      <c r="Q551" s="100">
        <f t="shared" si="119"/>
        <v>0</v>
      </c>
      <c r="R551" s="100"/>
      <c r="S551" s="100"/>
      <c r="T551" s="100">
        <f t="shared" si="114"/>
        <v>7211459</v>
      </c>
      <c r="U551" s="101">
        <f>SUM(U550,U549,U548,U547,U546,U540,U537,U525,U524,U518)</f>
        <v>3676323</v>
      </c>
      <c r="V551" s="102">
        <f t="shared" si="112"/>
        <v>3535136</v>
      </c>
    </row>
    <row r="552" spans="1:22" x14ac:dyDescent="0.25">
      <c r="A552" s="137" t="s">
        <v>75</v>
      </c>
      <c r="B552" s="103" t="s">
        <v>6</v>
      </c>
      <c r="C552" s="34" t="s">
        <v>67</v>
      </c>
      <c r="D552" s="22">
        <v>0</v>
      </c>
      <c r="E552" s="22"/>
      <c r="F552" s="22"/>
      <c r="G552" s="22"/>
      <c r="H552" s="22"/>
      <c r="I552" s="22"/>
      <c r="J552" s="22"/>
      <c r="K552" s="22"/>
      <c r="L552" s="22"/>
      <c r="M552" s="22">
        <f>D552+E552+F552+G552+H552+J552+I552</f>
        <v>0</v>
      </c>
      <c r="N552" s="22"/>
      <c r="O552" s="22"/>
      <c r="P552" s="22"/>
      <c r="Q552" s="22"/>
      <c r="R552" s="22"/>
      <c r="S552" s="22"/>
      <c r="T552" s="22">
        <f t="shared" si="114"/>
        <v>0</v>
      </c>
      <c r="U552" s="35">
        <v>0</v>
      </c>
      <c r="V552" s="37">
        <f t="shared" si="112"/>
        <v>0</v>
      </c>
    </row>
    <row r="553" spans="1:22" x14ac:dyDescent="0.25">
      <c r="A553" s="148"/>
      <c r="B553" s="138" t="s">
        <v>39</v>
      </c>
      <c r="C553" s="34" t="s">
        <v>40</v>
      </c>
      <c r="D553" s="22">
        <v>0</v>
      </c>
      <c r="E553" s="22"/>
      <c r="F553" s="22"/>
      <c r="G553" s="22"/>
      <c r="H553" s="22"/>
      <c r="I553" s="22"/>
      <c r="J553" s="22"/>
      <c r="K553" s="22"/>
      <c r="L553" s="22"/>
      <c r="M553" s="22">
        <f>D553+E553+F553+G553+H553+J553+I553</f>
        <v>0</v>
      </c>
      <c r="N553" s="22"/>
      <c r="O553" s="22"/>
      <c r="P553" s="22"/>
      <c r="Q553" s="22"/>
      <c r="R553" s="22"/>
      <c r="S553" s="22"/>
      <c r="T553" s="22">
        <f t="shared" si="114"/>
        <v>0</v>
      </c>
      <c r="U553" s="35">
        <v>0</v>
      </c>
      <c r="V553" s="37">
        <f t="shared" si="112"/>
        <v>0</v>
      </c>
    </row>
    <row r="554" spans="1:22" x14ac:dyDescent="0.25">
      <c r="A554" s="148"/>
      <c r="B554" s="138"/>
      <c r="C554" s="34" t="s">
        <v>51</v>
      </c>
      <c r="D554" s="22">
        <v>0</v>
      </c>
      <c r="E554" s="22"/>
      <c r="F554" s="22"/>
      <c r="G554" s="22"/>
      <c r="H554" s="22"/>
      <c r="I554" s="22"/>
      <c r="J554" s="22"/>
      <c r="K554" s="22"/>
      <c r="L554" s="22"/>
      <c r="M554" s="22">
        <f>D554+E554+F554+G554+H554+J554+I554</f>
        <v>0</v>
      </c>
      <c r="N554" s="22"/>
      <c r="O554" s="22"/>
      <c r="P554" s="22"/>
      <c r="Q554" s="22"/>
      <c r="R554" s="22"/>
      <c r="S554" s="22"/>
      <c r="T554" s="22">
        <f t="shared" si="114"/>
        <v>0</v>
      </c>
      <c r="U554" s="35">
        <v>0</v>
      </c>
      <c r="V554" s="37">
        <f t="shared" si="112"/>
        <v>0</v>
      </c>
    </row>
    <row r="555" spans="1:22" x14ac:dyDescent="0.25">
      <c r="A555" s="148"/>
      <c r="B555" s="138"/>
      <c r="C555" s="83" t="s">
        <v>41</v>
      </c>
      <c r="D555" s="84">
        <f>SUM(D553:D554)</f>
        <v>0</v>
      </c>
      <c r="E555" s="84">
        <f t="shared" ref="E555:U555" si="120">SUM(E553:E554)</f>
        <v>0</v>
      </c>
      <c r="F555" s="84">
        <f t="shared" si="120"/>
        <v>0</v>
      </c>
      <c r="G555" s="84">
        <f t="shared" si="120"/>
        <v>0</v>
      </c>
      <c r="H555" s="84">
        <f t="shared" si="120"/>
        <v>0</v>
      </c>
      <c r="I555" s="84">
        <f t="shared" si="120"/>
        <v>0</v>
      </c>
      <c r="J555" s="84">
        <f t="shared" si="120"/>
        <v>0</v>
      </c>
      <c r="K555" s="84">
        <f t="shared" si="120"/>
        <v>0</v>
      </c>
      <c r="L555" s="84">
        <f t="shared" si="120"/>
        <v>0</v>
      </c>
      <c r="M555" s="84">
        <f t="shared" si="120"/>
        <v>0</v>
      </c>
      <c r="N555" s="84">
        <f t="shared" si="120"/>
        <v>0</v>
      </c>
      <c r="O555" s="84">
        <f t="shared" si="120"/>
        <v>0</v>
      </c>
      <c r="P555" s="84">
        <f t="shared" si="120"/>
        <v>0</v>
      </c>
      <c r="Q555" s="84">
        <f t="shared" si="120"/>
        <v>0</v>
      </c>
      <c r="R555" s="84"/>
      <c r="S555" s="84"/>
      <c r="T555" s="84">
        <f t="shared" si="114"/>
        <v>0</v>
      </c>
      <c r="U555" s="85">
        <f t="shared" si="120"/>
        <v>0</v>
      </c>
      <c r="V555" s="86">
        <f t="shared" si="112"/>
        <v>0</v>
      </c>
    </row>
    <row r="556" spans="1:22" x14ac:dyDescent="0.25">
      <c r="A556" s="148"/>
      <c r="B556" s="138"/>
      <c r="C556" s="87" t="s">
        <v>42</v>
      </c>
      <c r="D556" s="88">
        <v>0</v>
      </c>
      <c r="E556" s="88"/>
      <c r="F556" s="88"/>
      <c r="G556" s="88"/>
      <c r="H556" s="88"/>
      <c r="I556" s="88"/>
      <c r="J556" s="88"/>
      <c r="K556" s="88"/>
      <c r="L556" s="88"/>
      <c r="M556" s="89">
        <f>D556+E556+F556+G556+H556+J556</f>
        <v>0</v>
      </c>
      <c r="N556" s="89"/>
      <c r="O556" s="89"/>
      <c r="P556" s="89"/>
      <c r="Q556" s="89"/>
      <c r="R556" s="89"/>
      <c r="S556" s="89"/>
      <c r="T556" s="89">
        <f t="shared" si="114"/>
        <v>0</v>
      </c>
      <c r="U556" s="90">
        <v>0</v>
      </c>
      <c r="V556" s="91">
        <f t="shared" si="112"/>
        <v>0</v>
      </c>
    </row>
    <row r="557" spans="1:22" x14ac:dyDescent="0.25">
      <c r="A557" s="148"/>
      <c r="B557" s="139" t="s">
        <v>18</v>
      </c>
      <c r="C557" s="34" t="s">
        <v>40</v>
      </c>
      <c r="D557" s="22">
        <v>5226402</v>
      </c>
      <c r="E557" s="22"/>
      <c r="F557" s="22"/>
      <c r="G557" s="22"/>
      <c r="H557" s="22"/>
      <c r="I557" s="22"/>
      <c r="J557" s="22"/>
      <c r="K557" s="22"/>
      <c r="L557" s="22"/>
      <c r="M557" s="22">
        <f t="shared" ref="M557:M562" si="121">D557+E557+F557+G557+H557+J557+I557</f>
        <v>5226402</v>
      </c>
      <c r="N557" s="22"/>
      <c r="O557" s="22"/>
      <c r="P557" s="22"/>
      <c r="Q557" s="22"/>
      <c r="R557" s="22"/>
      <c r="S557" s="22"/>
      <c r="T557" s="22">
        <f t="shared" si="114"/>
        <v>5226402</v>
      </c>
      <c r="U557" s="35">
        <v>3075776</v>
      </c>
      <c r="V557" s="37">
        <f t="shared" si="112"/>
        <v>2150626</v>
      </c>
    </row>
    <row r="558" spans="1:22" x14ac:dyDescent="0.25">
      <c r="A558" s="148"/>
      <c r="B558" s="150"/>
      <c r="C558" s="34" t="s">
        <v>47</v>
      </c>
      <c r="D558" s="22">
        <v>200000</v>
      </c>
      <c r="E558" s="22"/>
      <c r="F558" s="22"/>
      <c r="G558" s="22"/>
      <c r="H558" s="22"/>
      <c r="I558" s="22"/>
      <c r="J558" s="22"/>
      <c r="K558" s="22"/>
      <c r="L558" s="22"/>
      <c r="M558" s="22">
        <f t="shared" si="121"/>
        <v>200000</v>
      </c>
      <c r="N558" s="22"/>
      <c r="O558" s="22"/>
      <c r="P558" s="22"/>
      <c r="Q558" s="22"/>
      <c r="R558" s="22"/>
      <c r="S558" s="22"/>
      <c r="T558" s="22">
        <f t="shared" si="114"/>
        <v>200000</v>
      </c>
      <c r="U558" s="35">
        <v>100000</v>
      </c>
      <c r="V558" s="37">
        <f t="shared" si="112"/>
        <v>100000</v>
      </c>
    </row>
    <row r="559" spans="1:22" x14ac:dyDescent="0.25">
      <c r="A559" s="148"/>
      <c r="B559" s="150"/>
      <c r="C559" s="34" t="s">
        <v>48</v>
      </c>
      <c r="D559" s="22">
        <v>20000</v>
      </c>
      <c r="E559" s="22"/>
      <c r="F559" s="22"/>
      <c r="G559" s="22"/>
      <c r="H559" s="22"/>
      <c r="I559" s="22"/>
      <c r="J559" s="22"/>
      <c r="K559" s="22"/>
      <c r="L559" s="22"/>
      <c r="M559" s="22">
        <f t="shared" si="121"/>
        <v>20000</v>
      </c>
      <c r="N559" s="22"/>
      <c r="O559" s="22"/>
      <c r="P559" s="22"/>
      <c r="Q559" s="22"/>
      <c r="R559" s="22"/>
      <c r="S559" s="22"/>
      <c r="T559" s="22">
        <f t="shared" si="114"/>
        <v>20000</v>
      </c>
      <c r="U559" s="35">
        <v>0</v>
      </c>
      <c r="V559" s="37">
        <f t="shared" si="112"/>
        <v>20000</v>
      </c>
    </row>
    <row r="560" spans="1:22" x14ac:dyDescent="0.25">
      <c r="A560" s="148"/>
      <c r="B560" s="150"/>
      <c r="C560" s="75" t="s">
        <v>49</v>
      </c>
      <c r="D560" s="22">
        <v>160000</v>
      </c>
      <c r="E560" s="22"/>
      <c r="F560" s="22"/>
      <c r="G560" s="22"/>
      <c r="H560" s="22"/>
      <c r="I560" s="22"/>
      <c r="J560" s="22"/>
      <c r="K560" s="22"/>
      <c r="L560" s="22"/>
      <c r="M560" s="22">
        <f t="shared" si="121"/>
        <v>160000</v>
      </c>
      <c r="N560" s="22"/>
      <c r="O560" s="22"/>
      <c r="P560" s="22"/>
      <c r="Q560" s="22"/>
      <c r="R560" s="22"/>
      <c r="S560" s="22"/>
      <c r="T560" s="22">
        <f t="shared" si="114"/>
        <v>160000</v>
      </c>
      <c r="U560" s="35">
        <v>0</v>
      </c>
      <c r="V560" s="37">
        <f t="shared" si="112"/>
        <v>160000</v>
      </c>
    </row>
    <row r="561" spans="1:22" x14ac:dyDescent="0.25">
      <c r="A561" s="148"/>
      <c r="B561" s="150"/>
      <c r="C561" s="34" t="s">
        <v>50</v>
      </c>
      <c r="D561" s="22">
        <v>24000</v>
      </c>
      <c r="E561" s="22"/>
      <c r="F561" s="22"/>
      <c r="G561" s="22"/>
      <c r="H561" s="22"/>
      <c r="I561" s="22"/>
      <c r="J561" s="22"/>
      <c r="K561" s="22"/>
      <c r="L561" s="22"/>
      <c r="M561" s="22">
        <f t="shared" si="121"/>
        <v>24000</v>
      </c>
      <c r="N561" s="22"/>
      <c r="O561" s="22"/>
      <c r="P561" s="22"/>
      <c r="Q561" s="22"/>
      <c r="R561" s="22"/>
      <c r="S561" s="22"/>
      <c r="T561" s="22">
        <f t="shared" si="114"/>
        <v>24000</v>
      </c>
      <c r="U561" s="35">
        <v>12000</v>
      </c>
      <c r="V561" s="37">
        <f t="shared" si="112"/>
        <v>12000</v>
      </c>
    </row>
    <row r="562" spans="1:22" x14ac:dyDescent="0.25">
      <c r="A562" s="148"/>
      <c r="B562" s="150"/>
      <c r="C562" s="34" t="s">
        <v>51</v>
      </c>
      <c r="D562" s="22">
        <v>12000</v>
      </c>
      <c r="E562" s="22"/>
      <c r="F562" s="22"/>
      <c r="G562" s="22"/>
      <c r="H562" s="22"/>
      <c r="I562" s="22"/>
      <c r="J562" s="22"/>
      <c r="K562" s="22"/>
      <c r="L562" s="22"/>
      <c r="M562" s="22">
        <f t="shared" si="121"/>
        <v>12000</v>
      </c>
      <c r="N562" s="22"/>
      <c r="O562" s="22"/>
      <c r="P562" s="22"/>
      <c r="Q562" s="22"/>
      <c r="R562" s="22"/>
      <c r="S562" s="22"/>
      <c r="T562" s="22">
        <f t="shared" si="114"/>
        <v>12000</v>
      </c>
      <c r="U562" s="35">
        <v>2000</v>
      </c>
      <c r="V562" s="37">
        <f t="shared" si="112"/>
        <v>10000</v>
      </c>
    </row>
    <row r="563" spans="1:22" x14ac:dyDescent="0.25">
      <c r="A563" s="148"/>
      <c r="B563" s="150"/>
      <c r="C563" s="83" t="s">
        <v>41</v>
      </c>
      <c r="D563" s="84">
        <f>SUM(D557:D562)</f>
        <v>5642402</v>
      </c>
      <c r="E563" s="84">
        <f t="shared" ref="E563:U563" si="122">SUM(E557:E562)</f>
        <v>0</v>
      </c>
      <c r="F563" s="84">
        <f t="shared" si="122"/>
        <v>0</v>
      </c>
      <c r="G563" s="84">
        <f t="shared" si="122"/>
        <v>0</v>
      </c>
      <c r="H563" s="84">
        <f t="shared" si="122"/>
        <v>0</v>
      </c>
      <c r="I563" s="84">
        <f t="shared" si="122"/>
        <v>0</v>
      </c>
      <c r="J563" s="84">
        <f t="shared" si="122"/>
        <v>0</v>
      </c>
      <c r="K563" s="84">
        <f t="shared" si="122"/>
        <v>0</v>
      </c>
      <c r="L563" s="84">
        <f t="shared" si="122"/>
        <v>0</v>
      </c>
      <c r="M563" s="84">
        <f t="shared" si="122"/>
        <v>5642402</v>
      </c>
      <c r="N563" s="84">
        <f t="shared" si="122"/>
        <v>0</v>
      </c>
      <c r="O563" s="84">
        <f t="shared" si="122"/>
        <v>0</v>
      </c>
      <c r="P563" s="84">
        <f t="shared" si="122"/>
        <v>0</v>
      </c>
      <c r="Q563" s="84">
        <f t="shared" si="122"/>
        <v>0</v>
      </c>
      <c r="R563" s="84"/>
      <c r="S563" s="84"/>
      <c r="T563" s="84">
        <f t="shared" si="114"/>
        <v>5642402</v>
      </c>
      <c r="U563" s="85">
        <f t="shared" si="122"/>
        <v>3189776</v>
      </c>
      <c r="V563" s="86">
        <f t="shared" si="112"/>
        <v>2452626</v>
      </c>
    </row>
    <row r="564" spans="1:22" x14ac:dyDescent="0.25">
      <c r="A564" s="148"/>
      <c r="B564" s="150"/>
      <c r="C564" s="87" t="s">
        <v>42</v>
      </c>
      <c r="D564" s="88">
        <v>864273</v>
      </c>
      <c r="E564" s="88"/>
      <c r="F564" s="88"/>
      <c r="G564" s="88"/>
      <c r="H564" s="88"/>
      <c r="I564" s="88"/>
      <c r="J564" s="88"/>
      <c r="K564" s="88"/>
      <c r="L564" s="88"/>
      <c r="M564" s="89">
        <f>D564+E564+F564+G564+H564+J564</f>
        <v>864273</v>
      </c>
      <c r="N564" s="89"/>
      <c r="O564" s="89"/>
      <c r="P564" s="89"/>
      <c r="Q564" s="89"/>
      <c r="R564" s="89"/>
      <c r="S564" s="89"/>
      <c r="T564" s="89">
        <f t="shared" si="114"/>
        <v>864273</v>
      </c>
      <c r="U564" s="90">
        <v>497283</v>
      </c>
      <c r="V564" s="91">
        <f t="shared" si="112"/>
        <v>366990</v>
      </c>
    </row>
    <row r="565" spans="1:22" x14ac:dyDescent="0.25">
      <c r="A565" s="148"/>
      <c r="B565" s="150"/>
      <c r="C565" s="34" t="s">
        <v>43</v>
      </c>
      <c r="D565" s="22">
        <v>20000</v>
      </c>
      <c r="E565" s="22">
        <v>-8000</v>
      </c>
      <c r="F565" s="22"/>
      <c r="G565" s="22"/>
      <c r="H565" s="22"/>
      <c r="I565" s="22"/>
      <c r="J565" s="22"/>
      <c r="K565" s="22"/>
      <c r="L565" s="22"/>
      <c r="M565" s="22">
        <f t="shared" ref="M565:M575" si="123">D565+E565+F565+G565+H565+J565+I565</f>
        <v>12000</v>
      </c>
      <c r="N565" s="22"/>
      <c r="O565" s="22"/>
      <c r="P565" s="22"/>
      <c r="Q565" s="22"/>
      <c r="R565" s="22"/>
      <c r="S565" s="22"/>
      <c r="T565" s="22">
        <f t="shared" si="114"/>
        <v>12000</v>
      </c>
      <c r="U565" s="66">
        <v>0</v>
      </c>
      <c r="V565" s="39">
        <f t="shared" si="112"/>
        <v>12000</v>
      </c>
    </row>
    <row r="566" spans="1:22" x14ac:dyDescent="0.25">
      <c r="A566" s="148"/>
      <c r="B566" s="150"/>
      <c r="C566" s="34" t="s">
        <v>53</v>
      </c>
      <c r="D566" s="22">
        <v>85000</v>
      </c>
      <c r="E566" s="22">
        <v>-6000</v>
      </c>
      <c r="F566" s="22">
        <v>155669</v>
      </c>
      <c r="G566" s="22"/>
      <c r="H566" s="22"/>
      <c r="I566" s="22"/>
      <c r="J566" s="22"/>
      <c r="K566" s="22"/>
      <c r="L566" s="22"/>
      <c r="M566" s="22">
        <f t="shared" si="123"/>
        <v>234669</v>
      </c>
      <c r="N566" s="22">
        <v>-30000</v>
      </c>
      <c r="O566" s="22"/>
      <c r="P566" s="22"/>
      <c r="Q566" s="22"/>
      <c r="R566" s="22"/>
      <c r="S566" s="22"/>
      <c r="T566" s="22">
        <f t="shared" si="114"/>
        <v>204669</v>
      </c>
      <c r="U566" s="66">
        <v>0</v>
      </c>
      <c r="V566" s="39">
        <f t="shared" si="112"/>
        <v>204669</v>
      </c>
    </row>
    <row r="567" spans="1:22" x14ac:dyDescent="0.25">
      <c r="A567" s="148"/>
      <c r="B567" s="150"/>
      <c r="C567" s="75" t="s">
        <v>54</v>
      </c>
      <c r="D567" s="22">
        <v>0</v>
      </c>
      <c r="E567" s="22"/>
      <c r="F567" s="22"/>
      <c r="G567" s="22"/>
      <c r="H567" s="22"/>
      <c r="I567" s="22"/>
      <c r="J567" s="22"/>
      <c r="K567" s="22"/>
      <c r="L567" s="22"/>
      <c r="M567" s="22">
        <f t="shared" si="123"/>
        <v>0</v>
      </c>
      <c r="N567" s="22">
        <v>30000</v>
      </c>
      <c r="O567" s="22"/>
      <c r="P567" s="22"/>
      <c r="Q567" s="22"/>
      <c r="R567" s="22"/>
      <c r="S567" s="22"/>
      <c r="T567" s="22">
        <f t="shared" si="114"/>
        <v>30000</v>
      </c>
      <c r="U567" s="66">
        <v>30000</v>
      </c>
      <c r="V567" s="66">
        <f t="shared" si="112"/>
        <v>0</v>
      </c>
    </row>
    <row r="568" spans="1:22" x14ac:dyDescent="0.25">
      <c r="A568" s="148"/>
      <c r="B568" s="150"/>
      <c r="C568" s="34" t="s">
        <v>56</v>
      </c>
      <c r="D568" s="22">
        <v>0</v>
      </c>
      <c r="E568" s="22"/>
      <c r="F568" s="22"/>
      <c r="G568" s="22"/>
      <c r="H568" s="22"/>
      <c r="I568" s="22"/>
      <c r="J568" s="22"/>
      <c r="K568" s="22"/>
      <c r="L568" s="22"/>
      <c r="M568" s="22">
        <f t="shared" si="123"/>
        <v>0</v>
      </c>
      <c r="N568" s="22"/>
      <c r="O568" s="22"/>
      <c r="P568" s="22"/>
      <c r="Q568" s="22"/>
      <c r="R568" s="22"/>
      <c r="S568" s="22"/>
      <c r="T568" s="22">
        <f t="shared" si="114"/>
        <v>0</v>
      </c>
      <c r="U568" s="66">
        <v>0</v>
      </c>
      <c r="V568" s="39">
        <f t="shared" si="112"/>
        <v>0</v>
      </c>
    </row>
    <row r="569" spans="1:22" x14ac:dyDescent="0.25">
      <c r="A569" s="148"/>
      <c r="B569" s="150"/>
      <c r="C569" s="34" t="s">
        <v>62</v>
      </c>
      <c r="D569" s="22">
        <v>0</v>
      </c>
      <c r="E569" s="22"/>
      <c r="F569" s="22"/>
      <c r="G569" s="22"/>
      <c r="H569" s="22"/>
      <c r="I569" s="22"/>
      <c r="J569" s="22"/>
      <c r="K569" s="22"/>
      <c r="L569" s="22"/>
      <c r="M569" s="22">
        <f t="shared" si="123"/>
        <v>0</v>
      </c>
      <c r="N569" s="22"/>
      <c r="O569" s="22"/>
      <c r="P569" s="22"/>
      <c r="Q569" s="22"/>
      <c r="R569" s="22"/>
      <c r="S569" s="22"/>
      <c r="T569" s="22">
        <f t="shared" si="114"/>
        <v>0</v>
      </c>
      <c r="U569" s="66">
        <v>0</v>
      </c>
      <c r="V569" s="39">
        <f t="shared" si="112"/>
        <v>0</v>
      </c>
    </row>
    <row r="570" spans="1:22" x14ac:dyDescent="0.25">
      <c r="A570" s="148"/>
      <c r="B570" s="150"/>
      <c r="C570" s="34" t="s">
        <v>57</v>
      </c>
      <c r="D570" s="22"/>
      <c r="E570" s="22"/>
      <c r="F570" s="22">
        <v>30000</v>
      </c>
      <c r="G570" s="22"/>
      <c r="H570" s="22"/>
      <c r="I570" s="22"/>
      <c r="J570" s="22"/>
      <c r="K570" s="22"/>
      <c r="L570" s="22"/>
      <c r="M570" s="22">
        <f t="shared" si="123"/>
        <v>30000</v>
      </c>
      <c r="N570" s="22"/>
      <c r="O570" s="22"/>
      <c r="P570" s="22"/>
      <c r="Q570" s="22"/>
      <c r="R570" s="22"/>
      <c r="S570" s="22"/>
      <c r="T570" s="22">
        <f t="shared" si="114"/>
        <v>30000</v>
      </c>
      <c r="U570" s="66">
        <v>30000</v>
      </c>
      <c r="V570" s="39">
        <f t="shared" si="112"/>
        <v>0</v>
      </c>
    </row>
    <row r="571" spans="1:22" x14ac:dyDescent="0.25">
      <c r="A571" s="148"/>
      <c r="B571" s="150"/>
      <c r="C571" s="34" t="s">
        <v>44</v>
      </c>
      <c r="D571" s="22">
        <v>16800</v>
      </c>
      <c r="E571" s="22"/>
      <c r="F571" s="22"/>
      <c r="G571" s="22"/>
      <c r="H571" s="22"/>
      <c r="I571" s="22"/>
      <c r="J571" s="22"/>
      <c r="K571" s="22"/>
      <c r="L571" s="22"/>
      <c r="M571" s="22">
        <f t="shared" si="123"/>
        <v>16800</v>
      </c>
      <c r="N571" s="22"/>
      <c r="O571" s="22"/>
      <c r="P571" s="22"/>
      <c r="Q571" s="22"/>
      <c r="R571" s="22"/>
      <c r="S571" s="22"/>
      <c r="T571" s="22">
        <f t="shared" si="114"/>
        <v>16800</v>
      </c>
      <c r="U571" s="66">
        <v>4200</v>
      </c>
      <c r="V571" s="39">
        <f t="shared" si="112"/>
        <v>12600</v>
      </c>
    </row>
    <row r="572" spans="1:22" x14ac:dyDescent="0.25">
      <c r="A572" s="148"/>
      <c r="B572" s="150"/>
      <c r="C572" s="34" t="s">
        <v>58</v>
      </c>
      <c r="D572" s="22">
        <v>0</v>
      </c>
      <c r="E572" s="22"/>
      <c r="F572" s="22"/>
      <c r="G572" s="22"/>
      <c r="H572" s="22"/>
      <c r="I572" s="22"/>
      <c r="J572" s="22"/>
      <c r="K572" s="22"/>
      <c r="L572" s="22"/>
      <c r="M572" s="22">
        <f t="shared" si="123"/>
        <v>0</v>
      </c>
      <c r="N572" s="22"/>
      <c r="O572" s="22"/>
      <c r="P572" s="22"/>
      <c r="Q572" s="22"/>
      <c r="R572" s="22"/>
      <c r="S572" s="22"/>
      <c r="T572" s="22">
        <f t="shared" si="114"/>
        <v>0</v>
      </c>
      <c r="U572" s="66">
        <v>0</v>
      </c>
      <c r="V572" s="39">
        <f t="shared" si="112"/>
        <v>0</v>
      </c>
    </row>
    <row r="573" spans="1:22" x14ac:dyDescent="0.25">
      <c r="A573" s="148"/>
      <c r="B573" s="150"/>
      <c r="C573" s="34" t="s">
        <v>59</v>
      </c>
      <c r="D573" s="22">
        <v>0</v>
      </c>
      <c r="E573" s="22"/>
      <c r="F573" s="22"/>
      <c r="G573" s="22"/>
      <c r="H573" s="22"/>
      <c r="I573" s="22"/>
      <c r="J573" s="22"/>
      <c r="K573" s="22"/>
      <c r="L573" s="22"/>
      <c r="M573" s="22">
        <f t="shared" si="123"/>
        <v>0</v>
      </c>
      <c r="N573" s="22"/>
      <c r="O573" s="22"/>
      <c r="P573" s="22"/>
      <c r="Q573" s="22"/>
      <c r="R573" s="22"/>
      <c r="S573" s="22"/>
      <c r="T573" s="22">
        <f t="shared" si="114"/>
        <v>0</v>
      </c>
      <c r="U573" s="66">
        <v>0</v>
      </c>
      <c r="V573" s="39">
        <f t="shared" si="112"/>
        <v>0</v>
      </c>
    </row>
    <row r="574" spans="1:22" x14ac:dyDescent="0.25">
      <c r="A574" s="148"/>
      <c r="B574" s="150"/>
      <c r="C574" s="34" t="s">
        <v>45</v>
      </c>
      <c r="D574" s="22">
        <v>23950</v>
      </c>
      <c r="E574" s="22"/>
      <c r="F574" s="22">
        <v>50131</v>
      </c>
      <c r="G574" s="22"/>
      <c r="H574" s="22"/>
      <c r="I574" s="22"/>
      <c r="J574" s="22"/>
      <c r="K574" s="22"/>
      <c r="L574" s="22"/>
      <c r="M574" s="22">
        <f t="shared" si="123"/>
        <v>74081</v>
      </c>
      <c r="N574" s="22"/>
      <c r="O574" s="22"/>
      <c r="P574" s="22"/>
      <c r="Q574" s="22"/>
      <c r="R574" s="22"/>
      <c r="S574" s="22"/>
      <c r="T574" s="22">
        <f t="shared" si="114"/>
        <v>74081</v>
      </c>
      <c r="U574" s="66">
        <v>16200</v>
      </c>
      <c r="V574" s="39">
        <f t="shared" si="112"/>
        <v>57881</v>
      </c>
    </row>
    <row r="575" spans="1:22" x14ac:dyDescent="0.25">
      <c r="A575" s="148"/>
      <c r="B575" s="150"/>
      <c r="C575" s="34" t="s">
        <v>60</v>
      </c>
      <c r="D575" s="22">
        <v>0</v>
      </c>
      <c r="E575" s="22"/>
      <c r="F575" s="22"/>
      <c r="G575" s="22"/>
      <c r="H575" s="22"/>
      <c r="I575" s="22"/>
      <c r="J575" s="22"/>
      <c r="K575" s="22"/>
      <c r="L575" s="22"/>
      <c r="M575" s="22">
        <f t="shared" si="123"/>
        <v>0</v>
      </c>
      <c r="N575" s="22"/>
      <c r="O575" s="22"/>
      <c r="P575" s="22"/>
      <c r="Q575" s="22"/>
      <c r="R575" s="22"/>
      <c r="S575" s="22"/>
      <c r="T575" s="22">
        <f t="shared" si="114"/>
        <v>0</v>
      </c>
      <c r="U575" s="35">
        <v>0</v>
      </c>
      <c r="V575" s="37">
        <f t="shared" si="112"/>
        <v>0</v>
      </c>
    </row>
    <row r="576" spans="1:22" x14ac:dyDescent="0.25">
      <c r="A576" s="148"/>
      <c r="B576" s="150"/>
      <c r="C576" s="83" t="s">
        <v>46</v>
      </c>
      <c r="D576" s="84">
        <f>SUM(D565:D575)</f>
        <v>145750</v>
      </c>
      <c r="E576" s="84">
        <f t="shared" ref="E576:U576" si="124">SUM(E565:E575)</f>
        <v>-14000</v>
      </c>
      <c r="F576" s="84">
        <f t="shared" si="124"/>
        <v>235800</v>
      </c>
      <c r="G576" s="84">
        <f t="shared" si="124"/>
        <v>0</v>
      </c>
      <c r="H576" s="84">
        <f t="shared" si="124"/>
        <v>0</v>
      </c>
      <c r="I576" s="84">
        <f t="shared" si="124"/>
        <v>0</v>
      </c>
      <c r="J576" s="84">
        <f t="shared" si="124"/>
        <v>0</v>
      </c>
      <c r="K576" s="84">
        <f t="shared" si="124"/>
        <v>0</v>
      </c>
      <c r="L576" s="84">
        <f t="shared" si="124"/>
        <v>0</v>
      </c>
      <c r="M576" s="84">
        <f t="shared" si="124"/>
        <v>367550</v>
      </c>
      <c r="N576" s="84">
        <f t="shared" si="124"/>
        <v>0</v>
      </c>
      <c r="O576" s="84">
        <f t="shared" si="124"/>
        <v>0</v>
      </c>
      <c r="P576" s="84">
        <f t="shared" si="124"/>
        <v>0</v>
      </c>
      <c r="Q576" s="84">
        <f t="shared" si="124"/>
        <v>0</v>
      </c>
      <c r="R576" s="84"/>
      <c r="S576" s="84"/>
      <c r="T576" s="84">
        <f t="shared" si="114"/>
        <v>367550</v>
      </c>
      <c r="U576" s="85">
        <f t="shared" si="124"/>
        <v>80400</v>
      </c>
      <c r="V576" s="86">
        <f t="shared" si="112"/>
        <v>287150</v>
      </c>
    </row>
    <row r="577" spans="1:22" x14ac:dyDescent="0.25">
      <c r="A577" s="148"/>
      <c r="B577" s="150"/>
      <c r="C577" s="34" t="s">
        <v>112</v>
      </c>
      <c r="D577" s="22">
        <v>0</v>
      </c>
      <c r="E577" s="22"/>
      <c r="F577" s="22"/>
      <c r="G577" s="22"/>
      <c r="H577" s="22"/>
      <c r="I577" s="22"/>
      <c r="J577" s="22"/>
      <c r="K577" s="22"/>
      <c r="L577" s="22"/>
      <c r="M577" s="22">
        <f>D577+E577+F577+G577+H577+J577+I577</f>
        <v>0</v>
      </c>
      <c r="N577" s="22"/>
      <c r="O577" s="22"/>
      <c r="P577" s="22"/>
      <c r="Q577" s="22"/>
      <c r="R577" s="22"/>
      <c r="S577" s="22"/>
      <c r="T577" s="22">
        <f t="shared" si="114"/>
        <v>0</v>
      </c>
      <c r="U577" s="35">
        <v>0</v>
      </c>
      <c r="V577" s="37">
        <f t="shared" si="112"/>
        <v>0</v>
      </c>
    </row>
    <row r="578" spans="1:22" x14ac:dyDescent="0.25">
      <c r="A578" s="148"/>
      <c r="B578" s="150"/>
      <c r="C578" s="34" t="s">
        <v>113</v>
      </c>
      <c r="D578" s="22">
        <v>0</v>
      </c>
      <c r="E578" s="22"/>
      <c r="F578" s="22"/>
      <c r="G578" s="22"/>
      <c r="H578" s="22"/>
      <c r="I578" s="22"/>
      <c r="J578" s="22"/>
      <c r="K578" s="22"/>
      <c r="L578" s="22"/>
      <c r="M578" s="22">
        <f>D578+E578+F578+G578+H578+J578+I578</f>
        <v>0</v>
      </c>
      <c r="N578" s="22"/>
      <c r="O578" s="22"/>
      <c r="P578" s="22"/>
      <c r="Q578" s="22"/>
      <c r="R578" s="22"/>
      <c r="S578" s="22"/>
      <c r="T578" s="22">
        <f t="shared" si="114"/>
        <v>0</v>
      </c>
      <c r="U578" s="35">
        <v>0</v>
      </c>
      <c r="V578" s="37">
        <f t="shared" si="112"/>
        <v>0</v>
      </c>
    </row>
    <row r="579" spans="1:22" x14ac:dyDescent="0.25">
      <c r="A579" s="148"/>
      <c r="B579" s="151"/>
      <c r="C579" s="83" t="s">
        <v>114</v>
      </c>
      <c r="D579" s="84">
        <f>SUM(D577:D578)</f>
        <v>0</v>
      </c>
      <c r="E579" s="84">
        <f t="shared" ref="E579:U579" si="125">SUM(E577:E578)</f>
        <v>0</v>
      </c>
      <c r="F579" s="84">
        <f t="shared" si="125"/>
        <v>0</v>
      </c>
      <c r="G579" s="84">
        <f t="shared" si="125"/>
        <v>0</v>
      </c>
      <c r="H579" s="84">
        <f t="shared" si="125"/>
        <v>0</v>
      </c>
      <c r="I579" s="84">
        <f t="shared" si="125"/>
        <v>0</v>
      </c>
      <c r="J579" s="84">
        <f t="shared" si="125"/>
        <v>0</v>
      </c>
      <c r="K579" s="84">
        <f t="shared" si="125"/>
        <v>0</v>
      </c>
      <c r="L579" s="84">
        <f t="shared" si="125"/>
        <v>0</v>
      </c>
      <c r="M579" s="84">
        <f t="shared" si="125"/>
        <v>0</v>
      </c>
      <c r="N579" s="84">
        <f t="shared" si="125"/>
        <v>0</v>
      </c>
      <c r="O579" s="84">
        <f t="shared" si="125"/>
        <v>0</v>
      </c>
      <c r="P579" s="84">
        <f t="shared" si="125"/>
        <v>0</v>
      </c>
      <c r="Q579" s="84">
        <f t="shared" si="125"/>
        <v>0</v>
      </c>
      <c r="R579" s="84"/>
      <c r="S579" s="84"/>
      <c r="T579" s="84">
        <f t="shared" si="114"/>
        <v>0</v>
      </c>
      <c r="U579" s="85">
        <f t="shared" si="125"/>
        <v>0</v>
      </c>
      <c r="V579" s="86">
        <f t="shared" si="112"/>
        <v>0</v>
      </c>
    </row>
    <row r="580" spans="1:22" x14ac:dyDescent="0.25">
      <c r="A580" s="148"/>
      <c r="B580" s="139" t="s">
        <v>21</v>
      </c>
      <c r="C580" s="34" t="s">
        <v>62</v>
      </c>
      <c r="D580" s="22">
        <v>336000</v>
      </c>
      <c r="E580" s="22"/>
      <c r="F580" s="22"/>
      <c r="G580" s="22"/>
      <c r="H580" s="22"/>
      <c r="I580" s="22"/>
      <c r="J580" s="22"/>
      <c r="K580" s="22"/>
      <c r="L580" s="22"/>
      <c r="M580" s="22">
        <f>D580+E580+F580+G580+H580+J580+I580</f>
        <v>336000</v>
      </c>
      <c r="N580" s="22"/>
      <c r="O580" s="22"/>
      <c r="P580" s="22"/>
      <c r="Q580" s="22"/>
      <c r="R580" s="22"/>
      <c r="S580" s="22"/>
      <c r="T580" s="22">
        <f t="shared" si="114"/>
        <v>336000</v>
      </c>
      <c r="U580" s="35">
        <v>196000</v>
      </c>
      <c r="V580" s="37">
        <f t="shared" si="112"/>
        <v>140000</v>
      </c>
    </row>
    <row r="581" spans="1:22" x14ac:dyDescent="0.25">
      <c r="A581" s="148"/>
      <c r="B581" s="150"/>
      <c r="C581" s="34" t="s">
        <v>57</v>
      </c>
      <c r="D581" s="22">
        <v>18000</v>
      </c>
      <c r="E581" s="22">
        <v>6000</v>
      </c>
      <c r="F581" s="22"/>
      <c r="G581" s="22"/>
      <c r="H581" s="22"/>
      <c r="I581" s="22"/>
      <c r="J581" s="22"/>
      <c r="K581" s="22"/>
      <c r="L581" s="22"/>
      <c r="M581" s="22">
        <f>D581+E581+F581+G581+H581+J581+I581</f>
        <v>24000</v>
      </c>
      <c r="N581" s="22"/>
      <c r="O581" s="22"/>
      <c r="P581" s="22"/>
      <c r="Q581" s="22"/>
      <c r="R581" s="22"/>
      <c r="S581" s="22"/>
      <c r="T581" s="22">
        <f t="shared" si="114"/>
        <v>24000</v>
      </c>
      <c r="U581" s="35">
        <v>24000</v>
      </c>
      <c r="V581" s="37">
        <f t="shared" si="112"/>
        <v>0</v>
      </c>
    </row>
    <row r="582" spans="1:22" x14ac:dyDescent="0.25">
      <c r="A582" s="148"/>
      <c r="B582" s="150"/>
      <c r="C582" s="34" t="s">
        <v>58</v>
      </c>
      <c r="D582" s="22">
        <v>0</v>
      </c>
      <c r="E582" s="22">
        <v>8000</v>
      </c>
      <c r="F582" s="22"/>
      <c r="G582" s="22"/>
      <c r="H582" s="22"/>
      <c r="I582" s="22"/>
      <c r="J582" s="22"/>
      <c r="K582" s="22"/>
      <c r="L582" s="22"/>
      <c r="M582" s="22">
        <f>D582+E582+F582+G582+H582+J582+I582</f>
        <v>8000</v>
      </c>
      <c r="N582" s="22"/>
      <c r="O582" s="22"/>
      <c r="P582" s="22"/>
      <c r="Q582" s="22"/>
      <c r="R582" s="22"/>
      <c r="S582" s="22"/>
      <c r="T582" s="22">
        <f t="shared" si="114"/>
        <v>8000</v>
      </c>
      <c r="U582" s="35">
        <v>8000</v>
      </c>
      <c r="V582" s="37">
        <f t="shared" si="112"/>
        <v>0</v>
      </c>
    </row>
    <row r="583" spans="1:22" x14ac:dyDescent="0.25">
      <c r="A583" s="148"/>
      <c r="B583" s="150"/>
      <c r="C583" s="34" t="s">
        <v>45</v>
      </c>
      <c r="D583" s="22">
        <v>95580</v>
      </c>
      <c r="E583" s="22"/>
      <c r="F583" s="22"/>
      <c r="G583" s="22"/>
      <c r="H583" s="22"/>
      <c r="I583" s="22"/>
      <c r="J583" s="22"/>
      <c r="K583" s="22"/>
      <c r="L583" s="22"/>
      <c r="M583" s="22">
        <f>D583+E583+F583+G583+H583+J583+I583</f>
        <v>95580</v>
      </c>
      <c r="N583" s="22"/>
      <c r="O583" s="22"/>
      <c r="P583" s="22"/>
      <c r="Q583" s="22"/>
      <c r="R583" s="22"/>
      <c r="S583" s="22"/>
      <c r="T583" s="22">
        <f t="shared" si="114"/>
        <v>95580</v>
      </c>
      <c r="U583" s="35">
        <v>61560</v>
      </c>
      <c r="V583" s="37">
        <f t="shared" si="112"/>
        <v>34020</v>
      </c>
    </row>
    <row r="584" spans="1:22" x14ac:dyDescent="0.25">
      <c r="A584" s="149"/>
      <c r="B584" s="151"/>
      <c r="C584" s="83" t="s">
        <v>46</v>
      </c>
      <c r="D584" s="84">
        <f>SUM(D580:D583)</f>
        <v>449580</v>
      </c>
      <c r="E584" s="84">
        <f t="shared" ref="E584:U584" si="126">SUM(E580:E583)</f>
        <v>14000</v>
      </c>
      <c r="F584" s="84">
        <f t="shared" si="126"/>
        <v>0</v>
      </c>
      <c r="G584" s="84">
        <f t="shared" si="126"/>
        <v>0</v>
      </c>
      <c r="H584" s="84">
        <f t="shared" si="126"/>
        <v>0</v>
      </c>
      <c r="I584" s="84">
        <f t="shared" si="126"/>
        <v>0</v>
      </c>
      <c r="J584" s="84">
        <f t="shared" si="126"/>
        <v>0</v>
      </c>
      <c r="K584" s="84">
        <f t="shared" si="126"/>
        <v>0</v>
      </c>
      <c r="L584" s="84">
        <f t="shared" si="126"/>
        <v>0</v>
      </c>
      <c r="M584" s="84">
        <f t="shared" si="126"/>
        <v>463580</v>
      </c>
      <c r="N584" s="84">
        <f t="shared" si="126"/>
        <v>0</v>
      </c>
      <c r="O584" s="84">
        <f t="shared" si="126"/>
        <v>0</v>
      </c>
      <c r="P584" s="84">
        <f t="shared" si="126"/>
        <v>0</v>
      </c>
      <c r="Q584" s="84">
        <f t="shared" si="126"/>
        <v>0</v>
      </c>
      <c r="R584" s="84"/>
      <c r="S584" s="84"/>
      <c r="T584" s="84">
        <f t="shared" si="114"/>
        <v>463580</v>
      </c>
      <c r="U584" s="85">
        <f t="shared" si="126"/>
        <v>289560</v>
      </c>
      <c r="V584" s="86">
        <f t="shared" si="112"/>
        <v>174020</v>
      </c>
    </row>
    <row r="585" spans="1:22" x14ac:dyDescent="0.25">
      <c r="A585" s="137" t="s">
        <v>98</v>
      </c>
      <c r="B585" s="139" t="s">
        <v>18</v>
      </c>
      <c r="C585" s="34" t="s">
        <v>40</v>
      </c>
      <c r="D585" s="22">
        <v>514215</v>
      </c>
      <c r="E585" s="22"/>
      <c r="F585" s="22"/>
      <c r="G585" s="22"/>
      <c r="H585" s="22"/>
      <c r="I585" s="22"/>
      <c r="J585" s="22"/>
      <c r="K585" s="22"/>
      <c r="L585" s="22"/>
      <c r="M585" s="22">
        <f>D585+E585+F585+G585+H585+J585+I585+K585</f>
        <v>514215</v>
      </c>
      <c r="N585" s="22"/>
      <c r="O585" s="22"/>
      <c r="P585" s="22"/>
      <c r="Q585" s="22"/>
      <c r="R585" s="22"/>
      <c r="S585" s="22"/>
      <c r="T585" s="22">
        <f t="shared" si="114"/>
        <v>514215</v>
      </c>
      <c r="U585" s="35">
        <v>316805</v>
      </c>
      <c r="V585" s="37">
        <f t="shared" ref="V585:V648" si="127">T585-U585</f>
        <v>197410</v>
      </c>
    </row>
    <row r="586" spans="1:22" x14ac:dyDescent="0.25">
      <c r="A586" s="149"/>
      <c r="B586" s="151"/>
      <c r="C586" s="34" t="s">
        <v>42</v>
      </c>
      <c r="D586" s="22">
        <v>79703</v>
      </c>
      <c r="E586" s="22"/>
      <c r="F586" s="22"/>
      <c r="G586" s="22"/>
      <c r="H586" s="22"/>
      <c r="I586" s="22"/>
      <c r="J586" s="22"/>
      <c r="K586" s="22"/>
      <c r="L586" s="22"/>
      <c r="M586" s="22">
        <f>D586+E586+F586+G586+H586+J586+I586+K586</f>
        <v>79703</v>
      </c>
      <c r="N586" s="22"/>
      <c r="O586" s="22"/>
      <c r="P586" s="22"/>
      <c r="Q586" s="22"/>
      <c r="R586" s="22"/>
      <c r="S586" s="22"/>
      <c r="T586" s="22">
        <f t="shared" si="114"/>
        <v>79703</v>
      </c>
      <c r="U586" s="35">
        <v>48104</v>
      </c>
      <c r="V586" s="37">
        <f t="shared" si="127"/>
        <v>31599</v>
      </c>
    </row>
    <row r="587" spans="1:22" x14ac:dyDescent="0.25">
      <c r="A587" s="137" t="s">
        <v>99</v>
      </c>
      <c r="B587" s="139" t="s">
        <v>18</v>
      </c>
      <c r="C587" s="34" t="s">
        <v>51</v>
      </c>
      <c r="D587" s="22">
        <v>0</v>
      </c>
      <c r="E587" s="22"/>
      <c r="F587" s="22"/>
      <c r="G587" s="22"/>
      <c r="H587" s="22"/>
      <c r="I587" s="22"/>
      <c r="J587" s="22"/>
      <c r="K587" s="22"/>
      <c r="L587" s="22"/>
      <c r="M587" s="22">
        <f>D587+E587+F587+G587+H587+J587+I587+K587</f>
        <v>0</v>
      </c>
      <c r="N587" s="22"/>
      <c r="O587" s="22"/>
      <c r="P587" s="22"/>
      <c r="Q587" s="22"/>
      <c r="R587" s="22"/>
      <c r="S587" s="22"/>
      <c r="T587" s="22">
        <f t="shared" si="114"/>
        <v>0</v>
      </c>
      <c r="U587" s="35">
        <v>0</v>
      </c>
      <c r="V587" s="37">
        <f t="shared" si="127"/>
        <v>0</v>
      </c>
    </row>
    <row r="588" spans="1:22" x14ac:dyDescent="0.25">
      <c r="A588" s="149"/>
      <c r="B588" s="151"/>
      <c r="C588" s="34" t="s">
        <v>42</v>
      </c>
      <c r="D588" s="22">
        <v>0</v>
      </c>
      <c r="E588" s="22"/>
      <c r="F588" s="22"/>
      <c r="G588" s="22"/>
      <c r="H588" s="22"/>
      <c r="I588" s="22"/>
      <c r="J588" s="22"/>
      <c r="K588" s="22"/>
      <c r="L588" s="22"/>
      <c r="M588" s="22">
        <f>D588+E588+F588+G588+H588+J588+I588+K588</f>
        <v>0</v>
      </c>
      <c r="N588" s="22"/>
      <c r="O588" s="22"/>
      <c r="P588" s="22"/>
      <c r="Q588" s="22"/>
      <c r="R588" s="22"/>
      <c r="S588" s="22"/>
      <c r="T588" s="22">
        <f t="shared" ref="T588:T651" si="128">SUM(M588:S588)</f>
        <v>0</v>
      </c>
      <c r="U588" s="35">
        <v>0</v>
      </c>
      <c r="V588" s="37">
        <f t="shared" si="127"/>
        <v>0</v>
      </c>
    </row>
    <row r="589" spans="1:22" x14ac:dyDescent="0.25">
      <c r="A589" s="140" t="s">
        <v>127</v>
      </c>
      <c r="B589" s="141"/>
      <c r="C589" s="142"/>
      <c r="D589" s="96">
        <f>SUM(D552+D555+D556+D563+D564+D576+D579+D584+D585+D586+D587+D588)</f>
        <v>7695923</v>
      </c>
      <c r="E589" s="100">
        <f t="shared" ref="E589:Q589" si="129">SUM(E552,E555,E556,E563,E564,E576,E579,E585,E586,E587,E588,E584)</f>
        <v>0</v>
      </c>
      <c r="F589" s="100">
        <f t="shared" si="129"/>
        <v>235800</v>
      </c>
      <c r="G589" s="100">
        <f t="shared" si="129"/>
        <v>0</v>
      </c>
      <c r="H589" s="100">
        <f t="shared" si="129"/>
        <v>0</v>
      </c>
      <c r="I589" s="100">
        <f t="shared" si="129"/>
        <v>0</v>
      </c>
      <c r="J589" s="100">
        <f t="shared" si="129"/>
        <v>0</v>
      </c>
      <c r="K589" s="100">
        <f t="shared" si="129"/>
        <v>0</v>
      </c>
      <c r="L589" s="100">
        <f t="shared" si="129"/>
        <v>0</v>
      </c>
      <c r="M589" s="100">
        <f t="shared" si="129"/>
        <v>7931723</v>
      </c>
      <c r="N589" s="100">
        <f t="shared" si="129"/>
        <v>0</v>
      </c>
      <c r="O589" s="100">
        <f t="shared" si="129"/>
        <v>0</v>
      </c>
      <c r="P589" s="100">
        <f t="shared" si="129"/>
        <v>0</v>
      </c>
      <c r="Q589" s="100">
        <f t="shared" si="129"/>
        <v>0</v>
      </c>
      <c r="R589" s="100"/>
      <c r="S589" s="100"/>
      <c r="T589" s="100">
        <f t="shared" si="128"/>
        <v>7931723</v>
      </c>
      <c r="U589" s="101">
        <f>SUM(U552,U555,U556,U563,U564,U576,U579,U585,U586,U587,U588,U584)</f>
        <v>4421928</v>
      </c>
      <c r="V589" s="102">
        <f t="shared" si="127"/>
        <v>3509795</v>
      </c>
    </row>
    <row r="590" spans="1:22" x14ac:dyDescent="0.25">
      <c r="A590" s="136" t="s">
        <v>76</v>
      </c>
      <c r="B590" s="139" t="s">
        <v>39</v>
      </c>
      <c r="C590" s="75" t="s">
        <v>49</v>
      </c>
      <c r="D590" s="22">
        <v>0</v>
      </c>
      <c r="E590" s="22"/>
      <c r="F590" s="22"/>
      <c r="G590" s="22"/>
      <c r="H590" s="22"/>
      <c r="I590" s="22"/>
      <c r="J590" s="22"/>
      <c r="K590" s="22"/>
      <c r="L590" s="22"/>
      <c r="M590" s="22">
        <f>D590+E590+F590+G590+H590+J590+I590</f>
        <v>0</v>
      </c>
      <c r="N590" s="22"/>
      <c r="O590" s="22"/>
      <c r="P590" s="22"/>
      <c r="Q590" s="22"/>
      <c r="R590" s="22"/>
      <c r="S590" s="22"/>
      <c r="T590" s="22">
        <f t="shared" si="128"/>
        <v>0</v>
      </c>
      <c r="U590" s="35">
        <v>0</v>
      </c>
      <c r="V590" s="66">
        <f t="shared" si="127"/>
        <v>0</v>
      </c>
    </row>
    <row r="591" spans="1:22" x14ac:dyDescent="0.25">
      <c r="A591" s="136"/>
      <c r="B591" s="150"/>
      <c r="C591" s="34" t="s">
        <v>40</v>
      </c>
      <c r="D591" s="22">
        <v>978360</v>
      </c>
      <c r="E591" s="22"/>
      <c r="F591" s="22"/>
      <c r="G591" s="22"/>
      <c r="H591" s="22"/>
      <c r="I591" s="22"/>
      <c r="J591" s="22"/>
      <c r="K591" s="22"/>
      <c r="L591" s="22"/>
      <c r="M591" s="22">
        <f>D591+E591+F591+G591+H591+J591+I591</f>
        <v>978360</v>
      </c>
      <c r="N591" s="22"/>
      <c r="O591" s="22"/>
      <c r="P591" s="22"/>
      <c r="Q591" s="22"/>
      <c r="R591" s="22"/>
      <c r="S591" s="22"/>
      <c r="T591" s="22">
        <f t="shared" si="128"/>
        <v>978360</v>
      </c>
      <c r="U591" s="35">
        <v>669590</v>
      </c>
      <c r="V591" s="37">
        <f t="shared" si="127"/>
        <v>308770</v>
      </c>
    </row>
    <row r="592" spans="1:22" x14ac:dyDescent="0.25">
      <c r="A592" s="136"/>
      <c r="B592" s="150"/>
      <c r="C592" s="34" t="s">
        <v>51</v>
      </c>
      <c r="D592" s="22">
        <v>0</v>
      </c>
      <c r="E592" s="22"/>
      <c r="F592" s="22"/>
      <c r="G592" s="22"/>
      <c r="H592" s="22"/>
      <c r="I592" s="22"/>
      <c r="J592" s="22"/>
      <c r="K592" s="22"/>
      <c r="L592" s="22"/>
      <c r="M592" s="22">
        <f>D592+E592+F592+G592+H592+J592+I592</f>
        <v>0</v>
      </c>
      <c r="N592" s="22"/>
      <c r="O592" s="22"/>
      <c r="P592" s="22"/>
      <c r="Q592" s="22"/>
      <c r="R592" s="22"/>
      <c r="S592" s="22"/>
      <c r="T592" s="22">
        <f t="shared" si="128"/>
        <v>0</v>
      </c>
      <c r="U592" s="35">
        <v>0</v>
      </c>
      <c r="V592" s="37">
        <f t="shared" si="127"/>
        <v>0</v>
      </c>
    </row>
    <row r="593" spans="1:22" x14ac:dyDescent="0.25">
      <c r="A593" s="136"/>
      <c r="B593" s="150"/>
      <c r="C593" s="83" t="s">
        <v>41</v>
      </c>
      <c r="D593" s="84">
        <f>SUM(D590:D592)</f>
        <v>978360</v>
      </c>
      <c r="E593" s="84">
        <f t="shared" ref="E593:Q593" si="130">SUM(E590:E592)</f>
        <v>0</v>
      </c>
      <c r="F593" s="84">
        <f t="shared" si="130"/>
        <v>0</v>
      </c>
      <c r="G593" s="84">
        <f t="shared" si="130"/>
        <v>0</v>
      </c>
      <c r="H593" s="84">
        <f t="shared" si="130"/>
        <v>0</v>
      </c>
      <c r="I593" s="84">
        <f t="shared" si="130"/>
        <v>0</v>
      </c>
      <c r="J593" s="84">
        <f t="shared" si="130"/>
        <v>0</v>
      </c>
      <c r="K593" s="84">
        <f t="shared" si="130"/>
        <v>0</v>
      </c>
      <c r="L593" s="84">
        <f t="shared" si="130"/>
        <v>0</v>
      </c>
      <c r="M593" s="84">
        <f t="shared" si="130"/>
        <v>978360</v>
      </c>
      <c r="N593" s="84">
        <f t="shared" si="130"/>
        <v>0</v>
      </c>
      <c r="O593" s="84">
        <f t="shared" si="130"/>
        <v>0</v>
      </c>
      <c r="P593" s="84">
        <f t="shared" si="130"/>
        <v>0</v>
      </c>
      <c r="Q593" s="84">
        <f t="shared" si="130"/>
        <v>0</v>
      </c>
      <c r="R593" s="84"/>
      <c r="S593" s="84"/>
      <c r="T593" s="84">
        <f t="shared" si="128"/>
        <v>978360</v>
      </c>
      <c r="U593" s="85">
        <f>SUM(U590:U592)</f>
        <v>669590</v>
      </c>
      <c r="V593" s="86">
        <f t="shared" si="127"/>
        <v>308770</v>
      </c>
    </row>
    <row r="594" spans="1:22" x14ac:dyDescent="0.25">
      <c r="A594" s="136"/>
      <c r="B594" s="150"/>
      <c r="C594" s="87" t="s">
        <v>42</v>
      </c>
      <c r="D594" s="88">
        <v>75823</v>
      </c>
      <c r="E594" s="88"/>
      <c r="F594" s="88"/>
      <c r="G594" s="88"/>
      <c r="H594" s="88"/>
      <c r="I594" s="88"/>
      <c r="J594" s="88"/>
      <c r="K594" s="88"/>
      <c r="L594" s="88"/>
      <c r="M594" s="89">
        <f>D594+E594+F594+G594+H594+J594</f>
        <v>75823</v>
      </c>
      <c r="N594" s="89"/>
      <c r="O594" s="89"/>
      <c r="P594" s="89"/>
      <c r="Q594" s="89"/>
      <c r="R594" s="89"/>
      <c r="S594" s="89"/>
      <c r="T594" s="89">
        <f t="shared" si="128"/>
        <v>75823</v>
      </c>
      <c r="U594" s="90">
        <v>51897</v>
      </c>
      <c r="V594" s="91">
        <f t="shared" si="127"/>
        <v>23926</v>
      </c>
    </row>
    <row r="595" spans="1:22" x14ac:dyDescent="0.25">
      <c r="A595" s="136"/>
      <c r="B595" s="150"/>
      <c r="C595" s="34" t="s">
        <v>43</v>
      </c>
      <c r="D595" s="22">
        <v>0</v>
      </c>
      <c r="E595" s="22"/>
      <c r="F595" s="22"/>
      <c r="G595" s="22"/>
      <c r="H595" s="22"/>
      <c r="I595" s="22"/>
      <c r="J595" s="22"/>
      <c r="K595" s="22"/>
      <c r="L595" s="22"/>
      <c r="M595" s="22">
        <f>D595+E595+F595+G595+H595+J595+I595</f>
        <v>0</v>
      </c>
      <c r="N595" s="22"/>
      <c r="O595" s="22"/>
      <c r="P595" s="22"/>
      <c r="Q595" s="22"/>
      <c r="R595" s="22"/>
      <c r="S595" s="22"/>
      <c r="T595" s="22">
        <f t="shared" si="128"/>
        <v>0</v>
      </c>
      <c r="U595" s="35">
        <v>0</v>
      </c>
      <c r="V595" s="66">
        <f t="shared" si="127"/>
        <v>0</v>
      </c>
    </row>
    <row r="596" spans="1:22" x14ac:dyDescent="0.25">
      <c r="A596" s="136"/>
      <c r="B596" s="150"/>
      <c r="C596" s="34" t="s">
        <v>53</v>
      </c>
      <c r="D596" s="22">
        <v>0</v>
      </c>
      <c r="E596" s="22"/>
      <c r="F596" s="22"/>
      <c r="G596" s="22"/>
      <c r="H596" s="22"/>
      <c r="I596" s="22"/>
      <c r="J596" s="22"/>
      <c r="K596" s="22"/>
      <c r="L596" s="22"/>
      <c r="M596" s="22">
        <f>D596+E596+F596+G596+H596+J596+I596</f>
        <v>0</v>
      </c>
      <c r="N596" s="22"/>
      <c r="O596" s="22"/>
      <c r="P596" s="22"/>
      <c r="Q596" s="22"/>
      <c r="R596" s="22"/>
      <c r="S596" s="22"/>
      <c r="T596" s="22">
        <f t="shared" si="128"/>
        <v>0</v>
      </c>
      <c r="U596" s="35">
        <v>0</v>
      </c>
      <c r="V596" s="66">
        <f t="shared" si="127"/>
        <v>0</v>
      </c>
    </row>
    <row r="597" spans="1:22" x14ac:dyDescent="0.25">
      <c r="A597" s="136"/>
      <c r="B597" s="150"/>
      <c r="C597" s="75" t="s">
        <v>44</v>
      </c>
      <c r="D597" s="22">
        <v>0</v>
      </c>
      <c r="E597" s="22"/>
      <c r="F597" s="22"/>
      <c r="G597" s="22"/>
      <c r="H597" s="22"/>
      <c r="I597" s="22"/>
      <c r="J597" s="22"/>
      <c r="K597" s="22"/>
      <c r="L597" s="22"/>
      <c r="M597" s="22">
        <f>D597+E597+F597+G597+H597+J597+I597</f>
        <v>0</v>
      </c>
      <c r="N597" s="22"/>
      <c r="O597" s="22"/>
      <c r="P597" s="22"/>
      <c r="Q597" s="22"/>
      <c r="R597" s="22"/>
      <c r="S597" s="22"/>
      <c r="T597" s="22">
        <f t="shared" si="128"/>
        <v>0</v>
      </c>
      <c r="U597" s="35">
        <v>0</v>
      </c>
      <c r="V597" s="66">
        <f t="shared" si="127"/>
        <v>0</v>
      </c>
    </row>
    <row r="598" spans="1:22" x14ac:dyDescent="0.25">
      <c r="A598" s="136"/>
      <c r="B598" s="150"/>
      <c r="C598" s="34" t="s">
        <v>45</v>
      </c>
      <c r="D598" s="22">
        <v>0</v>
      </c>
      <c r="E598" s="22"/>
      <c r="F598" s="22"/>
      <c r="G598" s="22"/>
      <c r="H598" s="22"/>
      <c r="I598" s="22"/>
      <c r="J598" s="22"/>
      <c r="K598" s="22"/>
      <c r="L598" s="22"/>
      <c r="M598" s="22">
        <f>D598+E598+F598+G598+H598+J598+I598</f>
        <v>0</v>
      </c>
      <c r="N598" s="22"/>
      <c r="O598" s="22"/>
      <c r="P598" s="22"/>
      <c r="Q598" s="22"/>
      <c r="R598" s="22"/>
      <c r="S598" s="22"/>
      <c r="T598" s="22">
        <f t="shared" si="128"/>
        <v>0</v>
      </c>
      <c r="U598" s="35">
        <v>0</v>
      </c>
      <c r="V598" s="66">
        <f t="shared" si="127"/>
        <v>0</v>
      </c>
    </row>
    <row r="599" spans="1:22" x14ac:dyDescent="0.25">
      <c r="A599" s="136"/>
      <c r="B599" s="151"/>
      <c r="C599" s="83" t="s">
        <v>46</v>
      </c>
      <c r="D599" s="84">
        <f>SUM(D595:D598)</f>
        <v>0</v>
      </c>
      <c r="E599" s="84">
        <f t="shared" ref="E599:U599" si="131">SUM(E595:E598)</f>
        <v>0</v>
      </c>
      <c r="F599" s="84">
        <f t="shared" si="131"/>
        <v>0</v>
      </c>
      <c r="G599" s="84">
        <f t="shared" si="131"/>
        <v>0</v>
      </c>
      <c r="H599" s="84">
        <f t="shared" si="131"/>
        <v>0</v>
      </c>
      <c r="I599" s="84">
        <f t="shared" si="131"/>
        <v>0</v>
      </c>
      <c r="J599" s="84">
        <f t="shared" si="131"/>
        <v>0</v>
      </c>
      <c r="K599" s="84">
        <f t="shared" si="131"/>
        <v>0</v>
      </c>
      <c r="L599" s="84">
        <f t="shared" si="131"/>
        <v>0</v>
      </c>
      <c r="M599" s="84">
        <f t="shared" si="131"/>
        <v>0</v>
      </c>
      <c r="N599" s="84">
        <f t="shared" si="131"/>
        <v>0</v>
      </c>
      <c r="O599" s="84">
        <f t="shared" si="131"/>
        <v>0</v>
      </c>
      <c r="P599" s="84">
        <f t="shared" si="131"/>
        <v>0</v>
      </c>
      <c r="Q599" s="84">
        <f t="shared" si="131"/>
        <v>0</v>
      </c>
      <c r="R599" s="84"/>
      <c r="S599" s="84"/>
      <c r="T599" s="84">
        <f t="shared" si="128"/>
        <v>0</v>
      </c>
      <c r="U599" s="85">
        <f t="shared" si="131"/>
        <v>0</v>
      </c>
      <c r="V599" s="85">
        <f t="shared" si="127"/>
        <v>0</v>
      </c>
    </row>
    <row r="600" spans="1:22" x14ac:dyDescent="0.25">
      <c r="A600" s="136"/>
      <c r="B600" s="138" t="s">
        <v>18</v>
      </c>
      <c r="C600" s="34" t="s">
        <v>40</v>
      </c>
      <c r="D600" s="22">
        <v>6794874</v>
      </c>
      <c r="E600" s="24">
        <v>-43796</v>
      </c>
      <c r="F600" s="22">
        <v>0</v>
      </c>
      <c r="G600" s="22"/>
      <c r="H600" s="22"/>
      <c r="I600" s="22"/>
      <c r="J600" s="22"/>
      <c r="K600" s="22"/>
      <c r="L600" s="22"/>
      <c r="M600" s="22">
        <f t="shared" ref="M600:M606" si="132">D600+E600+F600+G600+H600+J600+I600</f>
        <v>6751078</v>
      </c>
      <c r="N600" s="22"/>
      <c r="O600" s="22"/>
      <c r="P600" s="22"/>
      <c r="Q600" s="22"/>
      <c r="R600" s="22"/>
      <c r="S600" s="22"/>
      <c r="T600" s="22">
        <f t="shared" si="128"/>
        <v>6751078</v>
      </c>
      <c r="U600" s="35">
        <v>4804734</v>
      </c>
      <c r="V600" s="37">
        <f t="shared" si="127"/>
        <v>1946344</v>
      </c>
    </row>
    <row r="601" spans="1:22" x14ac:dyDescent="0.25">
      <c r="A601" s="136"/>
      <c r="B601" s="138"/>
      <c r="C601" s="34" t="s">
        <v>63</v>
      </c>
      <c r="D601" s="22">
        <v>0</v>
      </c>
      <c r="E601" s="25"/>
      <c r="F601" s="22"/>
      <c r="G601" s="22"/>
      <c r="H601" s="22"/>
      <c r="I601" s="22"/>
      <c r="J601" s="22"/>
      <c r="K601" s="22"/>
      <c r="L601" s="22"/>
      <c r="M601" s="22">
        <f t="shared" si="132"/>
        <v>0</v>
      </c>
      <c r="N601" s="22"/>
      <c r="O601" s="22"/>
      <c r="P601" s="22"/>
      <c r="Q601" s="22"/>
      <c r="R601" s="22"/>
      <c r="S601" s="22"/>
      <c r="T601" s="22">
        <f t="shared" si="128"/>
        <v>0</v>
      </c>
      <c r="U601" s="35">
        <v>0</v>
      </c>
      <c r="V601" s="37">
        <f t="shared" si="127"/>
        <v>0</v>
      </c>
    </row>
    <row r="602" spans="1:22" x14ac:dyDescent="0.25">
      <c r="A602" s="136"/>
      <c r="B602" s="138"/>
      <c r="C602" s="34" t="s">
        <v>47</v>
      </c>
      <c r="D602" s="22">
        <v>200000</v>
      </c>
      <c r="E602" s="25"/>
      <c r="F602" s="22"/>
      <c r="G602" s="22"/>
      <c r="H602" s="22"/>
      <c r="I602" s="22"/>
      <c r="J602" s="22"/>
      <c r="K602" s="22"/>
      <c r="L602" s="22"/>
      <c r="M602" s="22">
        <f t="shared" si="132"/>
        <v>200000</v>
      </c>
      <c r="N602" s="22"/>
      <c r="O602" s="22"/>
      <c r="P602" s="22"/>
      <c r="Q602" s="22"/>
      <c r="R602" s="22"/>
      <c r="S602" s="22"/>
      <c r="T602" s="22">
        <f t="shared" si="128"/>
        <v>200000</v>
      </c>
      <c r="U602" s="35">
        <v>100000</v>
      </c>
      <c r="V602" s="37">
        <f t="shared" si="127"/>
        <v>100000</v>
      </c>
    </row>
    <row r="603" spans="1:22" x14ac:dyDescent="0.25">
      <c r="A603" s="136"/>
      <c r="B603" s="138"/>
      <c r="C603" s="34" t="s">
        <v>48</v>
      </c>
      <c r="D603" s="22">
        <v>20000</v>
      </c>
      <c r="E603" s="25"/>
      <c r="F603" s="22"/>
      <c r="G603" s="22"/>
      <c r="H603" s="22"/>
      <c r="I603" s="22"/>
      <c r="J603" s="22"/>
      <c r="K603" s="22"/>
      <c r="L603" s="22"/>
      <c r="M603" s="22">
        <f t="shared" si="132"/>
        <v>20000</v>
      </c>
      <c r="N603" s="22"/>
      <c r="O603" s="22"/>
      <c r="P603" s="22"/>
      <c r="Q603" s="22"/>
      <c r="R603" s="22"/>
      <c r="S603" s="22"/>
      <c r="T603" s="22">
        <f t="shared" si="128"/>
        <v>20000</v>
      </c>
      <c r="U603" s="35">
        <v>0</v>
      </c>
      <c r="V603" s="37">
        <f t="shared" si="127"/>
        <v>20000</v>
      </c>
    </row>
    <row r="604" spans="1:22" x14ac:dyDescent="0.25">
      <c r="A604" s="136"/>
      <c r="B604" s="138"/>
      <c r="C604" s="34" t="s">
        <v>49</v>
      </c>
      <c r="D604" s="22">
        <v>0</v>
      </c>
      <c r="E604" s="25">
        <f>4048-4048</f>
        <v>0</v>
      </c>
      <c r="F604" s="22"/>
      <c r="G604" s="22"/>
      <c r="H604" s="22"/>
      <c r="I604" s="22"/>
      <c r="J604" s="22"/>
      <c r="K604" s="22"/>
      <c r="L604" s="22"/>
      <c r="M604" s="22">
        <f t="shared" si="132"/>
        <v>0</v>
      </c>
      <c r="N604" s="22"/>
      <c r="O604" s="22"/>
      <c r="P604" s="22"/>
      <c r="Q604" s="22"/>
      <c r="R604" s="22"/>
      <c r="S604" s="22"/>
      <c r="T604" s="22">
        <f t="shared" si="128"/>
        <v>0</v>
      </c>
      <c r="U604" s="35">
        <v>0</v>
      </c>
      <c r="V604" s="39">
        <f t="shared" si="127"/>
        <v>0</v>
      </c>
    </row>
    <row r="605" spans="1:22" x14ac:dyDescent="0.25">
      <c r="A605" s="136"/>
      <c r="B605" s="138"/>
      <c r="C605" s="34" t="s">
        <v>50</v>
      </c>
      <c r="D605" s="22">
        <v>24000</v>
      </c>
      <c r="E605" s="25"/>
      <c r="F605" s="22"/>
      <c r="G605" s="22"/>
      <c r="H605" s="22"/>
      <c r="I605" s="22"/>
      <c r="J605" s="22"/>
      <c r="K605" s="22"/>
      <c r="L605" s="22"/>
      <c r="M605" s="22">
        <f t="shared" si="132"/>
        <v>24000</v>
      </c>
      <c r="N605" s="22"/>
      <c r="O605" s="22"/>
      <c r="P605" s="22"/>
      <c r="Q605" s="22"/>
      <c r="R605" s="22"/>
      <c r="S605" s="22"/>
      <c r="T605" s="22">
        <f t="shared" si="128"/>
        <v>24000</v>
      </c>
      <c r="U605" s="35">
        <v>12000</v>
      </c>
      <c r="V605" s="37">
        <f t="shared" si="127"/>
        <v>12000</v>
      </c>
    </row>
    <row r="606" spans="1:22" x14ac:dyDescent="0.25">
      <c r="A606" s="136"/>
      <c r="B606" s="138"/>
      <c r="C606" s="34" t="s">
        <v>51</v>
      </c>
      <c r="D606" s="22">
        <v>0</v>
      </c>
      <c r="E606" s="24">
        <v>43796</v>
      </c>
      <c r="F606" s="22"/>
      <c r="G606" s="22"/>
      <c r="H606" s="22"/>
      <c r="I606" s="22"/>
      <c r="J606" s="22"/>
      <c r="K606" s="22"/>
      <c r="L606" s="22"/>
      <c r="M606" s="22">
        <f t="shared" si="132"/>
        <v>43796</v>
      </c>
      <c r="N606" s="22"/>
      <c r="O606" s="22"/>
      <c r="P606" s="22"/>
      <c r="Q606" s="22"/>
      <c r="R606" s="22"/>
      <c r="S606" s="22"/>
      <c r="T606" s="22">
        <f t="shared" si="128"/>
        <v>43796</v>
      </c>
      <c r="U606" s="66">
        <v>43796</v>
      </c>
      <c r="V606" s="39">
        <f t="shared" si="127"/>
        <v>0</v>
      </c>
    </row>
    <row r="607" spans="1:22" x14ac:dyDescent="0.25">
      <c r="A607" s="136"/>
      <c r="B607" s="138"/>
      <c r="C607" s="83" t="s">
        <v>41</v>
      </c>
      <c r="D607" s="84">
        <f>SUM(D600:D606)</f>
        <v>7038874</v>
      </c>
      <c r="E607" s="84">
        <f t="shared" ref="E607:U607" si="133">SUM(E600:E606)</f>
        <v>0</v>
      </c>
      <c r="F607" s="84">
        <f t="shared" si="133"/>
        <v>0</v>
      </c>
      <c r="G607" s="84">
        <f t="shared" si="133"/>
        <v>0</v>
      </c>
      <c r="H607" s="84">
        <f t="shared" si="133"/>
        <v>0</v>
      </c>
      <c r="I607" s="84">
        <f t="shared" si="133"/>
        <v>0</v>
      </c>
      <c r="J607" s="84">
        <f t="shared" si="133"/>
        <v>0</v>
      </c>
      <c r="K607" s="84">
        <f t="shared" si="133"/>
        <v>0</v>
      </c>
      <c r="L607" s="84">
        <f t="shared" si="133"/>
        <v>0</v>
      </c>
      <c r="M607" s="84">
        <f t="shared" si="133"/>
        <v>7038874</v>
      </c>
      <c r="N607" s="84">
        <f t="shared" si="133"/>
        <v>0</v>
      </c>
      <c r="O607" s="84">
        <f t="shared" si="133"/>
        <v>0</v>
      </c>
      <c r="P607" s="84">
        <f t="shared" si="133"/>
        <v>0</v>
      </c>
      <c r="Q607" s="84">
        <f t="shared" si="133"/>
        <v>0</v>
      </c>
      <c r="R607" s="84"/>
      <c r="S607" s="84"/>
      <c r="T607" s="84">
        <f t="shared" si="128"/>
        <v>7038874</v>
      </c>
      <c r="U607" s="85">
        <f t="shared" si="133"/>
        <v>4960530</v>
      </c>
      <c r="V607" s="86">
        <f t="shared" si="127"/>
        <v>2078344</v>
      </c>
    </row>
    <row r="608" spans="1:22" x14ac:dyDescent="0.25">
      <c r="A608" s="136"/>
      <c r="B608" s="138"/>
      <c r="C608" s="87" t="s">
        <v>42</v>
      </c>
      <c r="D608" s="88">
        <v>1105526</v>
      </c>
      <c r="E608" s="88"/>
      <c r="F608" s="88"/>
      <c r="G608" s="88"/>
      <c r="H608" s="88"/>
      <c r="I608" s="88"/>
      <c r="J608" s="88"/>
      <c r="K608" s="88"/>
      <c r="L608" s="88"/>
      <c r="M608" s="89">
        <f>D608+E608+F608+G608+H608+J608</f>
        <v>1105526</v>
      </c>
      <c r="N608" s="89"/>
      <c r="O608" s="89"/>
      <c r="P608" s="89"/>
      <c r="Q608" s="89"/>
      <c r="R608" s="89"/>
      <c r="S608" s="89"/>
      <c r="T608" s="89">
        <f t="shared" si="128"/>
        <v>1105526</v>
      </c>
      <c r="U608" s="90">
        <v>778320</v>
      </c>
      <c r="V608" s="91">
        <f t="shared" si="127"/>
        <v>327206</v>
      </c>
    </row>
    <row r="609" spans="1:22" x14ac:dyDescent="0.25">
      <c r="A609" s="136"/>
      <c r="B609" s="138"/>
      <c r="C609" s="34" t="s">
        <v>43</v>
      </c>
      <c r="D609" s="22">
        <v>20000</v>
      </c>
      <c r="E609" s="22"/>
      <c r="F609" s="22"/>
      <c r="G609" s="22"/>
      <c r="H609" s="22"/>
      <c r="I609" s="22"/>
      <c r="J609" s="22"/>
      <c r="K609" s="22"/>
      <c r="L609" s="22"/>
      <c r="M609" s="22">
        <f>D609+E609+F609+G609+H609+J609+I609</f>
        <v>20000</v>
      </c>
      <c r="N609" s="22"/>
      <c r="O609" s="22"/>
      <c r="P609" s="22"/>
      <c r="Q609" s="22"/>
      <c r="R609" s="22"/>
      <c r="S609" s="22"/>
      <c r="T609" s="22">
        <f t="shared" si="128"/>
        <v>20000</v>
      </c>
      <c r="U609" s="35">
        <v>0</v>
      </c>
      <c r="V609" s="37">
        <f t="shared" si="127"/>
        <v>20000</v>
      </c>
    </row>
    <row r="610" spans="1:22" x14ac:dyDescent="0.25">
      <c r="A610" s="136"/>
      <c r="B610" s="138"/>
      <c r="C610" s="34" t="s">
        <v>53</v>
      </c>
      <c r="D610" s="22">
        <v>90000</v>
      </c>
      <c r="E610" s="22"/>
      <c r="F610" s="22">
        <v>232087</v>
      </c>
      <c r="G610" s="22"/>
      <c r="H610" s="22"/>
      <c r="I610" s="22"/>
      <c r="J610" s="22"/>
      <c r="K610" s="22"/>
      <c r="L610" s="22"/>
      <c r="M610" s="22">
        <f>D610+E610+F610+G610+H610+J610+I610+K610+L610</f>
        <v>322087</v>
      </c>
      <c r="N610" s="22"/>
      <c r="O610" s="22">
        <v>19685</v>
      </c>
      <c r="P610" s="22"/>
      <c r="Q610" s="22"/>
      <c r="R610" s="22"/>
      <c r="S610" s="22"/>
      <c r="T610" s="22">
        <f t="shared" si="128"/>
        <v>341772</v>
      </c>
      <c r="U610" s="35">
        <v>0</v>
      </c>
      <c r="V610" s="39">
        <f t="shared" si="127"/>
        <v>341772</v>
      </c>
    </row>
    <row r="611" spans="1:22" x14ac:dyDescent="0.25">
      <c r="A611" s="136"/>
      <c r="B611" s="138"/>
      <c r="C611" s="75" t="s">
        <v>55</v>
      </c>
      <c r="D611" s="22">
        <v>0</v>
      </c>
      <c r="E611" s="22"/>
      <c r="F611" s="22"/>
      <c r="G611" s="22"/>
      <c r="H611" s="22"/>
      <c r="I611" s="22"/>
      <c r="J611" s="22"/>
      <c r="K611" s="22"/>
      <c r="L611" s="22"/>
      <c r="M611" s="22">
        <f t="shared" ref="M611:M619" si="134">D611+E611+F611+G611+H611+J611+I611</f>
        <v>0</v>
      </c>
      <c r="N611" s="22"/>
      <c r="O611" s="22"/>
      <c r="P611" s="22"/>
      <c r="Q611" s="22"/>
      <c r="R611" s="22"/>
      <c r="S611" s="22"/>
      <c r="T611" s="22">
        <f t="shared" si="128"/>
        <v>0</v>
      </c>
      <c r="U611" s="35">
        <v>0</v>
      </c>
      <c r="V611" s="35">
        <f t="shared" si="127"/>
        <v>0</v>
      </c>
    </row>
    <row r="612" spans="1:22" x14ac:dyDescent="0.25">
      <c r="A612" s="136"/>
      <c r="B612" s="138"/>
      <c r="C612" s="34" t="s">
        <v>56</v>
      </c>
      <c r="D612" s="22">
        <v>0</v>
      </c>
      <c r="E612" s="22"/>
      <c r="F612" s="22"/>
      <c r="G612" s="22"/>
      <c r="H612" s="22"/>
      <c r="I612" s="22"/>
      <c r="J612" s="22"/>
      <c r="K612" s="22"/>
      <c r="L612" s="22"/>
      <c r="M612" s="22">
        <f t="shared" si="134"/>
        <v>0</v>
      </c>
      <c r="N612" s="22"/>
      <c r="O612" s="22"/>
      <c r="P612" s="22"/>
      <c r="Q612" s="22"/>
      <c r="R612" s="22"/>
      <c r="S612" s="22"/>
      <c r="T612" s="22">
        <f t="shared" si="128"/>
        <v>0</v>
      </c>
      <c r="U612" s="35">
        <v>0</v>
      </c>
      <c r="V612" s="37">
        <f t="shared" si="127"/>
        <v>0</v>
      </c>
    </row>
    <row r="613" spans="1:22" x14ac:dyDescent="0.25">
      <c r="A613" s="136"/>
      <c r="B613" s="138"/>
      <c r="C613" s="34" t="s">
        <v>62</v>
      </c>
      <c r="D613" s="22">
        <v>0</v>
      </c>
      <c r="E613" s="22"/>
      <c r="F613" s="22"/>
      <c r="G613" s="22"/>
      <c r="H613" s="22"/>
      <c r="I613" s="22"/>
      <c r="J613" s="22"/>
      <c r="K613" s="22"/>
      <c r="L613" s="22"/>
      <c r="M613" s="22">
        <f t="shared" si="134"/>
        <v>0</v>
      </c>
      <c r="N613" s="22"/>
      <c r="O613" s="22"/>
      <c r="P613" s="22"/>
      <c r="Q613" s="22"/>
      <c r="R613" s="22"/>
      <c r="S613" s="22"/>
      <c r="T613" s="22">
        <f t="shared" si="128"/>
        <v>0</v>
      </c>
      <c r="U613" s="35">
        <v>0</v>
      </c>
      <c r="V613" s="37">
        <f t="shared" si="127"/>
        <v>0</v>
      </c>
    </row>
    <row r="614" spans="1:22" x14ac:dyDescent="0.25">
      <c r="A614" s="136"/>
      <c r="B614" s="138"/>
      <c r="C614" s="34" t="s">
        <v>57</v>
      </c>
      <c r="D614" s="22">
        <v>0</v>
      </c>
      <c r="E614" s="22"/>
      <c r="F614" s="22"/>
      <c r="G614" s="22"/>
      <c r="H614" s="22"/>
      <c r="I614" s="22"/>
      <c r="J614" s="22"/>
      <c r="K614" s="22"/>
      <c r="L614" s="22"/>
      <c r="M614" s="22">
        <f t="shared" si="134"/>
        <v>0</v>
      </c>
      <c r="N614" s="22"/>
      <c r="O614" s="22"/>
      <c r="P614" s="22"/>
      <c r="Q614" s="22"/>
      <c r="R614" s="22"/>
      <c r="S614" s="22"/>
      <c r="T614" s="22">
        <f t="shared" si="128"/>
        <v>0</v>
      </c>
      <c r="U614" s="35">
        <v>0</v>
      </c>
      <c r="V614" s="37">
        <f t="shared" si="127"/>
        <v>0</v>
      </c>
    </row>
    <row r="615" spans="1:22" x14ac:dyDescent="0.25">
      <c r="A615" s="136"/>
      <c r="B615" s="138"/>
      <c r="C615" s="34" t="s">
        <v>44</v>
      </c>
      <c r="D615" s="22">
        <v>16800</v>
      </c>
      <c r="E615" s="22"/>
      <c r="F615" s="25"/>
      <c r="G615" s="22"/>
      <c r="H615" s="22"/>
      <c r="I615" s="22"/>
      <c r="J615" s="22"/>
      <c r="K615" s="22"/>
      <c r="L615" s="22"/>
      <c r="M615" s="22">
        <f t="shared" si="134"/>
        <v>16800</v>
      </c>
      <c r="N615" s="22"/>
      <c r="O615" s="22"/>
      <c r="P615" s="22"/>
      <c r="Q615" s="22"/>
      <c r="R615" s="22"/>
      <c r="S615" s="22"/>
      <c r="T615" s="22">
        <f t="shared" si="128"/>
        <v>16800</v>
      </c>
      <c r="U615" s="35">
        <v>4200</v>
      </c>
      <c r="V615" s="37">
        <f t="shared" si="127"/>
        <v>12600</v>
      </c>
    </row>
    <row r="616" spans="1:22" x14ac:dyDescent="0.25">
      <c r="A616" s="136"/>
      <c r="B616" s="138"/>
      <c r="C616" s="34" t="s">
        <v>58</v>
      </c>
      <c r="D616" s="22">
        <v>0</v>
      </c>
      <c r="E616" s="22"/>
      <c r="F616" s="25"/>
      <c r="G616" s="22"/>
      <c r="H616" s="22"/>
      <c r="I616" s="22"/>
      <c r="J616" s="22"/>
      <c r="K616" s="22"/>
      <c r="L616" s="22"/>
      <c r="M616" s="22">
        <f t="shared" si="134"/>
        <v>0</v>
      </c>
      <c r="N616" s="22"/>
      <c r="O616" s="22"/>
      <c r="P616" s="22"/>
      <c r="Q616" s="22"/>
      <c r="R616" s="22"/>
      <c r="S616" s="22"/>
      <c r="T616" s="22">
        <f t="shared" si="128"/>
        <v>0</v>
      </c>
      <c r="U616" s="35">
        <v>0</v>
      </c>
      <c r="V616" s="37">
        <f t="shared" si="127"/>
        <v>0</v>
      </c>
    </row>
    <row r="617" spans="1:22" x14ac:dyDescent="0.25">
      <c r="A617" s="136"/>
      <c r="B617" s="138"/>
      <c r="C617" s="34" t="s">
        <v>59</v>
      </c>
      <c r="D617" s="22">
        <v>7000</v>
      </c>
      <c r="E617" s="22"/>
      <c r="F617" s="25"/>
      <c r="G617" s="22"/>
      <c r="H617" s="22"/>
      <c r="I617" s="22"/>
      <c r="J617" s="22"/>
      <c r="K617" s="22"/>
      <c r="L617" s="22"/>
      <c r="M617" s="22">
        <f t="shared" si="134"/>
        <v>7000</v>
      </c>
      <c r="N617" s="22"/>
      <c r="O617" s="22"/>
      <c r="P617" s="22"/>
      <c r="Q617" s="22"/>
      <c r="R617" s="22"/>
      <c r="S617" s="22"/>
      <c r="T617" s="22">
        <f t="shared" si="128"/>
        <v>7000</v>
      </c>
      <c r="U617" s="35">
        <v>0</v>
      </c>
      <c r="V617" s="37">
        <f t="shared" si="127"/>
        <v>7000</v>
      </c>
    </row>
    <row r="618" spans="1:22" x14ac:dyDescent="0.25">
      <c r="A618" s="136"/>
      <c r="B618" s="138"/>
      <c r="C618" s="34" t="s">
        <v>45</v>
      </c>
      <c r="D618" s="22">
        <v>25300</v>
      </c>
      <c r="E618" s="22"/>
      <c r="F618" s="25">
        <v>62663</v>
      </c>
      <c r="G618" s="22"/>
      <c r="H618" s="22"/>
      <c r="I618" s="22"/>
      <c r="J618" s="22"/>
      <c r="K618" s="22"/>
      <c r="L618" s="22"/>
      <c r="M618" s="22">
        <f t="shared" si="134"/>
        <v>87963</v>
      </c>
      <c r="N618" s="22"/>
      <c r="O618" s="22">
        <v>5315</v>
      </c>
      <c r="P618" s="22"/>
      <c r="Q618" s="22"/>
      <c r="R618" s="22"/>
      <c r="S618" s="22"/>
      <c r="T618" s="22">
        <f t="shared" si="128"/>
        <v>93278</v>
      </c>
      <c r="U618" s="35">
        <v>0</v>
      </c>
      <c r="V618" s="39">
        <f t="shared" si="127"/>
        <v>93278</v>
      </c>
    </row>
    <row r="619" spans="1:22" x14ac:dyDescent="0.25">
      <c r="A619" s="136"/>
      <c r="B619" s="138"/>
      <c r="C619" s="34" t="s">
        <v>60</v>
      </c>
      <c r="D619" s="22">
        <v>0</v>
      </c>
      <c r="E619" s="22"/>
      <c r="F619" s="25"/>
      <c r="G619" s="22"/>
      <c r="H619" s="22"/>
      <c r="I619" s="22"/>
      <c r="J619" s="22"/>
      <c r="K619" s="22"/>
      <c r="L619" s="22"/>
      <c r="M619" s="22">
        <f t="shared" si="134"/>
        <v>0</v>
      </c>
      <c r="N619" s="22"/>
      <c r="O619" s="22"/>
      <c r="P619" s="22"/>
      <c r="Q619" s="22"/>
      <c r="R619" s="22"/>
      <c r="S619" s="22"/>
      <c r="T619" s="22">
        <f t="shared" si="128"/>
        <v>0</v>
      </c>
      <c r="U619" s="35">
        <v>0</v>
      </c>
      <c r="V619" s="37">
        <f t="shared" si="127"/>
        <v>0</v>
      </c>
    </row>
    <row r="620" spans="1:22" x14ac:dyDescent="0.25">
      <c r="A620" s="136"/>
      <c r="B620" s="138"/>
      <c r="C620" s="83" t="s">
        <v>46</v>
      </c>
      <c r="D620" s="84">
        <f>SUM(D609:D619)</f>
        <v>159100</v>
      </c>
      <c r="E620" s="84">
        <f t="shared" ref="E620:U620" si="135">SUM(E609:E619)</f>
        <v>0</v>
      </c>
      <c r="F620" s="84">
        <f t="shared" si="135"/>
        <v>294750</v>
      </c>
      <c r="G620" s="84">
        <f t="shared" si="135"/>
        <v>0</v>
      </c>
      <c r="H620" s="84">
        <f t="shared" si="135"/>
        <v>0</v>
      </c>
      <c r="I620" s="84">
        <f t="shared" si="135"/>
        <v>0</v>
      </c>
      <c r="J620" s="84">
        <f t="shared" si="135"/>
        <v>0</v>
      </c>
      <c r="K620" s="84">
        <f t="shared" si="135"/>
        <v>0</v>
      </c>
      <c r="L620" s="84">
        <f t="shared" si="135"/>
        <v>0</v>
      </c>
      <c r="M620" s="84">
        <f t="shared" si="135"/>
        <v>453850</v>
      </c>
      <c r="N620" s="84">
        <f t="shared" si="135"/>
        <v>0</v>
      </c>
      <c r="O620" s="84">
        <f t="shared" si="135"/>
        <v>25000</v>
      </c>
      <c r="P620" s="84">
        <f t="shared" si="135"/>
        <v>0</v>
      </c>
      <c r="Q620" s="84">
        <f t="shared" si="135"/>
        <v>0</v>
      </c>
      <c r="R620" s="84"/>
      <c r="S620" s="84"/>
      <c r="T620" s="84">
        <f t="shared" si="128"/>
        <v>478850</v>
      </c>
      <c r="U620" s="85">
        <f t="shared" si="135"/>
        <v>4200</v>
      </c>
      <c r="V620" s="86">
        <f t="shared" si="127"/>
        <v>474650</v>
      </c>
    </row>
    <row r="621" spans="1:22" x14ac:dyDescent="0.25">
      <c r="A621" s="137" t="s">
        <v>100</v>
      </c>
      <c r="B621" s="139" t="s">
        <v>18</v>
      </c>
      <c r="C621" s="34" t="s">
        <v>40</v>
      </c>
      <c r="D621" s="22">
        <v>883452</v>
      </c>
      <c r="E621" s="22"/>
      <c r="F621" s="22"/>
      <c r="G621" s="22"/>
      <c r="H621" s="22"/>
      <c r="I621" s="22"/>
      <c r="J621" s="22"/>
      <c r="K621" s="22"/>
      <c r="L621" s="22"/>
      <c r="M621" s="22">
        <f>D621+E621+F621+G621+H621+J621+I621+K621</f>
        <v>883452</v>
      </c>
      <c r="N621" s="22"/>
      <c r="O621" s="22"/>
      <c r="P621" s="22"/>
      <c r="Q621" s="22"/>
      <c r="R621" s="22"/>
      <c r="S621" s="22"/>
      <c r="T621" s="22">
        <f t="shared" si="128"/>
        <v>883452</v>
      </c>
      <c r="U621" s="35">
        <v>588967</v>
      </c>
      <c r="V621" s="37">
        <f t="shared" si="127"/>
        <v>294485</v>
      </c>
    </row>
    <row r="622" spans="1:22" x14ac:dyDescent="0.25">
      <c r="A622" s="149"/>
      <c r="B622" s="151"/>
      <c r="C622" s="34" t="s">
        <v>42</v>
      </c>
      <c r="D622" s="22">
        <v>136935</v>
      </c>
      <c r="E622" s="22"/>
      <c r="F622" s="22"/>
      <c r="G622" s="22"/>
      <c r="H622" s="22"/>
      <c r="I622" s="22"/>
      <c r="J622" s="22"/>
      <c r="K622" s="22"/>
      <c r="L622" s="22"/>
      <c r="M622" s="22">
        <f>D622+E622+F622+G622+H622+J622+I622+K622</f>
        <v>136935</v>
      </c>
      <c r="N622" s="22"/>
      <c r="O622" s="22"/>
      <c r="P622" s="22"/>
      <c r="Q622" s="22"/>
      <c r="R622" s="22"/>
      <c r="S622" s="22"/>
      <c r="T622" s="22">
        <f t="shared" si="128"/>
        <v>136935</v>
      </c>
      <c r="U622" s="35">
        <v>89603</v>
      </c>
      <c r="V622" s="37">
        <f t="shared" si="127"/>
        <v>47332</v>
      </c>
    </row>
    <row r="623" spans="1:22" x14ac:dyDescent="0.25">
      <c r="A623" s="140" t="s">
        <v>128</v>
      </c>
      <c r="B623" s="141"/>
      <c r="C623" s="142"/>
      <c r="D623" s="96">
        <f>SUM(D593+D594+D599+D607+D608+D620+D621+D622)</f>
        <v>10378070</v>
      </c>
      <c r="E623" s="97">
        <f>SUM(E593,E594,E599,E607,E608,E620,E621,E622)</f>
        <v>0</v>
      </c>
      <c r="F623" s="97">
        <f t="shared" ref="F623:Q623" si="136">SUM(F593,F594,F599,F607,F608,F620,F621,F622)</f>
        <v>294750</v>
      </c>
      <c r="G623" s="97">
        <f t="shared" si="136"/>
        <v>0</v>
      </c>
      <c r="H623" s="97">
        <f t="shared" si="136"/>
        <v>0</v>
      </c>
      <c r="I623" s="97">
        <f t="shared" si="136"/>
        <v>0</v>
      </c>
      <c r="J623" s="97">
        <f t="shared" si="136"/>
        <v>0</v>
      </c>
      <c r="K623" s="97">
        <f t="shared" si="136"/>
        <v>0</v>
      </c>
      <c r="L623" s="97">
        <f t="shared" si="136"/>
        <v>0</v>
      </c>
      <c r="M623" s="97">
        <f t="shared" si="136"/>
        <v>10672820</v>
      </c>
      <c r="N623" s="97">
        <f t="shared" si="136"/>
        <v>0</v>
      </c>
      <c r="O623" s="97">
        <f t="shared" si="136"/>
        <v>25000</v>
      </c>
      <c r="P623" s="97">
        <f t="shared" si="136"/>
        <v>0</v>
      </c>
      <c r="Q623" s="97">
        <f t="shared" si="136"/>
        <v>0</v>
      </c>
      <c r="R623" s="97"/>
      <c r="S623" s="97"/>
      <c r="T623" s="97">
        <f t="shared" si="128"/>
        <v>10697820</v>
      </c>
      <c r="U623" s="98">
        <f>SUM(U593,U594,U599,U607,U608,U620,U621,U622)</f>
        <v>7143107</v>
      </c>
      <c r="V623" s="99">
        <f t="shared" si="127"/>
        <v>3554713</v>
      </c>
    </row>
    <row r="624" spans="1:22" x14ac:dyDescent="0.25">
      <c r="A624" s="136" t="s">
        <v>77</v>
      </c>
      <c r="B624" s="56" t="s">
        <v>6</v>
      </c>
      <c r="C624" s="34" t="s">
        <v>67</v>
      </c>
      <c r="D624" s="22">
        <v>0</v>
      </c>
      <c r="E624" s="22"/>
      <c r="F624" s="22"/>
      <c r="G624" s="22"/>
      <c r="H624" s="22"/>
      <c r="I624" s="22"/>
      <c r="J624" s="22"/>
      <c r="K624" s="22"/>
      <c r="L624" s="22"/>
      <c r="M624" s="22">
        <f>D624+E624+F624+G624+H624+J624+I624</f>
        <v>0</v>
      </c>
      <c r="N624" s="22"/>
      <c r="O624" s="22"/>
      <c r="P624" s="22"/>
      <c r="Q624" s="22"/>
      <c r="R624" s="22"/>
      <c r="S624" s="22"/>
      <c r="T624" s="22">
        <f t="shared" si="128"/>
        <v>0</v>
      </c>
      <c r="U624" s="35">
        <v>0</v>
      </c>
      <c r="V624" s="37">
        <f t="shared" si="127"/>
        <v>0</v>
      </c>
    </row>
    <row r="625" spans="1:22" x14ac:dyDescent="0.25">
      <c r="A625" s="136"/>
      <c r="B625" s="138" t="s">
        <v>39</v>
      </c>
      <c r="C625" s="83" t="s">
        <v>40</v>
      </c>
      <c r="D625" s="84">
        <v>0</v>
      </c>
      <c r="E625" s="84">
        <f t="shared" ref="E625:Q625" si="137">E624</f>
        <v>0</v>
      </c>
      <c r="F625" s="84">
        <f t="shared" si="137"/>
        <v>0</v>
      </c>
      <c r="G625" s="84">
        <f t="shared" si="137"/>
        <v>0</v>
      </c>
      <c r="H625" s="84">
        <f t="shared" si="137"/>
        <v>0</v>
      </c>
      <c r="I625" s="84">
        <f t="shared" si="137"/>
        <v>0</v>
      </c>
      <c r="J625" s="84">
        <f t="shared" si="137"/>
        <v>0</v>
      </c>
      <c r="K625" s="84">
        <f t="shared" si="137"/>
        <v>0</v>
      </c>
      <c r="L625" s="84">
        <f t="shared" si="137"/>
        <v>0</v>
      </c>
      <c r="M625" s="84">
        <f t="shared" si="137"/>
        <v>0</v>
      </c>
      <c r="N625" s="84">
        <f t="shared" si="137"/>
        <v>0</v>
      </c>
      <c r="O625" s="84">
        <f t="shared" si="137"/>
        <v>0</v>
      </c>
      <c r="P625" s="84">
        <f t="shared" si="137"/>
        <v>0</v>
      </c>
      <c r="Q625" s="84">
        <f t="shared" si="137"/>
        <v>0</v>
      </c>
      <c r="R625" s="84"/>
      <c r="S625" s="84"/>
      <c r="T625" s="84">
        <f t="shared" si="128"/>
        <v>0</v>
      </c>
      <c r="U625" s="86">
        <v>0</v>
      </c>
      <c r="V625" s="104">
        <f t="shared" si="127"/>
        <v>0</v>
      </c>
    </row>
    <row r="626" spans="1:22" x14ac:dyDescent="0.25">
      <c r="A626" s="136"/>
      <c r="B626" s="138"/>
      <c r="C626" s="87" t="s">
        <v>42</v>
      </c>
      <c r="D626" s="88">
        <v>0</v>
      </c>
      <c r="E626" s="88"/>
      <c r="F626" s="88"/>
      <c r="G626" s="88"/>
      <c r="H626" s="88"/>
      <c r="I626" s="88"/>
      <c r="J626" s="88"/>
      <c r="K626" s="88"/>
      <c r="L626" s="88"/>
      <c r="M626" s="89">
        <f>D626+E626+F626+G626+H626+J626</f>
        <v>0</v>
      </c>
      <c r="N626" s="89"/>
      <c r="O626" s="89"/>
      <c r="P626" s="89"/>
      <c r="Q626" s="89"/>
      <c r="R626" s="89"/>
      <c r="S626" s="89"/>
      <c r="T626" s="89">
        <f t="shared" si="128"/>
        <v>0</v>
      </c>
      <c r="U626" s="90">
        <v>0</v>
      </c>
      <c r="V626" s="91">
        <f t="shared" si="127"/>
        <v>0</v>
      </c>
    </row>
    <row r="627" spans="1:22" x14ac:dyDescent="0.25">
      <c r="A627" s="136"/>
      <c r="B627" s="138"/>
      <c r="C627" s="34" t="s">
        <v>43</v>
      </c>
      <c r="D627" s="22">
        <v>0</v>
      </c>
      <c r="E627" s="22"/>
      <c r="F627" s="22"/>
      <c r="G627" s="22"/>
      <c r="H627" s="22"/>
      <c r="I627" s="22"/>
      <c r="J627" s="22"/>
      <c r="K627" s="22"/>
      <c r="L627" s="22"/>
      <c r="M627" s="22">
        <f>D627+E627+F627+G627+H627+J627+I627</f>
        <v>0</v>
      </c>
      <c r="N627" s="22"/>
      <c r="O627" s="22"/>
      <c r="P627" s="22"/>
      <c r="Q627" s="22"/>
      <c r="R627" s="22"/>
      <c r="S627" s="22"/>
      <c r="T627" s="22">
        <f t="shared" si="128"/>
        <v>0</v>
      </c>
      <c r="U627" s="35">
        <v>0</v>
      </c>
      <c r="V627" s="37">
        <f t="shared" si="127"/>
        <v>0</v>
      </c>
    </row>
    <row r="628" spans="1:22" x14ac:dyDescent="0.25">
      <c r="A628" s="136"/>
      <c r="B628" s="138"/>
      <c r="C628" s="34" t="s">
        <v>45</v>
      </c>
      <c r="D628" s="22">
        <v>0</v>
      </c>
      <c r="E628" s="22"/>
      <c r="F628" s="22"/>
      <c r="G628" s="22"/>
      <c r="H628" s="22"/>
      <c r="I628" s="22"/>
      <c r="J628" s="22"/>
      <c r="K628" s="22"/>
      <c r="L628" s="22"/>
      <c r="M628" s="22">
        <f>D628+E628+F628+G628+H628+J628+I628</f>
        <v>0</v>
      </c>
      <c r="N628" s="22"/>
      <c r="O628" s="22"/>
      <c r="P628" s="22"/>
      <c r="Q628" s="22"/>
      <c r="R628" s="22"/>
      <c r="S628" s="22"/>
      <c r="T628" s="22">
        <f t="shared" si="128"/>
        <v>0</v>
      </c>
      <c r="U628" s="35">
        <v>0</v>
      </c>
      <c r="V628" s="37">
        <f t="shared" si="127"/>
        <v>0</v>
      </c>
    </row>
    <row r="629" spans="1:22" x14ac:dyDescent="0.25">
      <c r="A629" s="136"/>
      <c r="B629" s="138"/>
      <c r="C629" s="83" t="s">
        <v>46</v>
      </c>
      <c r="D629" s="84">
        <v>0</v>
      </c>
      <c r="E629" s="84">
        <f t="shared" ref="E629:U629" si="138">SUM(E627:E628)</f>
        <v>0</v>
      </c>
      <c r="F629" s="84">
        <f t="shared" si="138"/>
        <v>0</v>
      </c>
      <c r="G629" s="84">
        <f t="shared" si="138"/>
        <v>0</v>
      </c>
      <c r="H629" s="84">
        <f t="shared" si="138"/>
        <v>0</v>
      </c>
      <c r="I629" s="84">
        <f t="shared" si="138"/>
        <v>0</v>
      </c>
      <c r="J629" s="84">
        <f t="shared" si="138"/>
        <v>0</v>
      </c>
      <c r="K629" s="84">
        <f t="shared" si="138"/>
        <v>0</v>
      </c>
      <c r="L629" s="84">
        <f t="shared" si="138"/>
        <v>0</v>
      </c>
      <c r="M629" s="84">
        <f t="shared" si="138"/>
        <v>0</v>
      </c>
      <c r="N629" s="84">
        <f t="shared" si="138"/>
        <v>0</v>
      </c>
      <c r="O629" s="84">
        <f t="shared" si="138"/>
        <v>0</v>
      </c>
      <c r="P629" s="84">
        <f t="shared" si="138"/>
        <v>0</v>
      </c>
      <c r="Q629" s="84">
        <f t="shared" si="138"/>
        <v>0</v>
      </c>
      <c r="R629" s="84"/>
      <c r="S629" s="84"/>
      <c r="T629" s="84">
        <f t="shared" si="128"/>
        <v>0</v>
      </c>
      <c r="U629" s="85">
        <f t="shared" si="138"/>
        <v>0</v>
      </c>
      <c r="V629" s="86">
        <f t="shared" si="127"/>
        <v>0</v>
      </c>
    </row>
    <row r="630" spans="1:22" x14ac:dyDescent="0.25">
      <c r="A630" s="136"/>
      <c r="B630" s="138" t="s">
        <v>18</v>
      </c>
      <c r="C630" s="34" t="s">
        <v>40</v>
      </c>
      <c r="D630" s="22">
        <v>5514943</v>
      </c>
      <c r="E630" s="22">
        <v>-113697</v>
      </c>
      <c r="F630" s="22"/>
      <c r="G630" s="22"/>
      <c r="H630" s="22"/>
      <c r="I630" s="22"/>
      <c r="J630" s="22"/>
      <c r="K630" s="22"/>
      <c r="L630" s="22"/>
      <c r="M630" s="22">
        <f t="shared" ref="M630:M636" si="139">D630+E630+F630+G630+H630+J630+I630</f>
        <v>5401246</v>
      </c>
      <c r="N630" s="22">
        <v>-115956</v>
      </c>
      <c r="O630" s="22"/>
      <c r="P630" s="22"/>
      <c r="Q630" s="22"/>
      <c r="R630" s="22"/>
      <c r="S630" s="22"/>
      <c r="T630" s="22">
        <f t="shared" si="128"/>
        <v>5285290</v>
      </c>
      <c r="U630" s="35">
        <v>3174050</v>
      </c>
      <c r="V630" s="37">
        <f t="shared" si="127"/>
        <v>2111240</v>
      </c>
    </row>
    <row r="631" spans="1:22" x14ac:dyDescent="0.25">
      <c r="A631" s="136"/>
      <c r="B631" s="138"/>
      <c r="C631" s="34" t="s">
        <v>47</v>
      </c>
      <c r="D631" s="22">
        <v>200000</v>
      </c>
      <c r="E631" s="22"/>
      <c r="F631" s="22"/>
      <c r="G631" s="22"/>
      <c r="H631" s="22"/>
      <c r="I631" s="22"/>
      <c r="J631" s="22"/>
      <c r="K631" s="22"/>
      <c r="L631" s="22"/>
      <c r="M631" s="22">
        <f t="shared" si="139"/>
        <v>200000</v>
      </c>
      <c r="N631" s="22"/>
      <c r="O631" s="22"/>
      <c r="P631" s="22"/>
      <c r="Q631" s="22"/>
      <c r="R631" s="22"/>
      <c r="S631" s="22"/>
      <c r="T631" s="22">
        <f t="shared" si="128"/>
        <v>200000</v>
      </c>
      <c r="U631" s="35">
        <v>100000</v>
      </c>
      <c r="V631" s="37">
        <f t="shared" si="127"/>
        <v>100000</v>
      </c>
    </row>
    <row r="632" spans="1:22" x14ac:dyDescent="0.25">
      <c r="A632" s="136"/>
      <c r="B632" s="138"/>
      <c r="C632" s="34" t="s">
        <v>48</v>
      </c>
      <c r="D632" s="22">
        <v>20000</v>
      </c>
      <c r="E632" s="22"/>
      <c r="F632" s="22"/>
      <c r="G632" s="22"/>
      <c r="H632" s="22"/>
      <c r="I632" s="22"/>
      <c r="J632" s="22"/>
      <c r="K632" s="22"/>
      <c r="L632" s="22"/>
      <c r="M632" s="22">
        <f t="shared" si="139"/>
        <v>20000</v>
      </c>
      <c r="N632" s="22"/>
      <c r="O632" s="22"/>
      <c r="P632" s="22"/>
      <c r="Q632" s="22"/>
      <c r="R632" s="22"/>
      <c r="S632" s="22"/>
      <c r="T632" s="22">
        <f t="shared" si="128"/>
        <v>20000</v>
      </c>
      <c r="U632" s="35">
        <v>0</v>
      </c>
      <c r="V632" s="37">
        <f t="shared" si="127"/>
        <v>20000</v>
      </c>
    </row>
    <row r="633" spans="1:22" x14ac:dyDescent="0.25">
      <c r="A633" s="136"/>
      <c r="B633" s="138"/>
      <c r="C633" s="34" t="s">
        <v>49</v>
      </c>
      <c r="D633" s="22">
        <v>390000</v>
      </c>
      <c r="E633" s="22"/>
      <c r="F633" s="22"/>
      <c r="G633" s="22"/>
      <c r="H633" s="22"/>
      <c r="I633" s="22"/>
      <c r="J633" s="22"/>
      <c r="K633" s="22"/>
      <c r="L633" s="22"/>
      <c r="M633" s="22">
        <f t="shared" si="139"/>
        <v>390000</v>
      </c>
      <c r="N633" s="22"/>
      <c r="O633" s="22"/>
      <c r="P633" s="22"/>
      <c r="Q633" s="22"/>
      <c r="R633" s="22"/>
      <c r="S633" s="22"/>
      <c r="T633" s="22">
        <f t="shared" si="128"/>
        <v>390000</v>
      </c>
      <c r="U633" s="35">
        <v>0</v>
      </c>
      <c r="V633" s="37">
        <f t="shared" si="127"/>
        <v>390000</v>
      </c>
    </row>
    <row r="634" spans="1:22" x14ac:dyDescent="0.25">
      <c r="A634" s="136"/>
      <c r="B634" s="138"/>
      <c r="C634" s="34" t="s">
        <v>50</v>
      </c>
      <c r="D634" s="22">
        <v>24000</v>
      </c>
      <c r="E634" s="22"/>
      <c r="F634" s="22"/>
      <c r="G634" s="22"/>
      <c r="H634" s="22"/>
      <c r="I634" s="22"/>
      <c r="J634" s="22"/>
      <c r="K634" s="22"/>
      <c r="L634" s="22"/>
      <c r="M634" s="22">
        <f t="shared" si="139"/>
        <v>24000</v>
      </c>
      <c r="N634" s="22"/>
      <c r="O634" s="22"/>
      <c r="P634" s="22"/>
      <c r="Q634" s="22"/>
      <c r="R634" s="22"/>
      <c r="S634" s="22"/>
      <c r="T634" s="22">
        <f t="shared" si="128"/>
        <v>24000</v>
      </c>
      <c r="U634" s="35">
        <v>12000</v>
      </c>
      <c r="V634" s="37">
        <f t="shared" si="127"/>
        <v>12000</v>
      </c>
    </row>
    <row r="635" spans="1:22" x14ac:dyDescent="0.25">
      <c r="A635" s="136"/>
      <c r="B635" s="138"/>
      <c r="C635" s="34" t="s">
        <v>51</v>
      </c>
      <c r="D635" s="22">
        <v>0</v>
      </c>
      <c r="E635" s="22">
        <v>113697</v>
      </c>
      <c r="F635" s="22"/>
      <c r="G635" s="22"/>
      <c r="H635" s="22"/>
      <c r="I635" s="22"/>
      <c r="J635" s="22"/>
      <c r="K635" s="22"/>
      <c r="L635" s="22"/>
      <c r="M635" s="22">
        <f t="shared" si="139"/>
        <v>113697</v>
      </c>
      <c r="N635" s="22">
        <v>115956</v>
      </c>
      <c r="O635" s="22"/>
      <c r="P635" s="22"/>
      <c r="Q635" s="22"/>
      <c r="R635" s="22"/>
      <c r="S635" s="22"/>
      <c r="T635" s="22">
        <f t="shared" si="128"/>
        <v>229653</v>
      </c>
      <c r="U635" s="35">
        <v>229653</v>
      </c>
      <c r="V635" s="37">
        <f t="shared" si="127"/>
        <v>0</v>
      </c>
    </row>
    <row r="636" spans="1:22" x14ac:dyDescent="0.25">
      <c r="A636" s="136"/>
      <c r="B636" s="138"/>
      <c r="C636" s="34" t="s">
        <v>52</v>
      </c>
      <c r="D636" s="22">
        <v>0</v>
      </c>
      <c r="E636" s="22"/>
      <c r="F636" s="22"/>
      <c r="G636" s="22"/>
      <c r="H636" s="22"/>
      <c r="I636" s="22"/>
      <c r="J636" s="22"/>
      <c r="K636" s="22"/>
      <c r="L636" s="22"/>
      <c r="M636" s="22">
        <f t="shared" si="139"/>
        <v>0</v>
      </c>
      <c r="N636" s="22"/>
      <c r="O636" s="22"/>
      <c r="P636" s="22"/>
      <c r="Q636" s="22"/>
      <c r="R636" s="22"/>
      <c r="S636" s="22"/>
      <c r="T636" s="22">
        <f t="shared" si="128"/>
        <v>0</v>
      </c>
      <c r="U636" s="35">
        <v>0</v>
      </c>
      <c r="V636" s="37">
        <f t="shared" si="127"/>
        <v>0</v>
      </c>
    </row>
    <row r="637" spans="1:22" x14ac:dyDescent="0.25">
      <c r="A637" s="136"/>
      <c r="B637" s="138"/>
      <c r="C637" s="83" t="s">
        <v>41</v>
      </c>
      <c r="D637" s="84">
        <f>SUM(D630:D636)</f>
        <v>6148943</v>
      </c>
      <c r="E637" s="84">
        <f t="shared" ref="E637:U637" si="140">SUM(E630:E636)</f>
        <v>0</v>
      </c>
      <c r="F637" s="84">
        <f t="shared" si="140"/>
        <v>0</v>
      </c>
      <c r="G637" s="84">
        <f t="shared" si="140"/>
        <v>0</v>
      </c>
      <c r="H637" s="84">
        <f t="shared" si="140"/>
        <v>0</v>
      </c>
      <c r="I637" s="84">
        <f t="shared" si="140"/>
        <v>0</v>
      </c>
      <c r="J637" s="84">
        <f t="shared" si="140"/>
        <v>0</v>
      </c>
      <c r="K637" s="84">
        <f t="shared" si="140"/>
        <v>0</v>
      </c>
      <c r="L637" s="84">
        <f t="shared" si="140"/>
        <v>0</v>
      </c>
      <c r="M637" s="84">
        <f t="shared" si="140"/>
        <v>6148943</v>
      </c>
      <c r="N637" s="84">
        <f t="shared" si="140"/>
        <v>0</v>
      </c>
      <c r="O637" s="84">
        <f t="shared" si="140"/>
        <v>0</v>
      </c>
      <c r="P637" s="84">
        <f t="shared" si="140"/>
        <v>0</v>
      </c>
      <c r="Q637" s="84">
        <f t="shared" si="140"/>
        <v>0</v>
      </c>
      <c r="R637" s="84"/>
      <c r="S637" s="84"/>
      <c r="T637" s="84">
        <f t="shared" si="128"/>
        <v>6148943</v>
      </c>
      <c r="U637" s="85">
        <f t="shared" si="140"/>
        <v>3515703</v>
      </c>
      <c r="V637" s="86">
        <f t="shared" si="127"/>
        <v>2633240</v>
      </c>
    </row>
    <row r="638" spans="1:22" x14ac:dyDescent="0.25">
      <c r="A638" s="136"/>
      <c r="B638" s="138"/>
      <c r="C638" s="87" t="s">
        <v>42</v>
      </c>
      <c r="D638" s="88">
        <v>907136</v>
      </c>
      <c r="E638" s="88"/>
      <c r="F638" s="88"/>
      <c r="G638" s="88"/>
      <c r="H638" s="88"/>
      <c r="I638" s="88"/>
      <c r="J638" s="88"/>
      <c r="K638" s="88"/>
      <c r="L638" s="88"/>
      <c r="M638" s="89">
        <f>D638+E638+F638+G638+H638+J638</f>
        <v>907136</v>
      </c>
      <c r="N638" s="89"/>
      <c r="O638" s="89"/>
      <c r="P638" s="89"/>
      <c r="Q638" s="89"/>
      <c r="R638" s="89"/>
      <c r="S638" s="89"/>
      <c r="T638" s="89">
        <f t="shared" si="128"/>
        <v>907136</v>
      </c>
      <c r="U638" s="90">
        <v>571080</v>
      </c>
      <c r="V638" s="91">
        <f t="shared" si="127"/>
        <v>336056</v>
      </c>
    </row>
    <row r="639" spans="1:22" x14ac:dyDescent="0.25">
      <c r="A639" s="136"/>
      <c r="B639" s="138"/>
      <c r="C639" s="34" t="s">
        <v>43</v>
      </c>
      <c r="D639" s="22">
        <v>20000</v>
      </c>
      <c r="E639" s="22"/>
      <c r="F639" s="22"/>
      <c r="G639" s="22"/>
      <c r="H639" s="22"/>
      <c r="I639" s="22"/>
      <c r="J639" s="22"/>
      <c r="K639" s="22"/>
      <c r="L639" s="22"/>
      <c r="M639" s="22">
        <f t="shared" ref="M639:M645" si="141">D639+E639+F639+G639+H639+J639+I639</f>
        <v>20000</v>
      </c>
      <c r="N639" s="22"/>
      <c r="O639" s="22"/>
      <c r="P639" s="22"/>
      <c r="Q639" s="22"/>
      <c r="R639" s="22"/>
      <c r="S639" s="22"/>
      <c r="T639" s="22">
        <f t="shared" si="128"/>
        <v>20000</v>
      </c>
      <c r="U639" s="35">
        <v>0</v>
      </c>
      <c r="V639" s="37">
        <f t="shared" si="127"/>
        <v>20000</v>
      </c>
    </row>
    <row r="640" spans="1:22" x14ac:dyDescent="0.25">
      <c r="A640" s="136"/>
      <c r="B640" s="138"/>
      <c r="C640" s="34" t="s">
        <v>53</v>
      </c>
      <c r="D640" s="22">
        <v>40000</v>
      </c>
      <c r="E640" s="22">
        <v>-20000</v>
      </c>
      <c r="F640" s="22">
        <v>121142</v>
      </c>
      <c r="G640" s="22"/>
      <c r="H640" s="22"/>
      <c r="I640" s="22"/>
      <c r="J640" s="22"/>
      <c r="K640" s="22"/>
      <c r="L640" s="22"/>
      <c r="M640" s="22">
        <f t="shared" si="141"/>
        <v>141142</v>
      </c>
      <c r="N640" s="22">
        <v>-75481</v>
      </c>
      <c r="O640" s="22"/>
      <c r="P640" s="22"/>
      <c r="Q640" s="22"/>
      <c r="R640" s="22"/>
      <c r="S640" s="22"/>
      <c r="T640" s="22">
        <f t="shared" si="128"/>
        <v>65661</v>
      </c>
      <c r="U640" s="35">
        <v>15748</v>
      </c>
      <c r="V640" s="37">
        <f t="shared" si="127"/>
        <v>49913</v>
      </c>
    </row>
    <row r="641" spans="1:22" x14ac:dyDescent="0.25">
      <c r="A641" s="136"/>
      <c r="B641" s="138"/>
      <c r="C641" s="75" t="s">
        <v>54</v>
      </c>
      <c r="D641" s="22">
        <v>0</v>
      </c>
      <c r="E641" s="22"/>
      <c r="F641" s="22"/>
      <c r="G641" s="22"/>
      <c r="H641" s="22"/>
      <c r="I641" s="22"/>
      <c r="J641" s="22"/>
      <c r="K641" s="22"/>
      <c r="L641" s="22"/>
      <c r="M641" s="22">
        <f t="shared" si="141"/>
        <v>0</v>
      </c>
      <c r="N641" s="22">
        <v>75481</v>
      </c>
      <c r="O641" s="22"/>
      <c r="P641" s="22"/>
      <c r="Q641" s="22"/>
      <c r="R641" s="22"/>
      <c r="S641" s="22"/>
      <c r="T641" s="22">
        <f t="shared" si="128"/>
        <v>75481</v>
      </c>
      <c r="U641" s="35">
        <v>75481</v>
      </c>
      <c r="V641" s="35">
        <f t="shared" si="127"/>
        <v>0</v>
      </c>
    </row>
    <row r="642" spans="1:22" x14ac:dyDescent="0.25">
      <c r="A642" s="136"/>
      <c r="B642" s="138"/>
      <c r="C642" s="34" t="s">
        <v>62</v>
      </c>
      <c r="D642" s="22">
        <v>0</v>
      </c>
      <c r="E642" s="22"/>
      <c r="F642" s="22"/>
      <c r="G642" s="22"/>
      <c r="H642" s="22"/>
      <c r="I642" s="22"/>
      <c r="J642" s="22"/>
      <c r="K642" s="22"/>
      <c r="L642" s="22"/>
      <c r="M642" s="22">
        <f t="shared" si="141"/>
        <v>0</v>
      </c>
      <c r="N642" s="22"/>
      <c r="O642" s="22"/>
      <c r="P642" s="22"/>
      <c r="Q642" s="22"/>
      <c r="R642" s="22"/>
      <c r="S642" s="22"/>
      <c r="T642" s="22">
        <f t="shared" si="128"/>
        <v>0</v>
      </c>
      <c r="U642" s="35">
        <v>0</v>
      </c>
      <c r="V642" s="37">
        <f t="shared" si="127"/>
        <v>0</v>
      </c>
    </row>
    <row r="643" spans="1:22" x14ac:dyDescent="0.25">
      <c r="A643" s="136"/>
      <c r="B643" s="138"/>
      <c r="C643" s="34" t="s">
        <v>57</v>
      </c>
      <c r="D643" s="25">
        <v>211296</v>
      </c>
      <c r="E643" s="25">
        <v>20000</v>
      </c>
      <c r="F643" s="22">
        <v>80000</v>
      </c>
      <c r="G643" s="22"/>
      <c r="H643" s="22"/>
      <c r="I643" s="22"/>
      <c r="J643" s="22"/>
      <c r="K643" s="22"/>
      <c r="L643" s="22"/>
      <c r="M643" s="22">
        <f t="shared" si="141"/>
        <v>311296</v>
      </c>
      <c r="N643" s="22"/>
      <c r="O643" s="22"/>
      <c r="P643" s="22"/>
      <c r="Q643" s="22"/>
      <c r="R643" s="22"/>
      <c r="S643" s="22"/>
      <c r="T643" s="22">
        <f t="shared" si="128"/>
        <v>311296</v>
      </c>
      <c r="U643" s="35">
        <v>262389</v>
      </c>
      <c r="V643" s="37">
        <f t="shared" si="127"/>
        <v>48907</v>
      </c>
    </row>
    <row r="644" spans="1:22" x14ac:dyDescent="0.25">
      <c r="A644" s="136"/>
      <c r="B644" s="138"/>
      <c r="C644" s="34" t="s">
        <v>44</v>
      </c>
      <c r="D644" s="22">
        <v>16800</v>
      </c>
      <c r="E644" s="22"/>
      <c r="F644" s="22"/>
      <c r="G644" s="22"/>
      <c r="H644" s="22"/>
      <c r="I644" s="22"/>
      <c r="J644" s="22"/>
      <c r="K644" s="22"/>
      <c r="L644" s="22"/>
      <c r="M644" s="22">
        <f t="shared" si="141"/>
        <v>16800</v>
      </c>
      <c r="N644" s="22"/>
      <c r="O644" s="22"/>
      <c r="P644" s="22"/>
      <c r="Q644" s="22"/>
      <c r="R644" s="22"/>
      <c r="S644" s="22"/>
      <c r="T644" s="22">
        <f t="shared" si="128"/>
        <v>16800</v>
      </c>
      <c r="U644" s="35">
        <v>4200</v>
      </c>
      <c r="V644" s="37">
        <f t="shared" si="127"/>
        <v>12600</v>
      </c>
    </row>
    <row r="645" spans="1:22" x14ac:dyDescent="0.25">
      <c r="A645" s="136"/>
      <c r="B645" s="138"/>
      <c r="C645" s="34" t="s">
        <v>58</v>
      </c>
      <c r="D645" s="22">
        <v>0</v>
      </c>
      <c r="E645" s="22"/>
      <c r="F645" s="22"/>
      <c r="G645" s="22"/>
      <c r="H645" s="22"/>
      <c r="I645" s="22"/>
      <c r="J645" s="22"/>
      <c r="K645" s="22"/>
      <c r="L645" s="22"/>
      <c r="M645" s="22">
        <f t="shared" si="141"/>
        <v>0</v>
      </c>
      <c r="N645" s="22"/>
      <c r="O645" s="22"/>
      <c r="P645" s="22"/>
      <c r="Q645" s="22"/>
      <c r="R645" s="22"/>
      <c r="S645" s="22"/>
      <c r="T645" s="22">
        <f t="shared" si="128"/>
        <v>0</v>
      </c>
      <c r="U645" s="35">
        <v>0</v>
      </c>
      <c r="V645" s="37">
        <f t="shared" si="127"/>
        <v>0</v>
      </c>
    </row>
    <row r="646" spans="1:22" x14ac:dyDescent="0.25">
      <c r="A646" s="136"/>
      <c r="B646" s="138"/>
      <c r="C646" s="34" t="s">
        <v>59</v>
      </c>
      <c r="D646" s="22">
        <v>0</v>
      </c>
      <c r="E646" s="22"/>
      <c r="F646" s="22"/>
      <c r="G646" s="22"/>
      <c r="H646" s="22"/>
      <c r="I646" s="22"/>
      <c r="J646" s="22"/>
      <c r="K646" s="22"/>
      <c r="L646" s="22"/>
      <c r="M646" s="22">
        <f>D646+E646+F646+G646+H646+J646+I646+K646+L646</f>
        <v>0</v>
      </c>
      <c r="N646" s="22"/>
      <c r="O646" s="22"/>
      <c r="P646" s="22"/>
      <c r="Q646" s="22"/>
      <c r="R646" s="22"/>
      <c r="S646" s="22"/>
      <c r="T646" s="22">
        <f t="shared" si="128"/>
        <v>0</v>
      </c>
      <c r="U646" s="35">
        <v>0</v>
      </c>
      <c r="V646" s="37">
        <f t="shared" si="127"/>
        <v>0</v>
      </c>
    </row>
    <row r="647" spans="1:22" x14ac:dyDescent="0.25">
      <c r="A647" s="136"/>
      <c r="B647" s="138"/>
      <c r="C647" s="34" t="s">
        <v>45</v>
      </c>
      <c r="D647" s="22">
        <v>68850</v>
      </c>
      <c r="E647" s="22"/>
      <c r="F647" s="22">
        <v>54308</v>
      </c>
      <c r="G647" s="22"/>
      <c r="H647" s="22"/>
      <c r="I647" s="22"/>
      <c r="J647" s="22"/>
      <c r="K647" s="22"/>
      <c r="L647" s="22"/>
      <c r="M647" s="22">
        <f>D647+E647+F647+G647+H647+J647+I647</f>
        <v>123158</v>
      </c>
      <c r="N647" s="22"/>
      <c r="O647" s="22"/>
      <c r="P647" s="22"/>
      <c r="Q647" s="22"/>
      <c r="R647" s="22"/>
      <c r="S647" s="22"/>
      <c r="T647" s="22">
        <f t="shared" si="128"/>
        <v>123158</v>
      </c>
      <c r="U647" s="35">
        <v>95477</v>
      </c>
      <c r="V647" s="37">
        <f t="shared" si="127"/>
        <v>27681</v>
      </c>
    </row>
    <row r="648" spans="1:22" x14ac:dyDescent="0.25">
      <c r="A648" s="136"/>
      <c r="B648" s="138"/>
      <c r="C648" s="34" t="s">
        <v>60</v>
      </c>
      <c r="D648" s="22">
        <v>0</v>
      </c>
      <c r="E648" s="25"/>
      <c r="F648" s="22"/>
      <c r="G648" s="22"/>
      <c r="H648" s="22"/>
      <c r="I648" s="22"/>
      <c r="J648" s="22"/>
      <c r="K648" s="22"/>
      <c r="L648" s="22"/>
      <c r="M648" s="22">
        <f>D648+E648+F648+G648+H648+J648+I648</f>
        <v>0</v>
      </c>
      <c r="N648" s="22"/>
      <c r="O648" s="22"/>
      <c r="P648" s="22"/>
      <c r="Q648" s="22"/>
      <c r="R648" s="22"/>
      <c r="S648" s="22"/>
      <c r="T648" s="22">
        <f t="shared" si="128"/>
        <v>0</v>
      </c>
      <c r="U648" s="35">
        <v>0</v>
      </c>
      <c r="V648" s="37">
        <f t="shared" si="127"/>
        <v>0</v>
      </c>
    </row>
    <row r="649" spans="1:22" x14ac:dyDescent="0.25">
      <c r="A649" s="136"/>
      <c r="B649" s="138"/>
      <c r="C649" s="83" t="s">
        <v>46</v>
      </c>
      <c r="D649" s="84">
        <f>SUM(D639:D648)</f>
        <v>356946</v>
      </c>
      <c r="E649" s="84">
        <f t="shared" ref="E649:U649" si="142">SUM(E639:E648)</f>
        <v>0</v>
      </c>
      <c r="F649" s="84">
        <f t="shared" si="142"/>
        <v>255450</v>
      </c>
      <c r="G649" s="84">
        <f t="shared" si="142"/>
        <v>0</v>
      </c>
      <c r="H649" s="84">
        <f t="shared" si="142"/>
        <v>0</v>
      </c>
      <c r="I649" s="84">
        <f t="shared" si="142"/>
        <v>0</v>
      </c>
      <c r="J649" s="84">
        <f t="shared" si="142"/>
        <v>0</v>
      </c>
      <c r="K649" s="84">
        <f t="shared" si="142"/>
        <v>0</v>
      </c>
      <c r="L649" s="84">
        <f t="shared" si="142"/>
        <v>0</v>
      </c>
      <c r="M649" s="84">
        <f t="shared" si="142"/>
        <v>612396</v>
      </c>
      <c r="N649" s="84">
        <f t="shared" si="142"/>
        <v>0</v>
      </c>
      <c r="O649" s="84">
        <f t="shared" si="142"/>
        <v>0</v>
      </c>
      <c r="P649" s="84">
        <f t="shared" si="142"/>
        <v>0</v>
      </c>
      <c r="Q649" s="84">
        <f t="shared" si="142"/>
        <v>0</v>
      </c>
      <c r="R649" s="84"/>
      <c r="S649" s="84"/>
      <c r="T649" s="84">
        <f t="shared" si="128"/>
        <v>612396</v>
      </c>
      <c r="U649" s="85">
        <f t="shared" si="142"/>
        <v>453295</v>
      </c>
      <c r="V649" s="86">
        <f t="shared" ref="V649:V712" si="143">T649-U649</f>
        <v>159101</v>
      </c>
    </row>
    <row r="650" spans="1:22" x14ac:dyDescent="0.25">
      <c r="A650" s="136"/>
      <c r="B650" s="138" t="s">
        <v>21</v>
      </c>
      <c r="C650" s="34" t="s">
        <v>62</v>
      </c>
      <c r="D650" s="22">
        <v>0</v>
      </c>
      <c r="E650" s="22"/>
      <c r="F650" s="22"/>
      <c r="G650" s="22"/>
      <c r="H650" s="22"/>
      <c r="I650" s="22"/>
      <c r="J650" s="22"/>
      <c r="K650" s="22"/>
      <c r="L650" s="22"/>
      <c r="M650" s="22">
        <f>D650+E650+F650+G650+H650+J650+I650</f>
        <v>0</v>
      </c>
      <c r="N650" s="22"/>
      <c r="O650" s="22"/>
      <c r="P650" s="22"/>
      <c r="Q650" s="22"/>
      <c r="R650" s="22"/>
      <c r="S650" s="22"/>
      <c r="T650" s="22">
        <f t="shared" si="128"/>
        <v>0</v>
      </c>
      <c r="U650" s="35">
        <v>0</v>
      </c>
      <c r="V650" s="37">
        <f t="shared" si="143"/>
        <v>0</v>
      </c>
    </row>
    <row r="651" spans="1:22" x14ac:dyDescent="0.25">
      <c r="A651" s="136"/>
      <c r="B651" s="138"/>
      <c r="C651" s="34" t="s">
        <v>57</v>
      </c>
      <c r="D651" s="25">
        <v>0</v>
      </c>
      <c r="E651" s="22"/>
      <c r="F651" s="22"/>
      <c r="G651" s="22"/>
      <c r="H651" s="22"/>
      <c r="I651" s="22"/>
      <c r="J651" s="22"/>
      <c r="K651" s="22"/>
      <c r="L651" s="22"/>
      <c r="M651" s="22">
        <f>D651+E651+F651+G651+H651+J651+I651</f>
        <v>0</v>
      </c>
      <c r="N651" s="22"/>
      <c r="O651" s="22"/>
      <c r="P651" s="22"/>
      <c r="Q651" s="22"/>
      <c r="R651" s="22"/>
      <c r="S651" s="22"/>
      <c r="T651" s="22">
        <f t="shared" si="128"/>
        <v>0</v>
      </c>
      <c r="U651" s="35">
        <v>0</v>
      </c>
      <c r="V651" s="39">
        <f t="shared" si="143"/>
        <v>0</v>
      </c>
    </row>
    <row r="652" spans="1:22" x14ac:dyDescent="0.25">
      <c r="A652" s="136"/>
      <c r="B652" s="138"/>
      <c r="C652" s="34" t="s">
        <v>58</v>
      </c>
      <c r="D652" s="22">
        <v>0</v>
      </c>
      <c r="E652" s="22"/>
      <c r="F652" s="22"/>
      <c r="G652" s="22"/>
      <c r="H652" s="22"/>
      <c r="I652" s="22"/>
      <c r="J652" s="22"/>
      <c r="K652" s="22"/>
      <c r="L652" s="22"/>
      <c r="M652" s="22">
        <f>D652+E652+F652+G652+H652+J652+I652</f>
        <v>0</v>
      </c>
      <c r="N652" s="22"/>
      <c r="O652" s="22"/>
      <c r="P652" s="22"/>
      <c r="Q652" s="22"/>
      <c r="R652" s="22"/>
      <c r="S652" s="22"/>
      <c r="T652" s="22">
        <f t="shared" ref="T652:T715" si="144">SUM(M652:S652)</f>
        <v>0</v>
      </c>
      <c r="U652" s="35">
        <v>0</v>
      </c>
      <c r="V652" s="39">
        <f t="shared" si="143"/>
        <v>0</v>
      </c>
    </row>
    <row r="653" spans="1:22" x14ac:dyDescent="0.25">
      <c r="A653" s="136"/>
      <c r="B653" s="138"/>
      <c r="C653" s="34" t="s">
        <v>45</v>
      </c>
      <c r="D653" s="22">
        <v>0</v>
      </c>
      <c r="E653" s="22"/>
      <c r="F653" s="22"/>
      <c r="G653" s="22"/>
      <c r="H653" s="22"/>
      <c r="I653" s="22"/>
      <c r="J653" s="22"/>
      <c r="K653" s="22"/>
      <c r="L653" s="22"/>
      <c r="M653" s="22">
        <f>D653+E653+F653+G653+H653+J653+I653</f>
        <v>0</v>
      </c>
      <c r="N653" s="22"/>
      <c r="O653" s="22"/>
      <c r="P653" s="22"/>
      <c r="Q653" s="22"/>
      <c r="R653" s="22"/>
      <c r="S653" s="22"/>
      <c r="T653" s="22">
        <f t="shared" si="144"/>
        <v>0</v>
      </c>
      <c r="U653" s="35">
        <v>0</v>
      </c>
      <c r="V653" s="37">
        <f t="shared" si="143"/>
        <v>0</v>
      </c>
    </row>
    <row r="654" spans="1:22" x14ac:dyDescent="0.25">
      <c r="A654" s="136"/>
      <c r="B654" s="138"/>
      <c r="C654" s="83" t="s">
        <v>46</v>
      </c>
      <c r="D654" s="84">
        <f>SUM(D650,D653,D651,D652)</f>
        <v>0</v>
      </c>
      <c r="E654" s="84">
        <f t="shared" ref="E654:U654" si="145">SUM(E650:E653)</f>
        <v>0</v>
      </c>
      <c r="F654" s="84">
        <f t="shared" si="145"/>
        <v>0</v>
      </c>
      <c r="G654" s="84">
        <f t="shared" si="145"/>
        <v>0</v>
      </c>
      <c r="H654" s="84">
        <f t="shared" si="145"/>
        <v>0</v>
      </c>
      <c r="I654" s="84">
        <f t="shared" si="145"/>
        <v>0</v>
      </c>
      <c r="J654" s="84">
        <f t="shared" si="145"/>
        <v>0</v>
      </c>
      <c r="K654" s="84">
        <f t="shared" si="145"/>
        <v>0</v>
      </c>
      <c r="L654" s="84">
        <f t="shared" si="145"/>
        <v>0</v>
      </c>
      <c r="M654" s="84">
        <f t="shared" si="145"/>
        <v>0</v>
      </c>
      <c r="N654" s="84">
        <f t="shared" si="145"/>
        <v>0</v>
      </c>
      <c r="O654" s="84">
        <f t="shared" si="145"/>
        <v>0</v>
      </c>
      <c r="P654" s="84">
        <f t="shared" si="145"/>
        <v>0</v>
      </c>
      <c r="Q654" s="84">
        <f t="shared" si="145"/>
        <v>0</v>
      </c>
      <c r="R654" s="84"/>
      <c r="S654" s="84"/>
      <c r="T654" s="84">
        <f t="shared" si="144"/>
        <v>0</v>
      </c>
      <c r="U654" s="85">
        <f t="shared" si="145"/>
        <v>0</v>
      </c>
      <c r="V654" s="86">
        <f t="shared" si="143"/>
        <v>0</v>
      </c>
    </row>
    <row r="655" spans="1:22" x14ac:dyDescent="0.25">
      <c r="A655" s="136" t="s">
        <v>101</v>
      </c>
      <c r="B655" s="138" t="s">
        <v>18</v>
      </c>
      <c r="C655" s="34" t="s">
        <v>40</v>
      </c>
      <c r="D655" s="22">
        <v>506127</v>
      </c>
      <c r="E655" s="22"/>
      <c r="F655" s="22"/>
      <c r="G655" s="22"/>
      <c r="H655" s="22"/>
      <c r="I655" s="22"/>
      <c r="J655" s="22"/>
      <c r="K655" s="22"/>
      <c r="L655" s="22"/>
      <c r="M655" s="22">
        <f>D655+E655+F655+G655+H655+J655+I655</f>
        <v>506127</v>
      </c>
      <c r="N655" s="22"/>
      <c r="O655" s="22"/>
      <c r="P655" s="22"/>
      <c r="Q655" s="22"/>
      <c r="R655" s="22"/>
      <c r="S655" s="22"/>
      <c r="T655" s="22">
        <f t="shared" si="144"/>
        <v>506127</v>
      </c>
      <c r="U655" s="35">
        <v>317815</v>
      </c>
      <c r="V655" s="37">
        <f t="shared" si="143"/>
        <v>188312</v>
      </c>
    </row>
    <row r="656" spans="1:22" x14ac:dyDescent="0.25">
      <c r="A656" s="136"/>
      <c r="B656" s="138"/>
      <c r="C656" s="34" t="s">
        <v>42</v>
      </c>
      <c r="D656" s="22">
        <v>78450</v>
      </c>
      <c r="E656" s="22"/>
      <c r="F656" s="22"/>
      <c r="G656" s="22"/>
      <c r="H656" s="22"/>
      <c r="I656" s="22"/>
      <c r="J656" s="22"/>
      <c r="K656" s="22"/>
      <c r="L656" s="22"/>
      <c r="M656" s="22">
        <f>D656+E656+F656+G656+H656+J656+I656+K656</f>
        <v>78450</v>
      </c>
      <c r="N656" s="22"/>
      <c r="O656" s="22"/>
      <c r="P656" s="22"/>
      <c r="Q656" s="22"/>
      <c r="R656" s="22"/>
      <c r="S656" s="22"/>
      <c r="T656" s="22">
        <f t="shared" si="144"/>
        <v>78450</v>
      </c>
      <c r="U656" s="35">
        <v>48065</v>
      </c>
      <c r="V656" s="37">
        <f t="shared" si="143"/>
        <v>30385</v>
      </c>
    </row>
    <row r="657" spans="1:22" x14ac:dyDescent="0.25">
      <c r="A657" s="140" t="s">
        <v>129</v>
      </c>
      <c r="B657" s="141"/>
      <c r="C657" s="142"/>
      <c r="D657" s="96">
        <f>SUM(D624+D625+D626+D629+D637+D638+D649+D654+D655+D656)</f>
        <v>7997602</v>
      </c>
      <c r="E657" s="97">
        <f t="shared" ref="E657:L657" si="146">SUM(E624,E625,E626,E629,E637,E638,E649,E654,E655,E656)</f>
        <v>0</v>
      </c>
      <c r="F657" s="97">
        <f t="shared" si="146"/>
        <v>255450</v>
      </c>
      <c r="G657" s="97">
        <f t="shared" si="146"/>
        <v>0</v>
      </c>
      <c r="H657" s="97">
        <f t="shared" si="146"/>
        <v>0</v>
      </c>
      <c r="I657" s="97">
        <f t="shared" si="146"/>
        <v>0</v>
      </c>
      <c r="J657" s="97">
        <f t="shared" si="146"/>
        <v>0</v>
      </c>
      <c r="K657" s="97">
        <f t="shared" si="146"/>
        <v>0</v>
      </c>
      <c r="L657" s="97">
        <f t="shared" si="146"/>
        <v>0</v>
      </c>
      <c r="M657" s="97">
        <f>SUM(M624,M625,M626,M629,M637,M638,M649,M654,M655,M656)</f>
        <v>8253052</v>
      </c>
      <c r="N657" s="97">
        <f t="shared" ref="N657:Q657" si="147">SUM(N624,N625,N626,N629,N637,N638,N649,N654,N655,N656)</f>
        <v>0</v>
      </c>
      <c r="O657" s="97">
        <f t="shared" si="147"/>
        <v>0</v>
      </c>
      <c r="P657" s="97">
        <f t="shared" si="147"/>
        <v>0</v>
      </c>
      <c r="Q657" s="97">
        <f t="shared" si="147"/>
        <v>0</v>
      </c>
      <c r="R657" s="97"/>
      <c r="S657" s="97"/>
      <c r="T657" s="97">
        <f t="shared" si="144"/>
        <v>8253052</v>
      </c>
      <c r="U657" s="98">
        <f>SUM(U624,U625,U626,U629,U637,U638,U649,U654,U655,U656)</f>
        <v>4905958</v>
      </c>
      <c r="V657" s="99">
        <f t="shared" si="143"/>
        <v>3347094</v>
      </c>
    </row>
    <row r="658" spans="1:22" x14ac:dyDescent="0.25">
      <c r="A658" s="136" t="s">
        <v>102</v>
      </c>
      <c r="B658" s="139" t="s">
        <v>39</v>
      </c>
      <c r="C658" s="75" t="s">
        <v>49</v>
      </c>
      <c r="D658" s="22">
        <v>0</v>
      </c>
      <c r="E658" s="22"/>
      <c r="F658" s="22"/>
      <c r="G658" s="22"/>
      <c r="H658" s="22"/>
      <c r="I658" s="22"/>
      <c r="J658" s="22"/>
      <c r="K658" s="22"/>
      <c r="L658" s="22"/>
      <c r="M658" s="22">
        <f>D658+E658+F658+G658+H658+J658+I658</f>
        <v>0</v>
      </c>
      <c r="N658" s="22"/>
      <c r="O658" s="22"/>
      <c r="P658" s="22"/>
      <c r="Q658" s="22"/>
      <c r="R658" s="22"/>
      <c r="S658" s="22"/>
      <c r="T658" s="22">
        <f t="shared" si="144"/>
        <v>0</v>
      </c>
      <c r="U658" s="35">
        <v>0</v>
      </c>
      <c r="V658" s="39">
        <f t="shared" si="143"/>
        <v>0</v>
      </c>
    </row>
    <row r="659" spans="1:22" x14ac:dyDescent="0.25">
      <c r="A659" s="136"/>
      <c r="B659" s="150"/>
      <c r="C659" s="34" t="s">
        <v>40</v>
      </c>
      <c r="D659" s="22">
        <v>978360</v>
      </c>
      <c r="E659" s="22"/>
      <c r="F659" s="22"/>
      <c r="G659" s="22"/>
      <c r="H659" s="22"/>
      <c r="I659" s="22"/>
      <c r="J659" s="22"/>
      <c r="K659" s="22"/>
      <c r="L659" s="22"/>
      <c r="M659" s="22">
        <f>D659+E659+F659+G659+H659+J659+I659</f>
        <v>978360</v>
      </c>
      <c r="N659" s="22"/>
      <c r="O659" s="22"/>
      <c r="P659" s="22"/>
      <c r="Q659" s="22"/>
      <c r="R659" s="22"/>
      <c r="S659" s="22"/>
      <c r="T659" s="22">
        <f t="shared" si="144"/>
        <v>978360</v>
      </c>
      <c r="U659" s="35">
        <v>669590</v>
      </c>
      <c r="V659" s="37">
        <f t="shared" si="143"/>
        <v>308770</v>
      </c>
    </row>
    <row r="660" spans="1:22" x14ac:dyDescent="0.25">
      <c r="A660" s="136"/>
      <c r="B660" s="150"/>
      <c r="C660" s="34" t="s">
        <v>51</v>
      </c>
      <c r="D660" s="22">
        <v>0</v>
      </c>
      <c r="E660" s="22"/>
      <c r="F660" s="22"/>
      <c r="G660" s="22"/>
      <c r="H660" s="22"/>
      <c r="I660" s="22"/>
      <c r="J660" s="22"/>
      <c r="K660" s="22"/>
      <c r="L660" s="22"/>
      <c r="M660" s="22">
        <f>D660+E660+F660+G660+H660+J660+I660</f>
        <v>0</v>
      </c>
      <c r="N660" s="22"/>
      <c r="O660" s="22"/>
      <c r="P660" s="22"/>
      <c r="Q660" s="22"/>
      <c r="R660" s="22"/>
      <c r="S660" s="22"/>
      <c r="T660" s="22">
        <f t="shared" si="144"/>
        <v>0</v>
      </c>
      <c r="U660" s="35">
        <v>0</v>
      </c>
      <c r="V660" s="37">
        <f t="shared" si="143"/>
        <v>0</v>
      </c>
    </row>
    <row r="661" spans="1:22" x14ac:dyDescent="0.25">
      <c r="A661" s="136"/>
      <c r="B661" s="150"/>
      <c r="C661" s="83" t="s">
        <v>41</v>
      </c>
      <c r="D661" s="84">
        <f>SUM(D658:D660)</f>
        <v>978360</v>
      </c>
      <c r="E661" s="84">
        <f t="shared" ref="E661:U661" si="148">SUM(E658:E660)</f>
        <v>0</v>
      </c>
      <c r="F661" s="84">
        <f t="shared" si="148"/>
        <v>0</v>
      </c>
      <c r="G661" s="84">
        <f t="shared" si="148"/>
        <v>0</v>
      </c>
      <c r="H661" s="84">
        <f>SUM(H658:H660)</f>
        <v>0</v>
      </c>
      <c r="I661" s="84">
        <f>SUM(I658:I660)</f>
        <v>0</v>
      </c>
      <c r="J661" s="84">
        <f>SUM(J658:J660)</f>
        <v>0</v>
      </c>
      <c r="K661" s="84">
        <f t="shared" ref="K661:L661" si="149">SUM(K658:K660)</f>
        <v>0</v>
      </c>
      <c r="L661" s="84">
        <f t="shared" si="149"/>
        <v>0</v>
      </c>
      <c r="M661" s="84">
        <f>SUM(M658:M660)</f>
        <v>978360</v>
      </c>
      <c r="N661" s="84">
        <f t="shared" ref="N661:Q661" si="150">SUM(N658:N660)</f>
        <v>0</v>
      </c>
      <c r="O661" s="84">
        <f t="shared" si="150"/>
        <v>0</v>
      </c>
      <c r="P661" s="84">
        <f t="shared" si="150"/>
        <v>0</v>
      </c>
      <c r="Q661" s="84">
        <f t="shared" si="150"/>
        <v>0</v>
      </c>
      <c r="R661" s="84"/>
      <c r="S661" s="84"/>
      <c r="T661" s="84">
        <f t="shared" si="144"/>
        <v>978360</v>
      </c>
      <c r="U661" s="85">
        <f t="shared" si="148"/>
        <v>669590</v>
      </c>
      <c r="V661" s="86">
        <f t="shared" si="143"/>
        <v>308770</v>
      </c>
    </row>
    <row r="662" spans="1:22" x14ac:dyDescent="0.25">
      <c r="A662" s="136"/>
      <c r="B662" s="150"/>
      <c r="C662" s="87" t="s">
        <v>42</v>
      </c>
      <c r="D662" s="88">
        <v>75823</v>
      </c>
      <c r="E662" s="88"/>
      <c r="F662" s="88"/>
      <c r="G662" s="88"/>
      <c r="H662" s="88"/>
      <c r="I662" s="88"/>
      <c r="J662" s="88"/>
      <c r="K662" s="88"/>
      <c r="L662" s="88"/>
      <c r="M662" s="89">
        <f>D662+E662+F662+G662+H662+J662</f>
        <v>75823</v>
      </c>
      <c r="N662" s="89"/>
      <c r="O662" s="89"/>
      <c r="P662" s="89"/>
      <c r="Q662" s="89"/>
      <c r="R662" s="89"/>
      <c r="S662" s="89"/>
      <c r="T662" s="89">
        <f t="shared" si="144"/>
        <v>75823</v>
      </c>
      <c r="U662" s="90">
        <v>51897</v>
      </c>
      <c r="V662" s="91">
        <f t="shared" si="143"/>
        <v>23926</v>
      </c>
    </row>
    <row r="663" spans="1:22" x14ac:dyDescent="0.25">
      <c r="A663" s="136"/>
      <c r="B663" s="150"/>
      <c r="C663" s="34" t="s">
        <v>43</v>
      </c>
      <c r="D663" s="22">
        <v>0</v>
      </c>
      <c r="E663" s="22"/>
      <c r="F663" s="22"/>
      <c r="G663" s="22"/>
      <c r="H663" s="22"/>
      <c r="I663" s="22"/>
      <c r="J663" s="22"/>
      <c r="K663" s="22"/>
      <c r="L663" s="22"/>
      <c r="M663" s="22">
        <f>D663+E663+F663+G663+H663+J663+I663</f>
        <v>0</v>
      </c>
      <c r="N663" s="22"/>
      <c r="O663" s="22"/>
      <c r="P663" s="22"/>
      <c r="Q663" s="22"/>
      <c r="R663" s="22"/>
      <c r="S663" s="22"/>
      <c r="T663" s="22">
        <f t="shared" si="144"/>
        <v>0</v>
      </c>
      <c r="U663" s="35">
        <v>0</v>
      </c>
      <c r="V663" s="66">
        <f t="shared" si="143"/>
        <v>0</v>
      </c>
    </row>
    <row r="664" spans="1:22" x14ac:dyDescent="0.25">
      <c r="A664" s="136"/>
      <c r="B664" s="150"/>
      <c r="C664" s="34" t="s">
        <v>53</v>
      </c>
      <c r="D664" s="22">
        <v>0</v>
      </c>
      <c r="E664" s="22"/>
      <c r="F664" s="22"/>
      <c r="G664" s="22"/>
      <c r="H664" s="22"/>
      <c r="I664" s="22"/>
      <c r="J664" s="22"/>
      <c r="K664" s="22"/>
      <c r="L664" s="22"/>
      <c r="M664" s="22">
        <f>D664+E664+F664+G664+H664+J664+I664</f>
        <v>0</v>
      </c>
      <c r="N664" s="22"/>
      <c r="O664" s="22"/>
      <c r="P664" s="22"/>
      <c r="Q664" s="22"/>
      <c r="R664" s="22"/>
      <c r="S664" s="22"/>
      <c r="T664" s="22">
        <f t="shared" si="144"/>
        <v>0</v>
      </c>
      <c r="U664" s="35">
        <v>0</v>
      </c>
      <c r="V664" s="66">
        <f t="shared" si="143"/>
        <v>0</v>
      </c>
    </row>
    <row r="665" spans="1:22" x14ac:dyDescent="0.25">
      <c r="A665" s="136"/>
      <c r="B665" s="150"/>
      <c r="C665" s="34" t="s">
        <v>44</v>
      </c>
      <c r="D665" s="22">
        <v>0</v>
      </c>
      <c r="E665" s="25"/>
      <c r="F665" s="22"/>
      <c r="G665" s="22"/>
      <c r="H665" s="22"/>
      <c r="I665" s="22"/>
      <c r="J665" s="22"/>
      <c r="K665" s="22"/>
      <c r="L665" s="22"/>
      <c r="M665" s="22">
        <f>D665+E665+F665+G665+H665+J665+I665</f>
        <v>0</v>
      </c>
      <c r="N665" s="22"/>
      <c r="O665" s="22"/>
      <c r="P665" s="22"/>
      <c r="Q665" s="22"/>
      <c r="R665" s="22"/>
      <c r="S665" s="22"/>
      <c r="T665" s="22">
        <f t="shared" si="144"/>
        <v>0</v>
      </c>
      <c r="U665" s="35">
        <v>0</v>
      </c>
      <c r="V665" s="66">
        <f t="shared" si="143"/>
        <v>0</v>
      </c>
    </row>
    <row r="666" spans="1:22" x14ac:dyDescent="0.25">
      <c r="A666" s="136"/>
      <c r="B666" s="150"/>
      <c r="C666" s="75" t="s">
        <v>45</v>
      </c>
      <c r="D666" s="22">
        <v>0</v>
      </c>
      <c r="E666" s="22"/>
      <c r="F666" s="22"/>
      <c r="G666" s="22"/>
      <c r="H666" s="22"/>
      <c r="I666" s="22"/>
      <c r="J666" s="22"/>
      <c r="K666" s="22"/>
      <c r="L666" s="22"/>
      <c r="M666" s="22">
        <f>D666+E666+F666+G666+H666+J666+I666</f>
        <v>0</v>
      </c>
      <c r="N666" s="22"/>
      <c r="O666" s="22"/>
      <c r="P666" s="22"/>
      <c r="Q666" s="22"/>
      <c r="R666" s="22"/>
      <c r="S666" s="22"/>
      <c r="T666" s="22">
        <f t="shared" si="144"/>
        <v>0</v>
      </c>
      <c r="U666" s="35">
        <v>0</v>
      </c>
      <c r="V666" s="66">
        <f t="shared" si="143"/>
        <v>0</v>
      </c>
    </row>
    <row r="667" spans="1:22" x14ac:dyDescent="0.25">
      <c r="A667" s="136"/>
      <c r="B667" s="151"/>
      <c r="C667" s="83" t="s">
        <v>46</v>
      </c>
      <c r="D667" s="84">
        <f>SUM(D663:D666)</f>
        <v>0</v>
      </c>
      <c r="E667" s="84">
        <f t="shared" ref="E667:L667" si="151">SUM(E663:E666)</f>
        <v>0</v>
      </c>
      <c r="F667" s="84">
        <f t="shared" si="151"/>
        <v>0</v>
      </c>
      <c r="G667" s="84">
        <f t="shared" si="151"/>
        <v>0</v>
      </c>
      <c r="H667" s="84">
        <f t="shared" si="151"/>
        <v>0</v>
      </c>
      <c r="I667" s="84">
        <f t="shared" si="151"/>
        <v>0</v>
      </c>
      <c r="J667" s="84">
        <f t="shared" si="151"/>
        <v>0</v>
      </c>
      <c r="K667" s="84">
        <f t="shared" si="151"/>
        <v>0</v>
      </c>
      <c r="L667" s="84">
        <f t="shared" si="151"/>
        <v>0</v>
      </c>
      <c r="M667" s="84">
        <f>SUM(M663:M666)</f>
        <v>0</v>
      </c>
      <c r="N667" s="84">
        <f t="shared" ref="N667:Q667" si="152">SUM(N663:N666)</f>
        <v>0</v>
      </c>
      <c r="O667" s="84">
        <f t="shared" si="152"/>
        <v>0</v>
      </c>
      <c r="P667" s="84">
        <f t="shared" si="152"/>
        <v>0</v>
      </c>
      <c r="Q667" s="84">
        <f t="shared" si="152"/>
        <v>0</v>
      </c>
      <c r="R667" s="84"/>
      <c r="S667" s="84"/>
      <c r="T667" s="84">
        <f t="shared" si="144"/>
        <v>0</v>
      </c>
      <c r="U667" s="85">
        <f t="shared" ref="U667" si="153">SUM(U663:U666)</f>
        <v>0</v>
      </c>
      <c r="V667" s="85">
        <f t="shared" si="143"/>
        <v>0</v>
      </c>
    </row>
    <row r="668" spans="1:22" x14ac:dyDescent="0.25">
      <c r="A668" s="136"/>
      <c r="B668" s="138" t="s">
        <v>18</v>
      </c>
      <c r="C668" s="34" t="s">
        <v>40</v>
      </c>
      <c r="D668" s="22">
        <v>2769673</v>
      </c>
      <c r="E668" s="25">
        <v>-32000</v>
      </c>
      <c r="F668" s="22"/>
      <c r="G668" s="22"/>
      <c r="H668" s="22"/>
      <c r="I668" s="22"/>
      <c r="J668" s="22"/>
      <c r="K668" s="22"/>
      <c r="L668" s="22"/>
      <c r="M668" s="22">
        <f t="shared" ref="M668:M673" si="154">D668+E668+F668+G668+H668+J668+I668</f>
        <v>2737673</v>
      </c>
      <c r="N668" s="22"/>
      <c r="O668" s="22"/>
      <c r="P668" s="22"/>
      <c r="Q668" s="22"/>
      <c r="R668" s="22"/>
      <c r="S668" s="22"/>
      <c r="T668" s="22">
        <f t="shared" si="144"/>
        <v>2737673</v>
      </c>
      <c r="U668" s="35">
        <v>1756766</v>
      </c>
      <c r="V668" s="37">
        <f t="shared" si="143"/>
        <v>980907</v>
      </c>
    </row>
    <row r="669" spans="1:22" x14ac:dyDescent="0.25">
      <c r="A669" s="136"/>
      <c r="B669" s="138"/>
      <c r="C669" s="34" t="s">
        <v>47</v>
      </c>
      <c r="D669" s="22">
        <v>100000</v>
      </c>
      <c r="E669" s="22"/>
      <c r="F669" s="22"/>
      <c r="G669" s="22"/>
      <c r="H669" s="22"/>
      <c r="I669" s="22"/>
      <c r="J669" s="22"/>
      <c r="K669" s="22"/>
      <c r="L669" s="22"/>
      <c r="M669" s="22">
        <f t="shared" si="154"/>
        <v>100000</v>
      </c>
      <c r="N669" s="22"/>
      <c r="O669" s="22"/>
      <c r="P669" s="22"/>
      <c r="Q669" s="22"/>
      <c r="R669" s="22"/>
      <c r="S669" s="22"/>
      <c r="T669" s="22">
        <f t="shared" si="144"/>
        <v>100000</v>
      </c>
      <c r="U669" s="35">
        <v>50000</v>
      </c>
      <c r="V669" s="37">
        <f t="shared" si="143"/>
        <v>50000</v>
      </c>
    </row>
    <row r="670" spans="1:22" x14ac:dyDescent="0.25">
      <c r="A670" s="136"/>
      <c r="B670" s="138"/>
      <c r="C670" s="34" t="s">
        <v>48</v>
      </c>
      <c r="D670" s="22">
        <v>10000</v>
      </c>
      <c r="E670" s="22"/>
      <c r="F670" s="22"/>
      <c r="G670" s="22"/>
      <c r="H670" s="22"/>
      <c r="I670" s="22"/>
      <c r="J670" s="22"/>
      <c r="K670" s="22"/>
      <c r="L670" s="22"/>
      <c r="M670" s="22">
        <f t="shared" si="154"/>
        <v>10000</v>
      </c>
      <c r="N670" s="22"/>
      <c r="O670" s="22"/>
      <c r="P670" s="22"/>
      <c r="Q670" s="22"/>
      <c r="R670" s="22"/>
      <c r="S670" s="22"/>
      <c r="T670" s="22">
        <f t="shared" si="144"/>
        <v>10000</v>
      </c>
      <c r="U670" s="35">
        <v>0</v>
      </c>
      <c r="V670" s="37">
        <f t="shared" si="143"/>
        <v>10000</v>
      </c>
    </row>
    <row r="671" spans="1:22" x14ac:dyDescent="0.25">
      <c r="A671" s="136"/>
      <c r="B671" s="138"/>
      <c r="C671" s="75" t="s">
        <v>49</v>
      </c>
      <c r="D671" s="22">
        <v>0</v>
      </c>
      <c r="E671" s="25"/>
      <c r="F671" s="22"/>
      <c r="G671" s="22"/>
      <c r="H671" s="22"/>
      <c r="I671" s="22"/>
      <c r="J671" s="22"/>
      <c r="K671" s="22"/>
      <c r="L671" s="22"/>
      <c r="M671" s="22">
        <f t="shared" si="154"/>
        <v>0</v>
      </c>
      <c r="N671" s="22"/>
      <c r="O671" s="22"/>
      <c r="P671" s="22"/>
      <c r="Q671" s="22"/>
      <c r="R671" s="22"/>
      <c r="S671" s="22"/>
      <c r="T671" s="22">
        <f t="shared" si="144"/>
        <v>0</v>
      </c>
      <c r="U671" s="35">
        <v>0</v>
      </c>
      <c r="V671" s="37">
        <f t="shared" si="143"/>
        <v>0</v>
      </c>
    </row>
    <row r="672" spans="1:22" x14ac:dyDescent="0.25">
      <c r="A672" s="136"/>
      <c r="B672" s="138"/>
      <c r="C672" s="34" t="s">
        <v>50</v>
      </c>
      <c r="D672" s="22">
        <v>12000</v>
      </c>
      <c r="E672" s="22"/>
      <c r="F672" s="22"/>
      <c r="G672" s="22"/>
      <c r="H672" s="22"/>
      <c r="I672" s="22"/>
      <c r="J672" s="22"/>
      <c r="K672" s="22"/>
      <c r="L672" s="22"/>
      <c r="M672" s="22">
        <f t="shared" si="154"/>
        <v>12000</v>
      </c>
      <c r="N672" s="22"/>
      <c r="O672" s="22"/>
      <c r="P672" s="22"/>
      <c r="Q672" s="22"/>
      <c r="R672" s="22"/>
      <c r="S672" s="22"/>
      <c r="T672" s="22">
        <f t="shared" si="144"/>
        <v>12000</v>
      </c>
      <c r="U672" s="35">
        <v>6000</v>
      </c>
      <c r="V672" s="37">
        <f t="shared" si="143"/>
        <v>6000</v>
      </c>
    </row>
    <row r="673" spans="1:22" x14ac:dyDescent="0.25">
      <c r="A673" s="136"/>
      <c r="B673" s="138"/>
      <c r="C673" s="34" t="s">
        <v>51</v>
      </c>
      <c r="D673" s="22">
        <v>0</v>
      </c>
      <c r="E673" s="25">
        <v>32000</v>
      </c>
      <c r="F673" s="22"/>
      <c r="G673" s="25"/>
      <c r="H673" s="22"/>
      <c r="I673" s="22"/>
      <c r="J673" s="22"/>
      <c r="K673" s="22"/>
      <c r="L673" s="22"/>
      <c r="M673" s="22">
        <f t="shared" si="154"/>
        <v>32000</v>
      </c>
      <c r="N673" s="22"/>
      <c r="O673" s="22"/>
      <c r="P673" s="22"/>
      <c r="Q673" s="22"/>
      <c r="R673" s="22"/>
      <c r="S673" s="22"/>
      <c r="T673" s="22">
        <f t="shared" si="144"/>
        <v>32000</v>
      </c>
      <c r="U673" s="35">
        <v>31182</v>
      </c>
      <c r="V673" s="37">
        <f t="shared" si="143"/>
        <v>818</v>
      </c>
    </row>
    <row r="674" spans="1:22" x14ac:dyDescent="0.25">
      <c r="A674" s="136"/>
      <c r="B674" s="138"/>
      <c r="C674" s="83" t="s">
        <v>41</v>
      </c>
      <c r="D674" s="84">
        <f>SUM(D668:D673)</f>
        <v>2891673</v>
      </c>
      <c r="E674" s="84">
        <f t="shared" ref="E674:U674" si="155">SUM(E668:E673)</f>
        <v>0</v>
      </c>
      <c r="F674" s="84">
        <f t="shared" si="155"/>
        <v>0</v>
      </c>
      <c r="G674" s="84">
        <f t="shared" si="155"/>
        <v>0</v>
      </c>
      <c r="H674" s="84">
        <f t="shared" si="155"/>
        <v>0</v>
      </c>
      <c r="I674" s="84">
        <f t="shared" si="155"/>
        <v>0</v>
      </c>
      <c r="J674" s="84">
        <f t="shared" si="155"/>
        <v>0</v>
      </c>
      <c r="K674" s="84">
        <f t="shared" si="155"/>
        <v>0</v>
      </c>
      <c r="L674" s="84">
        <f t="shared" si="155"/>
        <v>0</v>
      </c>
      <c r="M674" s="84">
        <f t="shared" si="155"/>
        <v>2891673</v>
      </c>
      <c r="N674" s="84">
        <f t="shared" si="155"/>
        <v>0</v>
      </c>
      <c r="O674" s="84">
        <f t="shared" si="155"/>
        <v>0</v>
      </c>
      <c r="P674" s="84">
        <f t="shared" si="155"/>
        <v>0</v>
      </c>
      <c r="Q674" s="84">
        <f t="shared" si="155"/>
        <v>0</v>
      </c>
      <c r="R674" s="84"/>
      <c r="S674" s="84"/>
      <c r="T674" s="84">
        <f t="shared" si="144"/>
        <v>2891673</v>
      </c>
      <c r="U674" s="85">
        <f t="shared" si="155"/>
        <v>1843948</v>
      </c>
      <c r="V674" s="86">
        <f t="shared" si="143"/>
        <v>1047725</v>
      </c>
    </row>
    <row r="675" spans="1:22" x14ac:dyDescent="0.25">
      <c r="A675" s="136"/>
      <c r="B675" s="138"/>
      <c r="C675" s="87" t="s">
        <v>42</v>
      </c>
      <c r="D675" s="88">
        <v>455453</v>
      </c>
      <c r="E675" s="88"/>
      <c r="F675" s="88"/>
      <c r="G675" s="88"/>
      <c r="H675" s="88"/>
      <c r="I675" s="88"/>
      <c r="J675" s="88"/>
      <c r="K675" s="88"/>
      <c r="L675" s="88"/>
      <c r="M675" s="89">
        <f>D675+E675+F675+G675+H675+J675</f>
        <v>455453</v>
      </c>
      <c r="N675" s="89"/>
      <c r="O675" s="89"/>
      <c r="P675" s="89"/>
      <c r="Q675" s="89"/>
      <c r="R675" s="89"/>
      <c r="S675" s="89"/>
      <c r="T675" s="89">
        <f t="shared" si="144"/>
        <v>455453</v>
      </c>
      <c r="U675" s="90">
        <v>276267</v>
      </c>
      <c r="V675" s="91">
        <f t="shared" si="143"/>
        <v>179186</v>
      </c>
    </row>
    <row r="676" spans="1:22" x14ac:dyDescent="0.25">
      <c r="A676" s="136"/>
      <c r="B676" s="138"/>
      <c r="C676" s="34" t="s">
        <v>43</v>
      </c>
      <c r="D676" s="22">
        <v>20000</v>
      </c>
      <c r="E676" s="22"/>
      <c r="F676" s="22"/>
      <c r="G676" s="22"/>
      <c r="H676" s="22"/>
      <c r="I676" s="22"/>
      <c r="J676" s="22"/>
      <c r="K676" s="22"/>
      <c r="L676" s="22"/>
      <c r="M676" s="22">
        <f>D676+E676+F676+G676+H676+J676+I676</f>
        <v>20000</v>
      </c>
      <c r="N676" s="22"/>
      <c r="O676" s="22"/>
      <c r="P676" s="22"/>
      <c r="Q676" s="22"/>
      <c r="R676" s="22"/>
      <c r="S676" s="22"/>
      <c r="T676" s="22">
        <f t="shared" si="144"/>
        <v>20000</v>
      </c>
      <c r="U676" s="35">
        <v>13995</v>
      </c>
      <c r="V676" s="37">
        <f t="shared" si="143"/>
        <v>6005</v>
      </c>
    </row>
    <row r="677" spans="1:22" x14ac:dyDescent="0.25">
      <c r="A677" s="136"/>
      <c r="B677" s="138"/>
      <c r="C677" s="34" t="s">
        <v>53</v>
      </c>
      <c r="D677" s="22">
        <v>70000</v>
      </c>
      <c r="E677" s="22"/>
      <c r="F677" s="22">
        <v>62835</v>
      </c>
      <c r="G677" s="22"/>
      <c r="H677" s="22"/>
      <c r="I677" s="22"/>
      <c r="J677" s="22"/>
      <c r="K677" s="22"/>
      <c r="L677" s="22"/>
      <c r="M677" s="22">
        <f>D677+E677+F677+G677+H677+J677+I677</f>
        <v>132835</v>
      </c>
      <c r="N677" s="22">
        <f>-30000-2051</f>
        <v>-32051</v>
      </c>
      <c r="O677" s="22"/>
      <c r="P677" s="22"/>
      <c r="Q677" s="22"/>
      <c r="R677" s="22"/>
      <c r="S677" s="22"/>
      <c r="T677" s="22">
        <f t="shared" si="144"/>
        <v>100784</v>
      </c>
      <c r="U677" s="35">
        <v>60364</v>
      </c>
      <c r="V677" s="39">
        <f t="shared" si="143"/>
        <v>40420</v>
      </c>
    </row>
    <row r="678" spans="1:22" x14ac:dyDescent="0.25">
      <c r="A678" s="136"/>
      <c r="B678" s="138"/>
      <c r="C678" s="75" t="s">
        <v>54</v>
      </c>
      <c r="D678" s="22">
        <v>0</v>
      </c>
      <c r="E678" s="22"/>
      <c r="F678" s="22"/>
      <c r="G678" s="22"/>
      <c r="H678" s="22"/>
      <c r="I678" s="22"/>
      <c r="J678" s="22"/>
      <c r="K678" s="22"/>
      <c r="L678" s="22"/>
      <c r="M678" s="22">
        <f>D678+E678+F678+G678+H678+J678+I678</f>
        <v>0</v>
      </c>
      <c r="N678" s="22">
        <v>30000</v>
      </c>
      <c r="O678" s="22">
        <v>19685</v>
      </c>
      <c r="P678" s="22"/>
      <c r="Q678" s="22"/>
      <c r="R678" s="22"/>
      <c r="S678" s="22"/>
      <c r="T678" s="22">
        <f t="shared" si="144"/>
        <v>49685</v>
      </c>
      <c r="U678" s="35">
        <v>30000</v>
      </c>
      <c r="V678" s="35">
        <f t="shared" si="143"/>
        <v>19685</v>
      </c>
    </row>
    <row r="679" spans="1:22" x14ac:dyDescent="0.25">
      <c r="A679" s="136"/>
      <c r="B679" s="138"/>
      <c r="C679" s="34" t="s">
        <v>56</v>
      </c>
      <c r="D679" s="22">
        <v>0</v>
      </c>
      <c r="E679" s="22"/>
      <c r="F679" s="22"/>
      <c r="G679" s="25"/>
      <c r="H679" s="22"/>
      <c r="I679" s="22"/>
      <c r="J679" s="22"/>
      <c r="K679" s="22"/>
      <c r="L679" s="22"/>
      <c r="M679" s="22">
        <f>D679+E679+F679+G679+H679+J679+I679</f>
        <v>0</v>
      </c>
      <c r="N679" s="22"/>
      <c r="O679" s="22"/>
      <c r="P679" s="22"/>
      <c r="Q679" s="22"/>
      <c r="R679" s="22"/>
      <c r="S679" s="22"/>
      <c r="T679" s="22">
        <f t="shared" si="144"/>
        <v>0</v>
      </c>
      <c r="U679" s="35">
        <v>0</v>
      </c>
      <c r="V679" s="39">
        <f t="shared" si="143"/>
        <v>0</v>
      </c>
    </row>
    <row r="680" spans="1:22" x14ac:dyDescent="0.25">
      <c r="A680" s="136"/>
      <c r="B680" s="138"/>
      <c r="C680" s="34" t="s">
        <v>57</v>
      </c>
      <c r="D680" s="22">
        <v>269169</v>
      </c>
      <c r="E680" s="22"/>
      <c r="F680" s="22">
        <v>30000</v>
      </c>
      <c r="G680" s="25"/>
      <c r="H680" s="22"/>
      <c r="I680" s="22"/>
      <c r="J680" s="22"/>
      <c r="K680" s="22"/>
      <c r="L680" s="22"/>
      <c r="M680" s="22">
        <f>D680+E680+F680+G680+H680+J680+I680+K680+L680</f>
        <v>299169</v>
      </c>
      <c r="N680" s="25">
        <f>-4000</f>
        <v>-4000</v>
      </c>
      <c r="O680" s="22"/>
      <c r="P680" s="22"/>
      <c r="Q680" s="22"/>
      <c r="R680" s="22"/>
      <c r="S680" s="22"/>
      <c r="T680" s="22">
        <f t="shared" si="144"/>
        <v>295169</v>
      </c>
      <c r="U680" s="35">
        <v>269169</v>
      </c>
      <c r="V680" s="39">
        <f t="shared" si="143"/>
        <v>26000</v>
      </c>
    </row>
    <row r="681" spans="1:22" x14ac:dyDescent="0.25">
      <c r="A681" s="136"/>
      <c r="B681" s="138"/>
      <c r="C681" s="34" t="s">
        <v>44</v>
      </c>
      <c r="D681" s="22">
        <v>8400</v>
      </c>
      <c r="E681" s="25"/>
      <c r="F681" s="22"/>
      <c r="G681" s="25"/>
      <c r="H681" s="22"/>
      <c r="I681" s="22"/>
      <c r="J681" s="22"/>
      <c r="K681" s="22"/>
      <c r="L681" s="22"/>
      <c r="M681" s="22">
        <f>D681+E681+F681+G681+H681+J681+I681</f>
        <v>8400</v>
      </c>
      <c r="N681" s="22"/>
      <c r="O681" s="22"/>
      <c r="P681" s="22"/>
      <c r="Q681" s="22"/>
      <c r="R681" s="22"/>
      <c r="S681" s="22"/>
      <c r="T681" s="22">
        <f t="shared" si="144"/>
        <v>8400</v>
      </c>
      <c r="U681" s="35">
        <v>2100</v>
      </c>
      <c r="V681" s="39">
        <f t="shared" si="143"/>
        <v>6300</v>
      </c>
    </row>
    <row r="682" spans="1:22" x14ac:dyDescent="0.25">
      <c r="A682" s="136"/>
      <c r="B682" s="138"/>
      <c r="C682" s="34" t="s">
        <v>58</v>
      </c>
      <c r="D682" s="22">
        <v>135459</v>
      </c>
      <c r="E682" s="22"/>
      <c r="F682" s="22"/>
      <c r="G682" s="25"/>
      <c r="H682" s="22"/>
      <c r="I682" s="22"/>
      <c r="J682" s="22"/>
      <c r="K682" s="22"/>
      <c r="L682" s="22"/>
      <c r="M682" s="22">
        <f>D682+E682+F682+G682+H682+J682+I682</f>
        <v>135459</v>
      </c>
      <c r="N682" s="22">
        <f>2051-4000</f>
        <v>-1949</v>
      </c>
      <c r="O682" s="22"/>
      <c r="P682" s="22"/>
      <c r="Q682" s="22"/>
      <c r="R682" s="22"/>
      <c r="S682" s="22"/>
      <c r="T682" s="22">
        <f t="shared" si="144"/>
        <v>133510</v>
      </c>
      <c r="U682" s="35">
        <v>84762</v>
      </c>
      <c r="V682" s="39">
        <f t="shared" si="143"/>
        <v>48748</v>
      </c>
    </row>
    <row r="683" spans="1:22" x14ac:dyDescent="0.25">
      <c r="A683" s="136"/>
      <c r="B683" s="138"/>
      <c r="C683" s="34" t="s">
        <v>45</v>
      </c>
      <c r="D683" s="22">
        <v>92576</v>
      </c>
      <c r="E683" s="22"/>
      <c r="F683" s="22">
        <v>25065</v>
      </c>
      <c r="G683" s="25"/>
      <c r="H683" s="22"/>
      <c r="I683" s="22"/>
      <c r="J683" s="22"/>
      <c r="K683" s="22"/>
      <c r="L683" s="22"/>
      <c r="M683" s="22">
        <f>D683+E683+F683+G683+H683+J683+I683</f>
        <v>117641</v>
      </c>
      <c r="N683" s="22"/>
      <c r="O683" s="22">
        <v>5315</v>
      </c>
      <c r="P683" s="22"/>
      <c r="Q683" s="22"/>
      <c r="R683" s="22"/>
      <c r="S683" s="22"/>
      <c r="T683" s="22">
        <f t="shared" si="144"/>
        <v>122956</v>
      </c>
      <c r="U683" s="35">
        <v>97774</v>
      </c>
      <c r="V683" s="39">
        <f t="shared" si="143"/>
        <v>25182</v>
      </c>
    </row>
    <row r="684" spans="1:22" x14ac:dyDescent="0.25">
      <c r="A684" s="136"/>
      <c r="B684" s="138"/>
      <c r="C684" s="34" t="s">
        <v>60</v>
      </c>
      <c r="D684" s="22">
        <v>0</v>
      </c>
      <c r="E684" s="22"/>
      <c r="F684" s="22"/>
      <c r="G684" s="25"/>
      <c r="H684" s="22"/>
      <c r="I684" s="22"/>
      <c r="J684" s="22"/>
      <c r="K684" s="22"/>
      <c r="L684" s="22"/>
      <c r="M684" s="22">
        <f>D684+E684+F684+G684+H684+J684+I684</f>
        <v>0</v>
      </c>
      <c r="N684" s="22"/>
      <c r="O684" s="22"/>
      <c r="P684" s="22"/>
      <c r="Q684" s="22"/>
      <c r="R684" s="22"/>
      <c r="S684" s="22"/>
      <c r="T684" s="22">
        <f t="shared" si="144"/>
        <v>0</v>
      </c>
      <c r="U684" s="35">
        <v>0</v>
      </c>
      <c r="V684" s="39">
        <f t="shared" si="143"/>
        <v>0</v>
      </c>
    </row>
    <row r="685" spans="1:22" x14ac:dyDescent="0.25">
      <c r="A685" s="136"/>
      <c r="B685" s="138"/>
      <c r="C685" s="83" t="s">
        <v>46</v>
      </c>
      <c r="D685" s="84">
        <f>SUM(D676:D684)</f>
        <v>595604</v>
      </c>
      <c r="E685" s="84">
        <f t="shared" ref="E685:U685" si="156">SUM(E676:E684)</f>
        <v>0</v>
      </c>
      <c r="F685" s="84">
        <f t="shared" si="156"/>
        <v>117900</v>
      </c>
      <c r="G685" s="84">
        <f t="shared" si="156"/>
        <v>0</v>
      </c>
      <c r="H685" s="84">
        <f t="shared" si="156"/>
        <v>0</v>
      </c>
      <c r="I685" s="84">
        <f t="shared" si="156"/>
        <v>0</v>
      </c>
      <c r="J685" s="84">
        <f t="shared" si="156"/>
        <v>0</v>
      </c>
      <c r="K685" s="84">
        <f t="shared" si="156"/>
        <v>0</v>
      </c>
      <c r="L685" s="84">
        <f t="shared" si="156"/>
        <v>0</v>
      </c>
      <c r="M685" s="84">
        <f t="shared" si="156"/>
        <v>713504</v>
      </c>
      <c r="N685" s="84">
        <f t="shared" si="156"/>
        <v>-8000</v>
      </c>
      <c r="O685" s="84">
        <f t="shared" si="156"/>
        <v>25000</v>
      </c>
      <c r="P685" s="84">
        <f t="shared" si="156"/>
        <v>0</v>
      </c>
      <c r="Q685" s="84">
        <f t="shared" si="156"/>
        <v>0</v>
      </c>
      <c r="R685" s="84"/>
      <c r="S685" s="84"/>
      <c r="T685" s="84">
        <f t="shared" si="144"/>
        <v>730504</v>
      </c>
      <c r="U685" s="85">
        <f t="shared" si="156"/>
        <v>558164</v>
      </c>
      <c r="V685" s="86">
        <f t="shared" si="143"/>
        <v>172340</v>
      </c>
    </row>
    <row r="686" spans="1:22" x14ac:dyDescent="0.25">
      <c r="A686" s="136"/>
      <c r="B686" s="138" t="s">
        <v>21</v>
      </c>
      <c r="C686" s="34" t="s">
        <v>62</v>
      </c>
      <c r="D686" s="22">
        <v>72000</v>
      </c>
      <c r="E686" s="22"/>
      <c r="F686" s="22"/>
      <c r="G686" s="22"/>
      <c r="H686" s="22"/>
      <c r="I686" s="22"/>
      <c r="J686" s="22"/>
      <c r="K686" s="22"/>
      <c r="L686" s="22"/>
      <c r="M686" s="22">
        <f>D686+E686+F686+G686+H686+J686+I686</f>
        <v>72000</v>
      </c>
      <c r="N686" s="22"/>
      <c r="O686" s="22"/>
      <c r="P686" s="22"/>
      <c r="Q686" s="22"/>
      <c r="R686" s="22"/>
      <c r="S686" s="22"/>
      <c r="T686" s="22">
        <f t="shared" si="144"/>
        <v>72000</v>
      </c>
      <c r="U686" s="35">
        <v>36000</v>
      </c>
      <c r="V686" s="37">
        <f t="shared" si="143"/>
        <v>36000</v>
      </c>
    </row>
    <row r="687" spans="1:22" x14ac:dyDescent="0.25">
      <c r="A687" s="136"/>
      <c r="B687" s="138"/>
      <c r="C687" s="34" t="s">
        <v>57</v>
      </c>
      <c r="D687" s="22">
        <v>6000</v>
      </c>
      <c r="E687" s="22"/>
      <c r="F687" s="22"/>
      <c r="G687" s="22"/>
      <c r="H687" s="22"/>
      <c r="I687" s="22"/>
      <c r="J687" s="22"/>
      <c r="K687" s="22"/>
      <c r="L687" s="22"/>
      <c r="M687" s="22">
        <f>D687+E687+F687+G687+H687+J687+I687</f>
        <v>6000</v>
      </c>
      <c r="N687" s="22"/>
      <c r="O687" s="22"/>
      <c r="P687" s="22"/>
      <c r="Q687" s="22"/>
      <c r="R687" s="22"/>
      <c r="S687" s="22"/>
      <c r="T687" s="22">
        <f t="shared" si="144"/>
        <v>6000</v>
      </c>
      <c r="U687" s="35">
        <v>6000</v>
      </c>
      <c r="V687" s="37">
        <f t="shared" si="143"/>
        <v>0</v>
      </c>
    </row>
    <row r="688" spans="1:22" x14ac:dyDescent="0.25">
      <c r="A688" s="136"/>
      <c r="B688" s="138"/>
      <c r="C688" s="34" t="s">
        <v>64</v>
      </c>
      <c r="D688" s="22">
        <v>0</v>
      </c>
      <c r="E688" s="22"/>
      <c r="F688" s="22"/>
      <c r="G688" s="22"/>
      <c r="H688" s="22"/>
      <c r="I688" s="22"/>
      <c r="J688" s="22"/>
      <c r="K688" s="22"/>
      <c r="L688" s="22"/>
      <c r="M688" s="22">
        <f>D688+E688+F688+G688+H688+J688+I688</f>
        <v>0</v>
      </c>
      <c r="N688" s="22">
        <v>4000</v>
      </c>
      <c r="O688" s="22"/>
      <c r="P688" s="22"/>
      <c r="Q688" s="22"/>
      <c r="R688" s="22"/>
      <c r="S688" s="22"/>
      <c r="T688" s="22">
        <f t="shared" si="144"/>
        <v>4000</v>
      </c>
      <c r="U688" s="35">
        <v>4000</v>
      </c>
      <c r="V688" s="37">
        <f t="shared" si="143"/>
        <v>0</v>
      </c>
    </row>
    <row r="689" spans="1:22" x14ac:dyDescent="0.25">
      <c r="A689" s="136"/>
      <c r="B689" s="138"/>
      <c r="C689" s="34" t="s">
        <v>58</v>
      </c>
      <c r="D689" s="22">
        <v>0</v>
      </c>
      <c r="E689" s="22"/>
      <c r="F689" s="22"/>
      <c r="G689" s="22"/>
      <c r="H689" s="22"/>
      <c r="I689" s="22"/>
      <c r="J689" s="22"/>
      <c r="K689" s="22"/>
      <c r="L689" s="22"/>
      <c r="M689" s="22">
        <f>D689+E689+F689+G689+H689+J689+I689</f>
        <v>0</v>
      </c>
      <c r="N689" s="22">
        <v>4000</v>
      </c>
      <c r="O689" s="22"/>
      <c r="P689" s="22"/>
      <c r="Q689" s="22"/>
      <c r="R689" s="22"/>
      <c r="S689" s="22"/>
      <c r="T689" s="22">
        <f t="shared" si="144"/>
        <v>4000</v>
      </c>
      <c r="U689" s="35">
        <v>4000</v>
      </c>
      <c r="V689" s="37">
        <f t="shared" si="143"/>
        <v>0</v>
      </c>
    </row>
    <row r="690" spans="1:22" x14ac:dyDescent="0.25">
      <c r="A690" s="136"/>
      <c r="B690" s="138"/>
      <c r="C690" s="34" t="s">
        <v>45</v>
      </c>
      <c r="D690" s="22">
        <v>21060</v>
      </c>
      <c r="E690" s="22"/>
      <c r="F690" s="22"/>
      <c r="G690" s="22"/>
      <c r="H690" s="22"/>
      <c r="I690" s="22"/>
      <c r="J690" s="22"/>
      <c r="K690" s="22"/>
      <c r="L690" s="22"/>
      <c r="M690" s="22">
        <f>D690+E690+F690+G690+H690+J690+I690</f>
        <v>21060</v>
      </c>
      <c r="N690" s="22"/>
      <c r="O690" s="22"/>
      <c r="P690" s="22"/>
      <c r="Q690" s="22"/>
      <c r="R690" s="22"/>
      <c r="S690" s="22"/>
      <c r="T690" s="22">
        <f t="shared" si="144"/>
        <v>21060</v>
      </c>
      <c r="U690" s="35">
        <v>13500</v>
      </c>
      <c r="V690" s="39">
        <f t="shared" si="143"/>
        <v>7560</v>
      </c>
    </row>
    <row r="691" spans="1:22" x14ac:dyDescent="0.25">
      <c r="A691" s="136"/>
      <c r="B691" s="138"/>
      <c r="C691" s="83" t="s">
        <v>46</v>
      </c>
      <c r="D691" s="84">
        <f>SUM(D686:D690)</f>
        <v>99060</v>
      </c>
      <c r="E691" s="84">
        <f t="shared" ref="E691:U691" si="157">SUM(E686:E690)</f>
        <v>0</v>
      </c>
      <c r="F691" s="84">
        <f t="shared" si="157"/>
        <v>0</v>
      </c>
      <c r="G691" s="84">
        <f t="shared" si="157"/>
        <v>0</v>
      </c>
      <c r="H691" s="84">
        <f t="shared" si="157"/>
        <v>0</v>
      </c>
      <c r="I691" s="84">
        <f t="shared" si="157"/>
        <v>0</v>
      </c>
      <c r="J691" s="84">
        <f t="shared" si="157"/>
        <v>0</v>
      </c>
      <c r="K691" s="84">
        <f t="shared" si="157"/>
        <v>0</v>
      </c>
      <c r="L691" s="84">
        <f t="shared" si="157"/>
        <v>0</v>
      </c>
      <c r="M691" s="84">
        <f t="shared" si="157"/>
        <v>99060</v>
      </c>
      <c r="N691" s="84">
        <f t="shared" si="157"/>
        <v>8000</v>
      </c>
      <c r="O691" s="84">
        <f t="shared" si="157"/>
        <v>0</v>
      </c>
      <c r="P691" s="84">
        <f t="shared" si="157"/>
        <v>0</v>
      </c>
      <c r="Q691" s="84">
        <f t="shared" si="157"/>
        <v>0</v>
      </c>
      <c r="R691" s="84"/>
      <c r="S691" s="84"/>
      <c r="T691" s="84">
        <f t="shared" si="144"/>
        <v>107060</v>
      </c>
      <c r="U691" s="85">
        <f t="shared" si="157"/>
        <v>63500</v>
      </c>
      <c r="V691" s="86">
        <f t="shared" si="143"/>
        <v>43560</v>
      </c>
    </row>
    <row r="692" spans="1:22" x14ac:dyDescent="0.25">
      <c r="A692" s="136" t="s">
        <v>103</v>
      </c>
      <c r="B692" s="138" t="s">
        <v>18</v>
      </c>
      <c r="C692" s="34" t="s">
        <v>40</v>
      </c>
      <c r="D692" s="22">
        <v>240264</v>
      </c>
      <c r="E692" s="22"/>
      <c r="F692" s="22"/>
      <c r="G692" s="22"/>
      <c r="H692" s="22"/>
      <c r="I692" s="22"/>
      <c r="J692" s="22"/>
      <c r="K692" s="22"/>
      <c r="L692" s="22"/>
      <c r="M692" s="22">
        <f>D692+E692+F692+G692+H692+J692+I692</f>
        <v>240264</v>
      </c>
      <c r="N692" s="22"/>
      <c r="O692" s="22"/>
      <c r="P692" s="22"/>
      <c r="Q692" s="22"/>
      <c r="R692" s="22"/>
      <c r="S692" s="22"/>
      <c r="T692" s="22">
        <f t="shared" si="144"/>
        <v>240264</v>
      </c>
      <c r="U692" s="35">
        <v>157444</v>
      </c>
      <c r="V692" s="37">
        <f t="shared" si="143"/>
        <v>82820</v>
      </c>
    </row>
    <row r="693" spans="1:22" x14ac:dyDescent="0.25">
      <c r="A693" s="136"/>
      <c r="B693" s="138"/>
      <c r="C693" s="34" t="s">
        <v>42</v>
      </c>
      <c r="D693" s="22">
        <v>37241</v>
      </c>
      <c r="E693" s="22"/>
      <c r="F693" s="22"/>
      <c r="G693" s="22"/>
      <c r="H693" s="22"/>
      <c r="I693" s="22"/>
      <c r="J693" s="22"/>
      <c r="K693" s="22"/>
      <c r="L693" s="22"/>
      <c r="M693" s="22">
        <f>D693+E693+F693+G693+H693+J693+I693+K693</f>
        <v>37241</v>
      </c>
      <c r="N693" s="22"/>
      <c r="O693" s="22"/>
      <c r="P693" s="22"/>
      <c r="Q693" s="22"/>
      <c r="R693" s="22"/>
      <c r="S693" s="22"/>
      <c r="T693" s="22">
        <f t="shared" si="144"/>
        <v>37241</v>
      </c>
      <c r="U693" s="35">
        <v>23935</v>
      </c>
      <c r="V693" s="37">
        <f t="shared" si="143"/>
        <v>13306</v>
      </c>
    </row>
    <row r="694" spans="1:22" x14ac:dyDescent="0.25">
      <c r="A694" s="140" t="s">
        <v>147</v>
      </c>
      <c r="B694" s="141"/>
      <c r="C694" s="142"/>
      <c r="D694" s="96">
        <f>SUM(D661+D662+D667+D674+D675+D685+D691+D692+D693)</f>
        <v>5373478</v>
      </c>
      <c r="E694" s="97">
        <f>SUM(E661,E662,E667,E674,E675,E685,E691,E692,E693)</f>
        <v>0</v>
      </c>
      <c r="F694" s="97">
        <f t="shared" ref="F694:Q694" si="158">SUM(F661,F662,F667,F674,F675,F685,F691,F692,F693)</f>
        <v>117900</v>
      </c>
      <c r="G694" s="97">
        <f t="shared" si="158"/>
        <v>0</v>
      </c>
      <c r="H694" s="97">
        <f>SUM(H661,H662,H667,H674,H675,H685,H691,H692,H693)</f>
        <v>0</v>
      </c>
      <c r="I694" s="97">
        <f>SUM(I661,I662,I667,I674,I675,I685,I691,I692,I693)</f>
        <v>0</v>
      </c>
      <c r="J694" s="97">
        <f>SUM(J661,J662,J667,J674,J675,J685,J691,J692,J693)</f>
        <v>0</v>
      </c>
      <c r="K694" s="97">
        <f t="shared" ref="K694:L694" si="159">SUM(K661,K662,K667,K674,K675,K685,K691,K692,K693)</f>
        <v>0</v>
      </c>
      <c r="L694" s="97">
        <f t="shared" si="159"/>
        <v>0</v>
      </c>
      <c r="M694" s="97">
        <f t="shared" si="158"/>
        <v>5491378</v>
      </c>
      <c r="N694" s="97">
        <f t="shared" si="158"/>
        <v>0</v>
      </c>
      <c r="O694" s="97">
        <f t="shared" si="158"/>
        <v>25000</v>
      </c>
      <c r="P694" s="97">
        <f t="shared" si="158"/>
        <v>0</v>
      </c>
      <c r="Q694" s="97">
        <f t="shared" si="158"/>
        <v>0</v>
      </c>
      <c r="R694" s="97"/>
      <c r="S694" s="97"/>
      <c r="T694" s="97">
        <f t="shared" si="144"/>
        <v>5516378</v>
      </c>
      <c r="U694" s="98">
        <f>SUM(U661,U662,U667,U674,U675,U685,U691,U692,U693)</f>
        <v>3644745</v>
      </c>
      <c r="V694" s="99">
        <f t="shared" si="143"/>
        <v>1871633</v>
      </c>
    </row>
    <row r="695" spans="1:22" x14ac:dyDescent="0.25">
      <c r="A695" s="136" t="s">
        <v>104</v>
      </c>
      <c r="B695" s="139" t="s">
        <v>39</v>
      </c>
      <c r="C695" s="34" t="s">
        <v>40</v>
      </c>
      <c r="D695" s="22">
        <v>0</v>
      </c>
      <c r="E695" s="22"/>
      <c r="F695" s="22"/>
      <c r="G695" s="22"/>
      <c r="H695" s="22"/>
      <c r="I695" s="22"/>
      <c r="J695" s="22"/>
      <c r="K695" s="22"/>
      <c r="L695" s="22"/>
      <c r="M695" s="22">
        <f>D695+E695+F695+G695+H695+J695+I695</f>
        <v>0</v>
      </c>
      <c r="N695" s="22"/>
      <c r="O695" s="22"/>
      <c r="P695" s="22"/>
      <c r="Q695" s="22"/>
      <c r="R695" s="22"/>
      <c r="S695" s="22"/>
      <c r="T695" s="22">
        <f t="shared" si="144"/>
        <v>0</v>
      </c>
      <c r="U695" s="35">
        <v>0</v>
      </c>
      <c r="V695" s="39">
        <f t="shared" si="143"/>
        <v>0</v>
      </c>
    </row>
    <row r="696" spans="1:22" x14ac:dyDescent="0.25">
      <c r="A696" s="136"/>
      <c r="B696" s="150"/>
      <c r="C696" s="34" t="s">
        <v>47</v>
      </c>
      <c r="D696" s="22">
        <v>0</v>
      </c>
      <c r="E696" s="22"/>
      <c r="F696" s="22"/>
      <c r="G696" s="22"/>
      <c r="H696" s="22"/>
      <c r="I696" s="22"/>
      <c r="J696" s="22"/>
      <c r="K696" s="22"/>
      <c r="L696" s="22"/>
      <c r="M696" s="22">
        <f>D696+E696+F696+G696+H696+J696+I696</f>
        <v>0</v>
      </c>
      <c r="N696" s="22"/>
      <c r="O696" s="22"/>
      <c r="P696" s="22"/>
      <c r="Q696" s="22"/>
      <c r="R696" s="22"/>
      <c r="S696" s="22"/>
      <c r="T696" s="22">
        <f t="shared" si="144"/>
        <v>0</v>
      </c>
      <c r="U696" s="35">
        <v>0</v>
      </c>
      <c r="V696" s="37">
        <f t="shared" si="143"/>
        <v>0</v>
      </c>
    </row>
    <row r="697" spans="1:22" x14ac:dyDescent="0.25">
      <c r="A697" s="136"/>
      <c r="B697" s="150"/>
      <c r="C697" s="34" t="s">
        <v>48</v>
      </c>
      <c r="D697" s="22">
        <v>0</v>
      </c>
      <c r="E697" s="22"/>
      <c r="F697" s="22"/>
      <c r="G697" s="22"/>
      <c r="H697" s="22"/>
      <c r="I697" s="22"/>
      <c r="J697" s="22"/>
      <c r="K697" s="22"/>
      <c r="L697" s="22"/>
      <c r="M697" s="22">
        <f>D697+E697+F697+G697+H697+J697+I697</f>
        <v>0</v>
      </c>
      <c r="N697" s="22"/>
      <c r="O697" s="22"/>
      <c r="P697" s="22"/>
      <c r="Q697" s="22"/>
      <c r="R697" s="22"/>
      <c r="S697" s="22"/>
      <c r="T697" s="22">
        <f t="shared" si="144"/>
        <v>0</v>
      </c>
      <c r="U697" s="35">
        <v>0</v>
      </c>
      <c r="V697" s="37">
        <f t="shared" si="143"/>
        <v>0</v>
      </c>
    </row>
    <row r="698" spans="1:22" x14ac:dyDescent="0.25">
      <c r="A698" s="136"/>
      <c r="B698" s="150"/>
      <c r="C698" s="34" t="s">
        <v>50</v>
      </c>
      <c r="D698" s="22">
        <v>0</v>
      </c>
      <c r="E698" s="22"/>
      <c r="F698" s="22"/>
      <c r="G698" s="22"/>
      <c r="H698" s="22"/>
      <c r="I698" s="22"/>
      <c r="J698" s="22"/>
      <c r="K698" s="22"/>
      <c r="L698" s="22"/>
      <c r="M698" s="22">
        <f>D698+E698+F698+G698+H698+J698+I698</f>
        <v>0</v>
      </c>
      <c r="N698" s="22"/>
      <c r="O698" s="22"/>
      <c r="P698" s="22"/>
      <c r="Q698" s="22"/>
      <c r="R698" s="22"/>
      <c r="S698" s="22"/>
      <c r="T698" s="22">
        <f t="shared" si="144"/>
        <v>0</v>
      </c>
      <c r="U698" s="35">
        <v>0</v>
      </c>
      <c r="V698" s="37">
        <f t="shared" si="143"/>
        <v>0</v>
      </c>
    </row>
    <row r="699" spans="1:22" x14ac:dyDescent="0.25">
      <c r="A699" s="136"/>
      <c r="B699" s="150"/>
      <c r="C699" s="34" t="s">
        <v>51</v>
      </c>
      <c r="D699" s="22">
        <v>0</v>
      </c>
      <c r="E699" s="22"/>
      <c r="F699" s="22"/>
      <c r="G699" s="22"/>
      <c r="H699" s="22"/>
      <c r="I699" s="22"/>
      <c r="J699" s="22"/>
      <c r="K699" s="22"/>
      <c r="L699" s="22"/>
      <c r="M699" s="22">
        <f>D699+E699+F699+G699+H699+J699+I699</f>
        <v>0</v>
      </c>
      <c r="N699" s="22"/>
      <c r="O699" s="22"/>
      <c r="P699" s="22"/>
      <c r="Q699" s="22"/>
      <c r="R699" s="22"/>
      <c r="S699" s="22"/>
      <c r="T699" s="22">
        <f t="shared" si="144"/>
        <v>0</v>
      </c>
      <c r="U699" s="35">
        <v>0</v>
      </c>
      <c r="V699" s="37">
        <f t="shared" si="143"/>
        <v>0</v>
      </c>
    </row>
    <row r="700" spans="1:22" x14ac:dyDescent="0.25">
      <c r="A700" s="136"/>
      <c r="B700" s="150"/>
      <c r="C700" s="83" t="s">
        <v>41</v>
      </c>
      <c r="D700" s="84">
        <f>SUM(D695:D699)</f>
        <v>0</v>
      </c>
      <c r="E700" s="84">
        <f t="shared" ref="E700:U700" si="160">SUM(E695:E699)</f>
        <v>0</v>
      </c>
      <c r="F700" s="84">
        <f t="shared" si="160"/>
        <v>0</v>
      </c>
      <c r="G700" s="84">
        <f t="shared" si="160"/>
        <v>0</v>
      </c>
      <c r="H700" s="84">
        <f t="shared" si="160"/>
        <v>0</v>
      </c>
      <c r="I700" s="84">
        <f t="shared" si="160"/>
        <v>0</v>
      </c>
      <c r="J700" s="84">
        <f t="shared" si="160"/>
        <v>0</v>
      </c>
      <c r="K700" s="84">
        <f t="shared" si="160"/>
        <v>0</v>
      </c>
      <c r="L700" s="84">
        <f t="shared" si="160"/>
        <v>0</v>
      </c>
      <c r="M700" s="84">
        <f t="shared" si="160"/>
        <v>0</v>
      </c>
      <c r="N700" s="84">
        <f t="shared" si="160"/>
        <v>0</v>
      </c>
      <c r="O700" s="84">
        <f t="shared" si="160"/>
        <v>0</v>
      </c>
      <c r="P700" s="84">
        <f t="shared" si="160"/>
        <v>0</v>
      </c>
      <c r="Q700" s="84">
        <f t="shared" si="160"/>
        <v>0</v>
      </c>
      <c r="R700" s="84"/>
      <c r="S700" s="84"/>
      <c r="T700" s="84">
        <f t="shared" si="144"/>
        <v>0</v>
      </c>
      <c r="U700" s="85">
        <f t="shared" si="160"/>
        <v>0</v>
      </c>
      <c r="V700" s="86">
        <f t="shared" si="143"/>
        <v>0</v>
      </c>
    </row>
    <row r="701" spans="1:22" x14ac:dyDescent="0.25">
      <c r="A701" s="136"/>
      <c r="B701" s="150"/>
      <c r="C701" s="87" t="s">
        <v>42</v>
      </c>
      <c r="D701" s="88">
        <v>0</v>
      </c>
      <c r="E701" s="88"/>
      <c r="F701" s="88"/>
      <c r="G701" s="88"/>
      <c r="H701" s="88"/>
      <c r="I701" s="88"/>
      <c r="J701" s="88"/>
      <c r="K701" s="88"/>
      <c r="L701" s="88"/>
      <c r="M701" s="89">
        <f>D701+E701+F701+G701+H701+J701</f>
        <v>0</v>
      </c>
      <c r="N701" s="89"/>
      <c r="O701" s="89"/>
      <c r="P701" s="89"/>
      <c r="Q701" s="89"/>
      <c r="R701" s="89"/>
      <c r="S701" s="89"/>
      <c r="T701" s="89">
        <f t="shared" si="144"/>
        <v>0</v>
      </c>
      <c r="U701" s="90">
        <v>0</v>
      </c>
      <c r="V701" s="91">
        <f t="shared" si="143"/>
        <v>0</v>
      </c>
    </row>
    <row r="702" spans="1:22" x14ac:dyDescent="0.25">
      <c r="A702" s="136"/>
      <c r="B702" s="150"/>
      <c r="C702" s="75" t="s">
        <v>43</v>
      </c>
      <c r="D702" s="25">
        <v>0</v>
      </c>
      <c r="E702" s="25"/>
      <c r="F702" s="25"/>
      <c r="G702" s="25"/>
      <c r="H702" s="25"/>
      <c r="I702" s="25"/>
      <c r="J702" s="25"/>
      <c r="K702" s="25"/>
      <c r="L702" s="25"/>
      <c r="M702" s="22">
        <f>D702+E702+F702+G702+H702+J702+I702</f>
        <v>0</v>
      </c>
      <c r="N702" s="22"/>
      <c r="O702" s="22"/>
      <c r="P702" s="22"/>
      <c r="Q702" s="22"/>
      <c r="R702" s="22"/>
      <c r="S702" s="22"/>
      <c r="T702" s="22">
        <f t="shared" si="144"/>
        <v>0</v>
      </c>
      <c r="U702" s="66">
        <v>0</v>
      </c>
      <c r="V702" s="35">
        <f t="shared" si="143"/>
        <v>0</v>
      </c>
    </row>
    <row r="703" spans="1:22" x14ac:dyDescent="0.25">
      <c r="A703" s="136"/>
      <c r="B703" s="150"/>
      <c r="C703" s="75" t="s">
        <v>53</v>
      </c>
      <c r="D703" s="25">
        <v>0</v>
      </c>
      <c r="E703" s="25"/>
      <c r="F703" s="25"/>
      <c r="G703" s="25"/>
      <c r="H703" s="25"/>
      <c r="I703" s="25"/>
      <c r="J703" s="25"/>
      <c r="K703" s="25"/>
      <c r="L703" s="25"/>
      <c r="M703" s="22">
        <f>D703+E703+F703+G703+H703+J703+I703</f>
        <v>0</v>
      </c>
      <c r="N703" s="22"/>
      <c r="O703" s="22"/>
      <c r="P703" s="22"/>
      <c r="Q703" s="22"/>
      <c r="R703" s="22"/>
      <c r="S703" s="22"/>
      <c r="T703" s="22">
        <f t="shared" si="144"/>
        <v>0</v>
      </c>
      <c r="U703" s="66">
        <v>0</v>
      </c>
      <c r="V703" s="66">
        <f t="shared" si="143"/>
        <v>0</v>
      </c>
    </row>
    <row r="704" spans="1:22" x14ac:dyDescent="0.25">
      <c r="A704" s="136"/>
      <c r="B704" s="150"/>
      <c r="C704" s="75" t="s">
        <v>45</v>
      </c>
      <c r="D704" s="25">
        <v>0</v>
      </c>
      <c r="E704" s="25"/>
      <c r="F704" s="25"/>
      <c r="G704" s="25"/>
      <c r="H704" s="25"/>
      <c r="I704" s="25"/>
      <c r="J704" s="25"/>
      <c r="K704" s="25"/>
      <c r="L704" s="25"/>
      <c r="M704" s="22">
        <f>D704+E704+F704+G704+H704+J704+I704</f>
        <v>0</v>
      </c>
      <c r="N704" s="22"/>
      <c r="O704" s="22"/>
      <c r="P704" s="22"/>
      <c r="Q704" s="22"/>
      <c r="R704" s="22"/>
      <c r="S704" s="22"/>
      <c r="T704" s="22">
        <f t="shared" si="144"/>
        <v>0</v>
      </c>
      <c r="U704" s="66">
        <v>0</v>
      </c>
      <c r="V704" s="66">
        <f t="shared" si="143"/>
        <v>0</v>
      </c>
    </row>
    <row r="705" spans="1:22" x14ac:dyDescent="0.25">
      <c r="A705" s="136"/>
      <c r="B705" s="151"/>
      <c r="C705" s="83" t="s">
        <v>46</v>
      </c>
      <c r="D705" s="84">
        <f>SUM(D702:D704)</f>
        <v>0</v>
      </c>
      <c r="E705" s="84">
        <f>E702+E704+E703</f>
        <v>0</v>
      </c>
      <c r="F705" s="84">
        <f t="shared" ref="F705:L705" si="161">F702+F704</f>
        <v>0</v>
      </c>
      <c r="G705" s="84">
        <f t="shared" si="161"/>
        <v>0</v>
      </c>
      <c r="H705" s="84">
        <f t="shared" si="161"/>
        <v>0</v>
      </c>
      <c r="I705" s="84">
        <f t="shared" si="161"/>
        <v>0</v>
      </c>
      <c r="J705" s="84">
        <f t="shared" si="161"/>
        <v>0</v>
      </c>
      <c r="K705" s="84">
        <f t="shared" si="161"/>
        <v>0</v>
      </c>
      <c r="L705" s="84">
        <f t="shared" si="161"/>
        <v>0</v>
      </c>
      <c r="M705" s="84">
        <f>M702+M704+M703</f>
        <v>0</v>
      </c>
      <c r="N705" s="84">
        <f t="shared" ref="N705:Q705" si="162">N702+N704+N703</f>
        <v>0</v>
      </c>
      <c r="O705" s="84">
        <f t="shared" si="162"/>
        <v>0</v>
      </c>
      <c r="P705" s="84">
        <f t="shared" si="162"/>
        <v>0</v>
      </c>
      <c r="Q705" s="84">
        <f t="shared" si="162"/>
        <v>0</v>
      </c>
      <c r="R705" s="84"/>
      <c r="S705" s="84"/>
      <c r="T705" s="84">
        <f t="shared" si="144"/>
        <v>0</v>
      </c>
      <c r="U705" s="85">
        <f>U702+U704+U703</f>
        <v>0</v>
      </c>
      <c r="V705" s="85">
        <f t="shared" si="143"/>
        <v>0</v>
      </c>
    </row>
    <row r="706" spans="1:22" x14ac:dyDescent="0.25">
      <c r="A706" s="136"/>
      <c r="B706" s="139" t="s">
        <v>18</v>
      </c>
      <c r="C706" s="75" t="s">
        <v>40</v>
      </c>
      <c r="D706" s="25">
        <v>0</v>
      </c>
      <c r="E706" s="25"/>
      <c r="F706" s="25"/>
      <c r="G706" s="25"/>
      <c r="H706" s="25"/>
      <c r="I706" s="25"/>
      <c r="J706" s="25"/>
      <c r="K706" s="25"/>
      <c r="L706" s="25"/>
      <c r="M706" s="22">
        <f>D706+E706+F706+G706+H706+J706+I706</f>
        <v>0</v>
      </c>
      <c r="N706" s="22"/>
      <c r="O706" s="22"/>
      <c r="P706" s="22"/>
      <c r="Q706" s="22"/>
      <c r="R706" s="22"/>
      <c r="S706" s="22"/>
      <c r="T706" s="22">
        <f t="shared" si="144"/>
        <v>0</v>
      </c>
      <c r="U706" s="66">
        <v>0</v>
      </c>
      <c r="V706" s="66">
        <f t="shared" si="143"/>
        <v>0</v>
      </c>
    </row>
    <row r="707" spans="1:22" x14ac:dyDescent="0.25">
      <c r="A707" s="136"/>
      <c r="B707" s="150"/>
      <c r="C707" s="83" t="s">
        <v>41</v>
      </c>
      <c r="D707" s="84">
        <f>SUM(D706)</f>
        <v>0</v>
      </c>
      <c r="E707" s="84">
        <f t="shared" ref="E707:U707" si="163">E706</f>
        <v>0</v>
      </c>
      <c r="F707" s="84">
        <f t="shared" si="163"/>
        <v>0</v>
      </c>
      <c r="G707" s="84">
        <f t="shared" si="163"/>
        <v>0</v>
      </c>
      <c r="H707" s="84">
        <f t="shared" si="163"/>
        <v>0</v>
      </c>
      <c r="I707" s="84">
        <f t="shared" si="163"/>
        <v>0</v>
      </c>
      <c r="J707" s="84">
        <f t="shared" si="163"/>
        <v>0</v>
      </c>
      <c r="K707" s="84">
        <f t="shared" si="163"/>
        <v>0</v>
      </c>
      <c r="L707" s="84">
        <f t="shared" si="163"/>
        <v>0</v>
      </c>
      <c r="M707" s="84">
        <f t="shared" si="163"/>
        <v>0</v>
      </c>
      <c r="N707" s="84">
        <f t="shared" si="163"/>
        <v>0</v>
      </c>
      <c r="O707" s="84">
        <f t="shared" si="163"/>
        <v>0</v>
      </c>
      <c r="P707" s="84">
        <f t="shared" si="163"/>
        <v>0</v>
      </c>
      <c r="Q707" s="84">
        <f t="shared" si="163"/>
        <v>0</v>
      </c>
      <c r="R707" s="84"/>
      <c r="S707" s="84"/>
      <c r="T707" s="84">
        <f t="shared" si="144"/>
        <v>0</v>
      </c>
      <c r="U707" s="85">
        <f t="shared" si="163"/>
        <v>0</v>
      </c>
      <c r="V707" s="85">
        <f t="shared" si="143"/>
        <v>0</v>
      </c>
    </row>
    <row r="708" spans="1:22" x14ac:dyDescent="0.25">
      <c r="A708" s="136"/>
      <c r="B708" s="150"/>
      <c r="C708" s="87" t="s">
        <v>42</v>
      </c>
      <c r="D708" s="88">
        <v>0</v>
      </c>
      <c r="E708" s="88"/>
      <c r="F708" s="88">
        <v>0</v>
      </c>
      <c r="G708" s="88"/>
      <c r="H708" s="88"/>
      <c r="I708" s="88"/>
      <c r="J708" s="88"/>
      <c r="K708" s="88"/>
      <c r="L708" s="88"/>
      <c r="M708" s="89">
        <f t="shared" ref="M708:M717" si="164">D708+E708+F708+G708+H708+J708+I708</f>
        <v>0</v>
      </c>
      <c r="N708" s="89"/>
      <c r="O708" s="89"/>
      <c r="P708" s="89"/>
      <c r="Q708" s="89"/>
      <c r="R708" s="89"/>
      <c r="S708" s="89"/>
      <c r="T708" s="89">
        <f t="shared" si="144"/>
        <v>0</v>
      </c>
      <c r="U708" s="90"/>
      <c r="V708" s="105">
        <f t="shared" si="143"/>
        <v>0</v>
      </c>
    </row>
    <row r="709" spans="1:22" x14ac:dyDescent="0.25">
      <c r="A709" s="136"/>
      <c r="B709" s="150"/>
      <c r="C709" s="34" t="s">
        <v>43</v>
      </c>
      <c r="D709" s="22">
        <v>0</v>
      </c>
      <c r="E709" s="22"/>
      <c r="F709" s="22"/>
      <c r="G709" s="22"/>
      <c r="H709" s="22"/>
      <c r="I709" s="22"/>
      <c r="J709" s="22"/>
      <c r="K709" s="22"/>
      <c r="L709" s="22"/>
      <c r="M709" s="22">
        <f t="shared" si="164"/>
        <v>0</v>
      </c>
      <c r="N709" s="22"/>
      <c r="O709" s="22"/>
      <c r="P709" s="22"/>
      <c r="Q709" s="22"/>
      <c r="R709" s="22"/>
      <c r="S709" s="22"/>
      <c r="T709" s="22">
        <f t="shared" si="144"/>
        <v>0</v>
      </c>
      <c r="U709" s="35">
        <v>0</v>
      </c>
      <c r="V709" s="37">
        <f t="shared" si="143"/>
        <v>0</v>
      </c>
    </row>
    <row r="710" spans="1:22" x14ac:dyDescent="0.25">
      <c r="A710" s="136"/>
      <c r="B710" s="150"/>
      <c r="C710" s="34" t="s">
        <v>53</v>
      </c>
      <c r="D710" s="22">
        <v>0</v>
      </c>
      <c r="E710" s="22"/>
      <c r="F710" s="22"/>
      <c r="G710" s="22"/>
      <c r="H710" s="22"/>
      <c r="I710" s="22"/>
      <c r="J710" s="22"/>
      <c r="K710" s="22"/>
      <c r="L710" s="22"/>
      <c r="M710" s="22">
        <f t="shared" si="164"/>
        <v>0</v>
      </c>
      <c r="N710" s="22"/>
      <c r="O710" s="22"/>
      <c r="P710" s="22"/>
      <c r="Q710" s="22"/>
      <c r="R710" s="22"/>
      <c r="S710" s="22"/>
      <c r="T710" s="22">
        <f t="shared" si="144"/>
        <v>0</v>
      </c>
      <c r="U710" s="35">
        <v>0</v>
      </c>
      <c r="V710" s="39">
        <f t="shared" si="143"/>
        <v>0</v>
      </c>
    </row>
    <row r="711" spans="1:22" x14ac:dyDescent="0.25">
      <c r="A711" s="136"/>
      <c r="B711" s="150"/>
      <c r="C711" s="75" t="s">
        <v>55</v>
      </c>
      <c r="D711" s="22">
        <v>0</v>
      </c>
      <c r="E711" s="22"/>
      <c r="F711" s="22"/>
      <c r="G711" s="22"/>
      <c r="H711" s="22"/>
      <c r="I711" s="22"/>
      <c r="J711" s="22"/>
      <c r="K711" s="22"/>
      <c r="L711" s="22"/>
      <c r="M711" s="22">
        <f t="shared" si="164"/>
        <v>0</v>
      </c>
      <c r="N711" s="22"/>
      <c r="O711" s="22"/>
      <c r="P711" s="22"/>
      <c r="Q711" s="22"/>
      <c r="R711" s="22"/>
      <c r="S711" s="22"/>
      <c r="T711" s="22">
        <f t="shared" si="144"/>
        <v>0</v>
      </c>
      <c r="U711" s="35">
        <v>0</v>
      </c>
      <c r="V711" s="35">
        <f t="shared" si="143"/>
        <v>0</v>
      </c>
    </row>
    <row r="712" spans="1:22" x14ac:dyDescent="0.25">
      <c r="A712" s="136"/>
      <c r="B712" s="150"/>
      <c r="C712" s="34" t="s">
        <v>57</v>
      </c>
      <c r="D712" s="22">
        <v>0</v>
      </c>
      <c r="E712" s="22"/>
      <c r="F712" s="22"/>
      <c r="G712" s="22"/>
      <c r="H712" s="22"/>
      <c r="I712" s="22"/>
      <c r="J712" s="22"/>
      <c r="K712" s="22"/>
      <c r="L712" s="22"/>
      <c r="M712" s="22">
        <f t="shared" si="164"/>
        <v>0</v>
      </c>
      <c r="N712" s="22"/>
      <c r="O712" s="22"/>
      <c r="P712" s="22"/>
      <c r="Q712" s="22"/>
      <c r="R712" s="22"/>
      <c r="S712" s="22"/>
      <c r="T712" s="22">
        <f t="shared" si="144"/>
        <v>0</v>
      </c>
      <c r="U712" s="35">
        <v>0</v>
      </c>
      <c r="V712" s="37">
        <f t="shared" si="143"/>
        <v>0</v>
      </c>
    </row>
    <row r="713" spans="1:22" x14ac:dyDescent="0.25">
      <c r="A713" s="136"/>
      <c r="B713" s="150"/>
      <c r="C713" s="34" t="s">
        <v>44</v>
      </c>
      <c r="D713" s="22">
        <v>0</v>
      </c>
      <c r="E713" s="22"/>
      <c r="F713" s="22"/>
      <c r="G713" s="22"/>
      <c r="H713" s="22"/>
      <c r="I713" s="22"/>
      <c r="J713" s="22"/>
      <c r="K713" s="22"/>
      <c r="L713" s="22"/>
      <c r="M713" s="22">
        <f t="shared" si="164"/>
        <v>0</v>
      </c>
      <c r="N713" s="22"/>
      <c r="O713" s="22"/>
      <c r="P713" s="22"/>
      <c r="Q713" s="22"/>
      <c r="R713" s="22"/>
      <c r="S713" s="22"/>
      <c r="T713" s="22">
        <f t="shared" si="144"/>
        <v>0</v>
      </c>
      <c r="U713" s="35">
        <v>0</v>
      </c>
      <c r="V713" s="37">
        <f t="shared" ref="V713:V776" si="165">T713-U713</f>
        <v>0</v>
      </c>
    </row>
    <row r="714" spans="1:22" x14ac:dyDescent="0.25">
      <c r="A714" s="136"/>
      <c r="B714" s="150"/>
      <c r="C714" s="34" t="s">
        <v>58</v>
      </c>
      <c r="D714" s="22">
        <v>0</v>
      </c>
      <c r="E714" s="22"/>
      <c r="F714" s="22"/>
      <c r="G714" s="22"/>
      <c r="H714" s="22"/>
      <c r="I714" s="22"/>
      <c r="J714" s="22"/>
      <c r="K714" s="22"/>
      <c r="L714" s="22"/>
      <c r="M714" s="22">
        <f t="shared" si="164"/>
        <v>0</v>
      </c>
      <c r="N714" s="22"/>
      <c r="O714" s="22"/>
      <c r="P714" s="22"/>
      <c r="Q714" s="22"/>
      <c r="R714" s="22"/>
      <c r="S714" s="22"/>
      <c r="T714" s="22">
        <f t="shared" si="144"/>
        <v>0</v>
      </c>
      <c r="U714" s="35">
        <v>0</v>
      </c>
      <c r="V714" s="37">
        <f t="shared" si="165"/>
        <v>0</v>
      </c>
    </row>
    <row r="715" spans="1:22" x14ac:dyDescent="0.25">
      <c r="A715" s="136"/>
      <c r="B715" s="150"/>
      <c r="C715" s="34" t="s">
        <v>59</v>
      </c>
      <c r="D715" s="22">
        <v>0</v>
      </c>
      <c r="E715" s="22"/>
      <c r="F715" s="22"/>
      <c r="G715" s="22"/>
      <c r="H715" s="22"/>
      <c r="I715" s="22"/>
      <c r="J715" s="22"/>
      <c r="K715" s="22"/>
      <c r="L715" s="22"/>
      <c r="M715" s="22">
        <f t="shared" si="164"/>
        <v>0</v>
      </c>
      <c r="N715" s="22"/>
      <c r="O715" s="22"/>
      <c r="P715" s="22"/>
      <c r="Q715" s="22"/>
      <c r="R715" s="22"/>
      <c r="S715" s="22"/>
      <c r="T715" s="22">
        <f t="shared" si="144"/>
        <v>0</v>
      </c>
      <c r="U715" s="35">
        <v>0</v>
      </c>
      <c r="V715" s="37">
        <f t="shared" si="165"/>
        <v>0</v>
      </c>
    </row>
    <row r="716" spans="1:22" x14ac:dyDescent="0.25">
      <c r="A716" s="136"/>
      <c r="B716" s="150"/>
      <c r="C716" s="34" t="s">
        <v>45</v>
      </c>
      <c r="D716" s="22">
        <v>0</v>
      </c>
      <c r="E716" s="22"/>
      <c r="F716" s="22"/>
      <c r="G716" s="22"/>
      <c r="H716" s="22"/>
      <c r="I716" s="22"/>
      <c r="J716" s="22"/>
      <c r="K716" s="22"/>
      <c r="L716" s="22"/>
      <c r="M716" s="22">
        <f t="shared" si="164"/>
        <v>0</v>
      </c>
      <c r="N716" s="22"/>
      <c r="O716" s="22"/>
      <c r="P716" s="22"/>
      <c r="Q716" s="22"/>
      <c r="R716" s="22"/>
      <c r="S716" s="22"/>
      <c r="T716" s="22">
        <f t="shared" ref="T716:T779" si="166">SUM(M716:S716)</f>
        <v>0</v>
      </c>
      <c r="U716" s="35">
        <v>0</v>
      </c>
      <c r="V716" s="39">
        <f t="shared" si="165"/>
        <v>0</v>
      </c>
    </row>
    <row r="717" spans="1:22" x14ac:dyDescent="0.25">
      <c r="A717" s="136"/>
      <c r="B717" s="150"/>
      <c r="C717" s="34" t="s">
        <v>60</v>
      </c>
      <c r="D717" s="22">
        <v>519969</v>
      </c>
      <c r="E717" s="22"/>
      <c r="F717" s="25"/>
      <c r="G717" s="22"/>
      <c r="H717" s="22"/>
      <c r="I717" s="22"/>
      <c r="J717" s="22"/>
      <c r="K717" s="22"/>
      <c r="L717" s="22"/>
      <c r="M717" s="22">
        <f t="shared" si="164"/>
        <v>519969</v>
      </c>
      <c r="N717" s="22"/>
      <c r="O717" s="22"/>
      <c r="P717" s="22"/>
      <c r="Q717" s="22"/>
      <c r="R717" s="22"/>
      <c r="S717" s="22"/>
      <c r="T717" s="22">
        <f t="shared" si="166"/>
        <v>519969</v>
      </c>
      <c r="U717" s="35">
        <v>277727</v>
      </c>
      <c r="V717" s="37">
        <f t="shared" si="165"/>
        <v>242242</v>
      </c>
    </row>
    <row r="718" spans="1:22" x14ac:dyDescent="0.25">
      <c r="A718" s="136"/>
      <c r="B718" s="151"/>
      <c r="C718" s="83" t="s">
        <v>46</v>
      </c>
      <c r="D718" s="84">
        <f>SUM(D709:D717)</f>
        <v>519969</v>
      </c>
      <c r="E718" s="84">
        <f t="shared" ref="E718:U718" si="167">SUM(E709:E717)</f>
        <v>0</v>
      </c>
      <c r="F718" s="84">
        <f t="shared" si="167"/>
        <v>0</v>
      </c>
      <c r="G718" s="84">
        <f t="shared" si="167"/>
        <v>0</v>
      </c>
      <c r="H718" s="84">
        <f>SUM(H709:H717)</f>
        <v>0</v>
      </c>
      <c r="I718" s="84">
        <f>SUM(I709:I717)</f>
        <v>0</v>
      </c>
      <c r="J718" s="84">
        <f>SUM(J709:J717)</f>
        <v>0</v>
      </c>
      <c r="K718" s="84">
        <f t="shared" ref="K718:L718" si="168">SUM(K709:K717)</f>
        <v>0</v>
      </c>
      <c r="L718" s="84">
        <f t="shared" si="168"/>
        <v>0</v>
      </c>
      <c r="M718" s="84">
        <f t="shared" si="167"/>
        <v>519969</v>
      </c>
      <c r="N718" s="84">
        <f t="shared" si="167"/>
        <v>0</v>
      </c>
      <c r="O718" s="84">
        <f t="shared" si="167"/>
        <v>0</v>
      </c>
      <c r="P718" s="84">
        <f t="shared" si="167"/>
        <v>0</v>
      </c>
      <c r="Q718" s="84">
        <f t="shared" si="167"/>
        <v>0</v>
      </c>
      <c r="R718" s="84"/>
      <c r="S718" s="84"/>
      <c r="T718" s="84">
        <f t="shared" si="166"/>
        <v>519969</v>
      </c>
      <c r="U718" s="85">
        <f t="shared" si="167"/>
        <v>277727</v>
      </c>
      <c r="V718" s="86">
        <f t="shared" si="165"/>
        <v>242242</v>
      </c>
    </row>
    <row r="719" spans="1:22" x14ac:dyDescent="0.25">
      <c r="A719" s="136" t="s">
        <v>105</v>
      </c>
      <c r="B719" s="138" t="s">
        <v>18</v>
      </c>
      <c r="C719" s="34" t="s">
        <v>40</v>
      </c>
      <c r="D719" s="22">
        <v>0</v>
      </c>
      <c r="E719" s="22"/>
      <c r="F719" s="22"/>
      <c r="G719" s="22"/>
      <c r="H719" s="22"/>
      <c r="I719" s="22"/>
      <c r="J719" s="22"/>
      <c r="K719" s="22"/>
      <c r="L719" s="22"/>
      <c r="M719" s="22">
        <f>D719+E719+F719+G719+H719+J719+I719</f>
        <v>0</v>
      </c>
      <c r="N719" s="22"/>
      <c r="O719" s="22"/>
      <c r="P719" s="22"/>
      <c r="Q719" s="22"/>
      <c r="R719" s="22"/>
      <c r="S719" s="22"/>
      <c r="T719" s="22">
        <f t="shared" si="166"/>
        <v>0</v>
      </c>
      <c r="U719" s="35">
        <v>0</v>
      </c>
      <c r="V719" s="37">
        <f t="shared" si="165"/>
        <v>0</v>
      </c>
    </row>
    <row r="720" spans="1:22" x14ac:dyDescent="0.25">
      <c r="A720" s="136"/>
      <c r="B720" s="138"/>
      <c r="C720" s="34" t="s">
        <v>42</v>
      </c>
      <c r="D720" s="22">
        <v>0</v>
      </c>
      <c r="E720" s="22"/>
      <c r="F720" s="22"/>
      <c r="G720" s="22"/>
      <c r="H720" s="22"/>
      <c r="I720" s="22"/>
      <c r="J720" s="22"/>
      <c r="K720" s="22"/>
      <c r="L720" s="22"/>
      <c r="M720" s="22">
        <f>D720+E720+F720+G720+H720+J720+I720</f>
        <v>0</v>
      </c>
      <c r="N720" s="22"/>
      <c r="O720" s="22"/>
      <c r="P720" s="22"/>
      <c r="Q720" s="22"/>
      <c r="R720" s="22"/>
      <c r="S720" s="22"/>
      <c r="T720" s="22">
        <f t="shared" si="166"/>
        <v>0</v>
      </c>
      <c r="U720" s="35">
        <v>0</v>
      </c>
      <c r="V720" s="37">
        <f t="shared" si="165"/>
        <v>0</v>
      </c>
    </row>
    <row r="721" spans="1:22" x14ac:dyDescent="0.25">
      <c r="A721" s="140" t="s">
        <v>130</v>
      </c>
      <c r="B721" s="141"/>
      <c r="C721" s="142"/>
      <c r="D721" s="96">
        <f>SUM(D700+D701+D705+D707+D708+D718+D719+D720)</f>
        <v>519969</v>
      </c>
      <c r="E721" s="97">
        <f>SUM(E700,E701,E718,E719,E720)+E708+E707+E705</f>
        <v>0</v>
      </c>
      <c r="F721" s="97">
        <f t="shared" ref="F721:Q721" si="169">SUM(F700,F701,F718,F719,F720)+F708+F707+F705</f>
        <v>0</v>
      </c>
      <c r="G721" s="97">
        <f t="shared" si="169"/>
        <v>0</v>
      </c>
      <c r="H721" s="97">
        <f>SUM(H700,H701,H718,H719,H720)+H708+H707+H705</f>
        <v>0</v>
      </c>
      <c r="I721" s="97">
        <f>SUM(I700,I701,I718,I719,I720)+I708+I707+I705</f>
        <v>0</v>
      </c>
      <c r="J721" s="97">
        <f>SUM(J700,J701,J718,J719,J720)+J708+J707+J705</f>
        <v>0</v>
      </c>
      <c r="K721" s="97">
        <f t="shared" ref="K721:L721" si="170">SUM(K700,K701,K718,K719,K720)+K708+K707+K705</f>
        <v>0</v>
      </c>
      <c r="L721" s="97">
        <f t="shared" si="170"/>
        <v>0</v>
      </c>
      <c r="M721" s="97">
        <f t="shared" si="169"/>
        <v>519969</v>
      </c>
      <c r="N721" s="97">
        <f t="shared" si="169"/>
        <v>0</v>
      </c>
      <c r="O721" s="97">
        <f t="shared" si="169"/>
        <v>0</v>
      </c>
      <c r="P721" s="97">
        <f t="shared" si="169"/>
        <v>0</v>
      </c>
      <c r="Q721" s="97">
        <f t="shared" si="169"/>
        <v>0</v>
      </c>
      <c r="R721" s="97"/>
      <c r="S721" s="97"/>
      <c r="T721" s="97">
        <f t="shared" si="166"/>
        <v>519969</v>
      </c>
      <c r="U721" s="98">
        <f>SUM(U700,U701,U718,U719,U720)+U708+U707+U705</f>
        <v>277727</v>
      </c>
      <c r="V721" s="99">
        <f t="shared" si="165"/>
        <v>242242</v>
      </c>
    </row>
    <row r="722" spans="1:22" x14ac:dyDescent="0.25">
      <c r="A722" s="137" t="s">
        <v>106</v>
      </c>
      <c r="B722" s="38" t="s">
        <v>6</v>
      </c>
      <c r="C722" s="34" t="s">
        <v>67</v>
      </c>
      <c r="D722" s="22">
        <v>0</v>
      </c>
      <c r="E722" s="22"/>
      <c r="F722" s="22"/>
      <c r="G722" s="22"/>
      <c r="H722" s="22"/>
      <c r="I722" s="22"/>
      <c r="J722" s="22"/>
      <c r="K722" s="22"/>
      <c r="L722" s="22"/>
      <c r="M722" s="22">
        <f>D722+E722+F722+G722+H722+J722+I722</f>
        <v>0</v>
      </c>
      <c r="N722" s="22"/>
      <c r="O722" s="22"/>
      <c r="P722" s="22"/>
      <c r="Q722" s="22"/>
      <c r="R722" s="22"/>
      <c r="S722" s="22"/>
      <c r="T722" s="22">
        <f t="shared" si="166"/>
        <v>0</v>
      </c>
      <c r="U722" s="35">
        <v>0</v>
      </c>
      <c r="V722" s="37">
        <f t="shared" si="165"/>
        <v>0</v>
      </c>
    </row>
    <row r="723" spans="1:22" x14ac:dyDescent="0.25">
      <c r="A723" s="148"/>
      <c r="B723" s="139" t="s">
        <v>39</v>
      </c>
      <c r="C723" s="34" t="s">
        <v>40</v>
      </c>
      <c r="D723" s="22">
        <v>978360</v>
      </c>
      <c r="E723" s="22"/>
      <c r="F723" s="22"/>
      <c r="G723" s="22"/>
      <c r="H723" s="22"/>
      <c r="I723" s="22"/>
      <c r="J723" s="22"/>
      <c r="K723" s="22"/>
      <c r="L723" s="22"/>
      <c r="M723" s="22">
        <f>D723+E723+F723+G723+H723+J723+I723</f>
        <v>978360</v>
      </c>
      <c r="N723" s="22"/>
      <c r="O723" s="22"/>
      <c r="P723" s="22"/>
      <c r="Q723" s="22"/>
      <c r="R723" s="22"/>
      <c r="S723" s="22"/>
      <c r="T723" s="22">
        <f t="shared" si="166"/>
        <v>978360</v>
      </c>
      <c r="U723" s="35">
        <v>669590</v>
      </c>
      <c r="V723" s="37">
        <f t="shared" si="165"/>
        <v>308770</v>
      </c>
    </row>
    <row r="724" spans="1:22" x14ac:dyDescent="0.25">
      <c r="A724" s="148"/>
      <c r="B724" s="150"/>
      <c r="C724" s="34" t="s">
        <v>51</v>
      </c>
      <c r="D724" s="22">
        <v>0</v>
      </c>
      <c r="E724" s="22"/>
      <c r="F724" s="22"/>
      <c r="G724" s="22"/>
      <c r="H724" s="22"/>
      <c r="I724" s="22"/>
      <c r="J724" s="22"/>
      <c r="K724" s="22"/>
      <c r="L724" s="22"/>
      <c r="M724" s="22">
        <f>D724+E724+F724+G724+H724+J724+I724</f>
        <v>0</v>
      </c>
      <c r="N724" s="22"/>
      <c r="O724" s="22"/>
      <c r="P724" s="22"/>
      <c r="Q724" s="22"/>
      <c r="R724" s="22"/>
      <c r="S724" s="22"/>
      <c r="T724" s="22">
        <f t="shared" si="166"/>
        <v>0</v>
      </c>
      <c r="U724" s="35">
        <v>0</v>
      </c>
      <c r="V724" s="37">
        <f t="shared" si="165"/>
        <v>0</v>
      </c>
    </row>
    <row r="725" spans="1:22" x14ac:dyDescent="0.25">
      <c r="A725" s="148"/>
      <c r="B725" s="150"/>
      <c r="C725" s="83" t="s">
        <v>41</v>
      </c>
      <c r="D725" s="84">
        <f>SUM(D723:D724)</f>
        <v>978360</v>
      </c>
      <c r="E725" s="84">
        <f t="shared" ref="E725:U725" si="171">SUM(E723:E724)</f>
        <v>0</v>
      </c>
      <c r="F725" s="84">
        <f t="shared" si="171"/>
        <v>0</v>
      </c>
      <c r="G725" s="84">
        <f t="shared" si="171"/>
        <v>0</v>
      </c>
      <c r="H725" s="84">
        <f t="shared" si="171"/>
        <v>0</v>
      </c>
      <c r="I725" s="84">
        <f t="shared" si="171"/>
        <v>0</v>
      </c>
      <c r="J725" s="84">
        <f t="shared" si="171"/>
        <v>0</v>
      </c>
      <c r="K725" s="84">
        <f t="shared" si="171"/>
        <v>0</v>
      </c>
      <c r="L725" s="84">
        <f t="shared" si="171"/>
        <v>0</v>
      </c>
      <c r="M725" s="84">
        <f t="shared" si="171"/>
        <v>978360</v>
      </c>
      <c r="N725" s="84">
        <f t="shared" si="171"/>
        <v>0</v>
      </c>
      <c r="O725" s="84">
        <f t="shared" si="171"/>
        <v>0</v>
      </c>
      <c r="P725" s="84">
        <f t="shared" si="171"/>
        <v>0</v>
      </c>
      <c r="Q725" s="84">
        <f t="shared" si="171"/>
        <v>0</v>
      </c>
      <c r="R725" s="84"/>
      <c r="S725" s="84"/>
      <c r="T725" s="84">
        <f t="shared" si="166"/>
        <v>978360</v>
      </c>
      <c r="U725" s="85">
        <f t="shared" si="171"/>
        <v>669590</v>
      </c>
      <c r="V725" s="86">
        <f t="shared" si="165"/>
        <v>308770</v>
      </c>
    </row>
    <row r="726" spans="1:22" x14ac:dyDescent="0.25">
      <c r="A726" s="148"/>
      <c r="B726" s="150"/>
      <c r="C726" s="87" t="s">
        <v>42</v>
      </c>
      <c r="D726" s="88">
        <v>75823</v>
      </c>
      <c r="E726" s="88"/>
      <c r="F726" s="88"/>
      <c r="G726" s="88"/>
      <c r="H726" s="88"/>
      <c r="I726" s="88"/>
      <c r="J726" s="88"/>
      <c r="K726" s="88"/>
      <c r="L726" s="88"/>
      <c r="M726" s="89">
        <f>D726+E726+F726+G726+H726+J726</f>
        <v>75823</v>
      </c>
      <c r="N726" s="89"/>
      <c r="O726" s="89"/>
      <c r="P726" s="89"/>
      <c r="Q726" s="89"/>
      <c r="R726" s="89"/>
      <c r="S726" s="89"/>
      <c r="T726" s="89">
        <f t="shared" si="166"/>
        <v>75823</v>
      </c>
      <c r="U726" s="90">
        <v>51897</v>
      </c>
      <c r="V726" s="91">
        <f t="shared" si="165"/>
        <v>23926</v>
      </c>
    </row>
    <row r="727" spans="1:22" x14ac:dyDescent="0.25">
      <c r="A727" s="148"/>
      <c r="B727" s="150"/>
      <c r="C727" s="34" t="s">
        <v>43</v>
      </c>
      <c r="D727" s="22">
        <v>0</v>
      </c>
      <c r="E727" s="22"/>
      <c r="F727" s="22"/>
      <c r="G727" s="22"/>
      <c r="H727" s="22"/>
      <c r="I727" s="22"/>
      <c r="J727" s="22"/>
      <c r="K727" s="22"/>
      <c r="L727" s="22"/>
      <c r="M727" s="22">
        <f>D727+E727+F727+G727+H727+J727+I727</f>
        <v>0</v>
      </c>
      <c r="N727" s="22"/>
      <c r="O727" s="22"/>
      <c r="P727" s="22"/>
      <c r="Q727" s="22"/>
      <c r="R727" s="22"/>
      <c r="S727" s="22"/>
      <c r="T727" s="22">
        <f t="shared" si="166"/>
        <v>0</v>
      </c>
      <c r="U727" s="35">
        <v>0</v>
      </c>
      <c r="V727" s="66">
        <f t="shared" si="165"/>
        <v>0</v>
      </c>
    </row>
    <row r="728" spans="1:22" x14ac:dyDescent="0.25">
      <c r="A728" s="148"/>
      <c r="B728" s="150"/>
      <c r="C728" s="34" t="s">
        <v>53</v>
      </c>
      <c r="D728" s="22">
        <v>0</v>
      </c>
      <c r="E728" s="22"/>
      <c r="F728" s="22"/>
      <c r="G728" s="22"/>
      <c r="H728" s="22"/>
      <c r="I728" s="22"/>
      <c r="J728" s="22"/>
      <c r="K728" s="22"/>
      <c r="L728" s="22"/>
      <c r="M728" s="22">
        <f>D728+E728+F728+G728+H728+J728+I728</f>
        <v>0</v>
      </c>
      <c r="N728" s="22"/>
      <c r="O728" s="22"/>
      <c r="P728" s="22"/>
      <c r="Q728" s="22"/>
      <c r="R728" s="22"/>
      <c r="S728" s="22"/>
      <c r="T728" s="22">
        <f t="shared" si="166"/>
        <v>0</v>
      </c>
      <c r="U728" s="35">
        <v>0</v>
      </c>
      <c r="V728" s="66">
        <f t="shared" si="165"/>
        <v>0</v>
      </c>
    </row>
    <row r="729" spans="1:22" x14ac:dyDescent="0.25">
      <c r="A729" s="148"/>
      <c r="B729" s="150"/>
      <c r="C729" s="34" t="s">
        <v>44</v>
      </c>
      <c r="D729" s="22">
        <v>0</v>
      </c>
      <c r="E729" s="22"/>
      <c r="F729" s="22"/>
      <c r="G729" s="22"/>
      <c r="H729" s="22"/>
      <c r="I729" s="22"/>
      <c r="J729" s="22"/>
      <c r="K729" s="22"/>
      <c r="L729" s="22"/>
      <c r="M729" s="22">
        <f>D729+E729+F729+G729+H729+J729+I729</f>
        <v>0</v>
      </c>
      <c r="N729" s="22"/>
      <c r="O729" s="22"/>
      <c r="P729" s="22"/>
      <c r="Q729" s="22"/>
      <c r="R729" s="22"/>
      <c r="S729" s="22"/>
      <c r="T729" s="22">
        <f t="shared" si="166"/>
        <v>0</v>
      </c>
      <c r="U729" s="35">
        <v>0</v>
      </c>
      <c r="V729" s="66">
        <f t="shared" si="165"/>
        <v>0</v>
      </c>
    </row>
    <row r="730" spans="1:22" x14ac:dyDescent="0.25">
      <c r="A730" s="148"/>
      <c r="B730" s="150"/>
      <c r="C730" s="34" t="s">
        <v>45</v>
      </c>
      <c r="D730" s="22">
        <v>0</v>
      </c>
      <c r="E730" s="22"/>
      <c r="F730" s="22"/>
      <c r="G730" s="22"/>
      <c r="H730" s="22"/>
      <c r="I730" s="22"/>
      <c r="J730" s="22"/>
      <c r="K730" s="22"/>
      <c r="L730" s="22"/>
      <c r="M730" s="22">
        <f>D730+E730+F730+G730+H730+J730+I730</f>
        <v>0</v>
      </c>
      <c r="N730" s="22"/>
      <c r="O730" s="22"/>
      <c r="P730" s="22"/>
      <c r="Q730" s="22"/>
      <c r="R730" s="22"/>
      <c r="S730" s="22"/>
      <c r="T730" s="22">
        <f t="shared" si="166"/>
        <v>0</v>
      </c>
      <c r="U730" s="35">
        <v>0</v>
      </c>
      <c r="V730" s="66">
        <f t="shared" si="165"/>
        <v>0</v>
      </c>
    </row>
    <row r="731" spans="1:22" x14ac:dyDescent="0.25">
      <c r="A731" s="148"/>
      <c r="B731" s="151"/>
      <c r="C731" s="83" t="s">
        <v>46</v>
      </c>
      <c r="D731" s="84">
        <f>SUM(D727:D730)</f>
        <v>0</v>
      </c>
      <c r="E731" s="84">
        <f t="shared" ref="E731:S731" si="172">SUM(E727:E730)</f>
        <v>0</v>
      </c>
      <c r="F731" s="84">
        <f t="shared" si="172"/>
        <v>0</v>
      </c>
      <c r="G731" s="84">
        <f t="shared" si="172"/>
        <v>0</v>
      </c>
      <c r="H731" s="84">
        <f t="shared" si="172"/>
        <v>0</v>
      </c>
      <c r="I731" s="84">
        <f t="shared" si="172"/>
        <v>0</v>
      </c>
      <c r="J731" s="84">
        <f t="shared" si="172"/>
        <v>0</v>
      </c>
      <c r="K731" s="84">
        <f t="shared" si="172"/>
        <v>0</v>
      </c>
      <c r="L731" s="84">
        <f t="shared" si="172"/>
        <v>0</v>
      </c>
      <c r="M731" s="84">
        <f t="shared" si="172"/>
        <v>0</v>
      </c>
      <c r="N731" s="84">
        <f t="shared" si="172"/>
        <v>0</v>
      </c>
      <c r="O731" s="84">
        <f t="shared" si="172"/>
        <v>0</v>
      </c>
      <c r="P731" s="84">
        <f t="shared" si="172"/>
        <v>0</v>
      </c>
      <c r="Q731" s="84">
        <f t="shared" si="172"/>
        <v>0</v>
      </c>
      <c r="R731" s="84">
        <f t="shared" si="172"/>
        <v>0</v>
      </c>
      <c r="S731" s="84">
        <f t="shared" si="172"/>
        <v>0</v>
      </c>
      <c r="T731" s="84">
        <f t="shared" si="166"/>
        <v>0</v>
      </c>
      <c r="U731" s="85">
        <f>SUM(U727:U730)</f>
        <v>0</v>
      </c>
      <c r="V731" s="85">
        <f t="shared" si="165"/>
        <v>0</v>
      </c>
    </row>
    <row r="732" spans="1:22" x14ac:dyDescent="0.25">
      <c r="A732" s="148"/>
      <c r="B732" s="139" t="s">
        <v>18</v>
      </c>
      <c r="C732" s="34" t="s">
        <v>40</v>
      </c>
      <c r="D732" s="22">
        <v>5488054</v>
      </c>
      <c r="E732" s="22">
        <v>-60924</v>
      </c>
      <c r="F732" s="22"/>
      <c r="G732" s="22"/>
      <c r="H732" s="22"/>
      <c r="I732" s="22"/>
      <c r="J732" s="25"/>
      <c r="K732" s="25"/>
      <c r="L732" s="25"/>
      <c r="M732" s="22">
        <f t="shared" ref="M732:M737" si="173">D732+E732+F732+G732+H732+J732+I732</f>
        <v>5427130</v>
      </c>
      <c r="N732" s="22"/>
      <c r="O732" s="22"/>
      <c r="P732" s="22"/>
      <c r="Q732" s="22"/>
      <c r="R732" s="22"/>
      <c r="S732" s="22"/>
      <c r="T732" s="22">
        <f t="shared" si="166"/>
        <v>5427130</v>
      </c>
      <c r="U732" s="35">
        <v>3488815</v>
      </c>
      <c r="V732" s="37">
        <f t="shared" si="165"/>
        <v>1938315</v>
      </c>
    </row>
    <row r="733" spans="1:22" x14ac:dyDescent="0.25">
      <c r="A733" s="148"/>
      <c r="B733" s="150"/>
      <c r="C733" s="34" t="s">
        <v>47</v>
      </c>
      <c r="D733" s="22">
        <v>200000</v>
      </c>
      <c r="E733" s="22"/>
      <c r="F733" s="22"/>
      <c r="G733" s="22"/>
      <c r="H733" s="22"/>
      <c r="I733" s="22"/>
      <c r="J733" s="22"/>
      <c r="K733" s="22"/>
      <c r="L733" s="22"/>
      <c r="M733" s="22">
        <f t="shared" si="173"/>
        <v>200000</v>
      </c>
      <c r="N733" s="22"/>
      <c r="O733" s="22"/>
      <c r="P733" s="22"/>
      <c r="Q733" s="22"/>
      <c r="R733" s="22"/>
      <c r="S733" s="22"/>
      <c r="T733" s="22">
        <f t="shared" si="166"/>
        <v>200000</v>
      </c>
      <c r="U733" s="35">
        <v>100000</v>
      </c>
      <c r="V733" s="37">
        <f t="shared" si="165"/>
        <v>100000</v>
      </c>
    </row>
    <row r="734" spans="1:22" x14ac:dyDescent="0.25">
      <c r="A734" s="148"/>
      <c r="B734" s="150"/>
      <c r="C734" s="34" t="s">
        <v>48</v>
      </c>
      <c r="D734" s="22">
        <v>20000</v>
      </c>
      <c r="E734" s="22"/>
      <c r="F734" s="22"/>
      <c r="G734" s="22"/>
      <c r="H734" s="22"/>
      <c r="I734" s="22"/>
      <c r="J734" s="22"/>
      <c r="K734" s="22"/>
      <c r="L734" s="22"/>
      <c r="M734" s="22">
        <f t="shared" si="173"/>
        <v>20000</v>
      </c>
      <c r="N734" s="22"/>
      <c r="O734" s="22"/>
      <c r="P734" s="22"/>
      <c r="Q734" s="22"/>
      <c r="R734" s="22"/>
      <c r="S734" s="22"/>
      <c r="T734" s="22">
        <f t="shared" si="166"/>
        <v>20000</v>
      </c>
      <c r="U734" s="35">
        <v>0</v>
      </c>
      <c r="V734" s="37">
        <f t="shared" si="165"/>
        <v>20000</v>
      </c>
    </row>
    <row r="735" spans="1:22" x14ac:dyDescent="0.25">
      <c r="A735" s="148"/>
      <c r="B735" s="150"/>
      <c r="C735" s="34" t="s">
        <v>50</v>
      </c>
      <c r="D735" s="22">
        <v>24000</v>
      </c>
      <c r="E735" s="22"/>
      <c r="F735" s="22"/>
      <c r="G735" s="22"/>
      <c r="H735" s="22"/>
      <c r="I735" s="22"/>
      <c r="J735" s="22"/>
      <c r="K735" s="22"/>
      <c r="L735" s="22"/>
      <c r="M735" s="22">
        <f t="shared" si="173"/>
        <v>24000</v>
      </c>
      <c r="N735" s="22"/>
      <c r="O735" s="22"/>
      <c r="P735" s="22"/>
      <c r="Q735" s="22"/>
      <c r="R735" s="22"/>
      <c r="S735" s="22"/>
      <c r="T735" s="22">
        <f t="shared" si="166"/>
        <v>24000</v>
      </c>
      <c r="U735" s="35">
        <v>12000</v>
      </c>
      <c r="V735" s="37">
        <f t="shared" si="165"/>
        <v>12000</v>
      </c>
    </row>
    <row r="736" spans="1:22" x14ac:dyDescent="0.25">
      <c r="A736" s="148"/>
      <c r="B736" s="150"/>
      <c r="C736" s="34" t="s">
        <v>51</v>
      </c>
      <c r="D736" s="22">
        <v>0</v>
      </c>
      <c r="E736" s="22">
        <v>60924</v>
      </c>
      <c r="F736" s="22"/>
      <c r="G736" s="22"/>
      <c r="H736" s="22"/>
      <c r="I736" s="22"/>
      <c r="J736" s="22"/>
      <c r="K736" s="22"/>
      <c r="L736" s="22"/>
      <c r="M736" s="22">
        <f t="shared" si="173"/>
        <v>60924</v>
      </c>
      <c r="N736" s="22"/>
      <c r="O736" s="22"/>
      <c r="P736" s="22"/>
      <c r="Q736" s="22"/>
      <c r="R736" s="22"/>
      <c r="S736" s="22"/>
      <c r="T736" s="22">
        <f t="shared" si="166"/>
        <v>60924</v>
      </c>
      <c r="U736" s="35">
        <v>60924</v>
      </c>
      <c r="V736" s="39">
        <f t="shared" si="165"/>
        <v>0</v>
      </c>
    </row>
    <row r="737" spans="1:22" x14ac:dyDescent="0.25">
      <c r="A737" s="148"/>
      <c r="B737" s="150"/>
      <c r="C737" s="34" t="s">
        <v>52</v>
      </c>
      <c r="D737" s="22">
        <v>0</v>
      </c>
      <c r="E737" s="22"/>
      <c r="F737" s="22"/>
      <c r="G737" s="22"/>
      <c r="H737" s="22"/>
      <c r="I737" s="22"/>
      <c r="J737" s="22"/>
      <c r="K737" s="22"/>
      <c r="L737" s="22"/>
      <c r="M737" s="22">
        <f t="shared" si="173"/>
        <v>0</v>
      </c>
      <c r="N737" s="22"/>
      <c r="O737" s="22"/>
      <c r="P737" s="22"/>
      <c r="Q737" s="22"/>
      <c r="R737" s="22"/>
      <c r="S737" s="22"/>
      <c r="T737" s="22">
        <f t="shared" si="166"/>
        <v>0</v>
      </c>
      <c r="U737" s="35">
        <v>0</v>
      </c>
      <c r="V737" s="37">
        <f t="shared" si="165"/>
        <v>0</v>
      </c>
    </row>
    <row r="738" spans="1:22" x14ac:dyDescent="0.25">
      <c r="A738" s="148"/>
      <c r="B738" s="150"/>
      <c r="C738" s="83" t="s">
        <v>41</v>
      </c>
      <c r="D738" s="84">
        <f>SUM(D732:D737)</f>
        <v>5732054</v>
      </c>
      <c r="E738" s="84">
        <f>SUM(E732:E737)</f>
        <v>0</v>
      </c>
      <c r="F738" s="84">
        <f t="shared" ref="F738:L738" si="174">SUM(F732:F736)</f>
        <v>0</v>
      </c>
      <c r="G738" s="84">
        <f t="shared" si="174"/>
        <v>0</v>
      </c>
      <c r="H738" s="84">
        <f t="shared" si="174"/>
        <v>0</v>
      </c>
      <c r="I738" s="84">
        <f t="shared" si="174"/>
        <v>0</v>
      </c>
      <c r="J738" s="84">
        <f t="shared" si="174"/>
        <v>0</v>
      </c>
      <c r="K738" s="84">
        <f t="shared" si="174"/>
        <v>0</v>
      </c>
      <c r="L738" s="84">
        <f t="shared" si="174"/>
        <v>0</v>
      </c>
      <c r="M738" s="84">
        <f>SUM(M732:M737)</f>
        <v>5732054</v>
      </c>
      <c r="N738" s="84">
        <f t="shared" ref="N738:Q738" si="175">SUM(N732:N737)</f>
        <v>0</v>
      </c>
      <c r="O738" s="84">
        <f t="shared" si="175"/>
        <v>0</v>
      </c>
      <c r="P738" s="84">
        <f t="shared" si="175"/>
        <v>0</v>
      </c>
      <c r="Q738" s="84">
        <f t="shared" si="175"/>
        <v>0</v>
      </c>
      <c r="R738" s="84"/>
      <c r="S738" s="84"/>
      <c r="T738" s="84">
        <f t="shared" si="166"/>
        <v>5732054</v>
      </c>
      <c r="U738" s="85">
        <f>SUM(U732:U737)</f>
        <v>3661739</v>
      </c>
      <c r="V738" s="86">
        <f t="shared" si="165"/>
        <v>2070315</v>
      </c>
    </row>
    <row r="739" spans="1:22" x14ac:dyDescent="0.25">
      <c r="A739" s="148"/>
      <c r="B739" s="150"/>
      <c r="C739" s="87" t="s">
        <v>42</v>
      </c>
      <c r="D739" s="88">
        <v>903688</v>
      </c>
      <c r="E739" s="88"/>
      <c r="F739" s="88">
        <v>0</v>
      </c>
      <c r="G739" s="88"/>
      <c r="H739" s="88"/>
      <c r="I739" s="88"/>
      <c r="J739" s="88"/>
      <c r="K739" s="88"/>
      <c r="L739" s="88"/>
      <c r="M739" s="89">
        <f>D739+E739+F739+G739+H739+J739</f>
        <v>903688</v>
      </c>
      <c r="N739" s="89"/>
      <c r="O739" s="89"/>
      <c r="P739" s="89"/>
      <c r="Q739" s="89"/>
      <c r="R739" s="89"/>
      <c r="S739" s="89"/>
      <c r="T739" s="89">
        <f t="shared" si="166"/>
        <v>903688</v>
      </c>
      <c r="U739" s="90">
        <v>570610</v>
      </c>
      <c r="V739" s="91">
        <f t="shared" si="165"/>
        <v>333078</v>
      </c>
    </row>
    <row r="740" spans="1:22" x14ac:dyDescent="0.25">
      <c r="A740" s="148"/>
      <c r="B740" s="150"/>
      <c r="C740" s="34" t="s">
        <v>43</v>
      </c>
      <c r="D740" s="22">
        <v>20000</v>
      </c>
      <c r="E740" s="22"/>
      <c r="F740" s="22"/>
      <c r="G740" s="22"/>
      <c r="H740" s="22"/>
      <c r="I740" s="22"/>
      <c r="J740" s="22"/>
      <c r="K740" s="22"/>
      <c r="L740" s="22"/>
      <c r="M740" s="22">
        <f t="shared" ref="M740:M751" si="176">D740+E740+F740+G740+H740+J740+I740</f>
        <v>20000</v>
      </c>
      <c r="N740" s="22"/>
      <c r="O740" s="22"/>
      <c r="P740" s="22"/>
      <c r="Q740" s="22"/>
      <c r="R740" s="22"/>
      <c r="S740" s="22"/>
      <c r="T740" s="22">
        <f t="shared" si="166"/>
        <v>20000</v>
      </c>
      <c r="U740" s="35">
        <v>0</v>
      </c>
      <c r="V740" s="37">
        <f t="shared" si="165"/>
        <v>20000</v>
      </c>
    </row>
    <row r="741" spans="1:22" x14ac:dyDescent="0.25">
      <c r="A741" s="148"/>
      <c r="B741" s="150"/>
      <c r="C741" s="34" t="s">
        <v>53</v>
      </c>
      <c r="D741" s="22">
        <v>80000</v>
      </c>
      <c r="E741" s="22">
        <v>-700</v>
      </c>
      <c r="F741" s="22">
        <v>135669</v>
      </c>
      <c r="G741" s="22"/>
      <c r="H741" s="22"/>
      <c r="I741" s="22"/>
      <c r="J741" s="22"/>
      <c r="K741" s="22"/>
      <c r="L741" s="22"/>
      <c r="M741" s="22">
        <f t="shared" si="176"/>
        <v>214969</v>
      </c>
      <c r="N741" s="22">
        <f>-50000-5000</f>
        <v>-55000</v>
      </c>
      <c r="O741" s="22"/>
      <c r="P741" s="22"/>
      <c r="Q741" s="22"/>
      <c r="R741" s="22"/>
      <c r="S741" s="22"/>
      <c r="T741" s="22">
        <f t="shared" si="166"/>
        <v>159969</v>
      </c>
      <c r="U741" s="35">
        <v>31496</v>
      </c>
      <c r="V741" s="39">
        <f t="shared" si="165"/>
        <v>128473</v>
      </c>
    </row>
    <row r="742" spans="1:22" x14ac:dyDescent="0.25">
      <c r="A742" s="148"/>
      <c r="B742" s="150"/>
      <c r="C742" s="34" t="s">
        <v>54</v>
      </c>
      <c r="D742" s="22">
        <v>33456</v>
      </c>
      <c r="E742" s="22"/>
      <c r="F742" s="22"/>
      <c r="G742" s="22"/>
      <c r="H742" s="22"/>
      <c r="I742" s="22"/>
      <c r="J742" s="22"/>
      <c r="K742" s="22"/>
      <c r="L742" s="22"/>
      <c r="M742" s="22">
        <f t="shared" si="176"/>
        <v>33456</v>
      </c>
      <c r="N742" s="22">
        <v>50000</v>
      </c>
      <c r="O742" s="22"/>
      <c r="P742" s="22"/>
      <c r="Q742" s="22"/>
      <c r="R742" s="22"/>
      <c r="S742" s="22"/>
      <c r="T742" s="22">
        <f t="shared" si="166"/>
        <v>83456</v>
      </c>
      <c r="U742" s="35">
        <v>67554</v>
      </c>
      <c r="V742" s="37">
        <f t="shared" si="165"/>
        <v>15902</v>
      </c>
    </row>
    <row r="743" spans="1:22" x14ac:dyDescent="0.25">
      <c r="A743" s="148"/>
      <c r="B743" s="150"/>
      <c r="C743" s="75" t="s">
        <v>55</v>
      </c>
      <c r="D743" s="22">
        <v>12000</v>
      </c>
      <c r="E743" s="22">
        <v>700</v>
      </c>
      <c r="F743" s="22"/>
      <c r="G743" s="22"/>
      <c r="H743" s="22"/>
      <c r="I743" s="22"/>
      <c r="J743" s="22"/>
      <c r="K743" s="22"/>
      <c r="L743" s="22"/>
      <c r="M743" s="22">
        <f t="shared" si="176"/>
        <v>12700</v>
      </c>
      <c r="N743" s="22"/>
      <c r="O743" s="22"/>
      <c r="P743" s="22"/>
      <c r="Q743" s="22"/>
      <c r="R743" s="22"/>
      <c r="S743" s="22"/>
      <c r="T743" s="22">
        <f t="shared" si="166"/>
        <v>12700</v>
      </c>
      <c r="U743" s="35">
        <v>5822</v>
      </c>
      <c r="V743" s="35">
        <f t="shared" si="165"/>
        <v>6878</v>
      </c>
    </row>
    <row r="744" spans="1:22" x14ac:dyDescent="0.25">
      <c r="A744" s="148"/>
      <c r="B744" s="150"/>
      <c r="C744" s="34" t="s">
        <v>56</v>
      </c>
      <c r="D744" s="22">
        <v>0</v>
      </c>
      <c r="E744" s="22"/>
      <c r="F744" s="22"/>
      <c r="G744" s="22"/>
      <c r="H744" s="22"/>
      <c r="I744" s="22"/>
      <c r="J744" s="22"/>
      <c r="K744" s="22"/>
      <c r="L744" s="22"/>
      <c r="M744" s="22">
        <f t="shared" si="176"/>
        <v>0</v>
      </c>
      <c r="N744" s="22"/>
      <c r="O744" s="22"/>
      <c r="P744" s="22"/>
      <c r="Q744" s="22"/>
      <c r="R744" s="22"/>
      <c r="S744" s="22"/>
      <c r="T744" s="22">
        <f t="shared" si="166"/>
        <v>0</v>
      </c>
      <c r="U744" s="35">
        <v>0</v>
      </c>
      <c r="V744" s="37">
        <f t="shared" si="165"/>
        <v>0</v>
      </c>
    </row>
    <row r="745" spans="1:22" x14ac:dyDescent="0.25">
      <c r="A745" s="148"/>
      <c r="B745" s="150"/>
      <c r="C745" s="34" t="s">
        <v>62</v>
      </c>
      <c r="D745" s="22">
        <v>300000</v>
      </c>
      <c r="E745" s="22"/>
      <c r="F745" s="22"/>
      <c r="G745" s="22"/>
      <c r="H745" s="22"/>
      <c r="I745" s="22"/>
      <c r="J745" s="22"/>
      <c r="K745" s="22"/>
      <c r="L745" s="22"/>
      <c r="M745" s="22">
        <f t="shared" si="176"/>
        <v>300000</v>
      </c>
      <c r="N745" s="22"/>
      <c r="O745" s="22"/>
      <c r="P745" s="22"/>
      <c r="Q745" s="22"/>
      <c r="R745" s="22"/>
      <c r="S745" s="22"/>
      <c r="T745" s="22">
        <f t="shared" si="166"/>
        <v>300000</v>
      </c>
      <c r="U745" s="35">
        <v>0</v>
      </c>
      <c r="V745" s="37">
        <f t="shared" si="165"/>
        <v>300000</v>
      </c>
    </row>
    <row r="746" spans="1:22" x14ac:dyDescent="0.25">
      <c r="A746" s="148"/>
      <c r="B746" s="150"/>
      <c r="C746" s="34" t="s">
        <v>57</v>
      </c>
      <c r="D746" s="25">
        <v>93347</v>
      </c>
      <c r="E746" s="25"/>
      <c r="F746" s="22">
        <v>50000</v>
      </c>
      <c r="G746" s="22"/>
      <c r="H746" s="22"/>
      <c r="I746" s="22"/>
      <c r="J746" s="22"/>
      <c r="K746" s="22"/>
      <c r="L746" s="22"/>
      <c r="M746" s="22">
        <f t="shared" si="176"/>
        <v>143347</v>
      </c>
      <c r="N746" s="22">
        <v>-4000</v>
      </c>
      <c r="O746" s="22"/>
      <c r="P746" s="22"/>
      <c r="Q746" s="22"/>
      <c r="R746" s="22"/>
      <c r="S746" s="22"/>
      <c r="T746" s="22">
        <f t="shared" si="166"/>
        <v>139347</v>
      </c>
      <c r="U746" s="35">
        <v>93347</v>
      </c>
      <c r="V746" s="37">
        <f t="shared" si="165"/>
        <v>46000</v>
      </c>
    </row>
    <row r="747" spans="1:22" x14ac:dyDescent="0.25">
      <c r="A747" s="148"/>
      <c r="B747" s="150"/>
      <c r="C747" s="34" t="s">
        <v>44</v>
      </c>
      <c r="D747" s="22">
        <v>16800</v>
      </c>
      <c r="E747" s="25"/>
      <c r="F747" s="22"/>
      <c r="G747" s="22"/>
      <c r="H747" s="22"/>
      <c r="I747" s="22"/>
      <c r="J747" s="22"/>
      <c r="K747" s="22"/>
      <c r="L747" s="22"/>
      <c r="M747" s="22">
        <f t="shared" si="176"/>
        <v>16800</v>
      </c>
      <c r="N747" s="22"/>
      <c r="O747" s="22"/>
      <c r="P747" s="22"/>
      <c r="Q747" s="22"/>
      <c r="R747" s="22"/>
      <c r="S747" s="22"/>
      <c r="T747" s="22">
        <f t="shared" si="166"/>
        <v>16800</v>
      </c>
      <c r="U747" s="35">
        <v>4200</v>
      </c>
      <c r="V747" s="37">
        <f t="shared" si="165"/>
        <v>12600</v>
      </c>
    </row>
    <row r="748" spans="1:22" x14ac:dyDescent="0.25">
      <c r="A748" s="148"/>
      <c r="B748" s="150"/>
      <c r="C748" s="34" t="s">
        <v>58</v>
      </c>
      <c r="D748" s="22">
        <v>5000</v>
      </c>
      <c r="E748" s="22">
        <v>-5000</v>
      </c>
      <c r="F748" s="22"/>
      <c r="G748" s="22"/>
      <c r="H748" s="22"/>
      <c r="I748" s="22"/>
      <c r="J748" s="22"/>
      <c r="K748" s="22"/>
      <c r="L748" s="22"/>
      <c r="M748" s="22">
        <f t="shared" si="176"/>
        <v>0</v>
      </c>
      <c r="N748" s="22">
        <v>5000</v>
      </c>
      <c r="O748" s="22"/>
      <c r="P748" s="22"/>
      <c r="Q748" s="22"/>
      <c r="R748" s="22"/>
      <c r="S748" s="22"/>
      <c r="T748" s="22">
        <f t="shared" si="166"/>
        <v>5000</v>
      </c>
      <c r="U748" s="35">
        <v>5000</v>
      </c>
      <c r="V748" s="37">
        <f t="shared" si="165"/>
        <v>0</v>
      </c>
    </row>
    <row r="749" spans="1:22" x14ac:dyDescent="0.25">
      <c r="A749" s="148"/>
      <c r="B749" s="150"/>
      <c r="C749" s="34" t="s">
        <v>59</v>
      </c>
      <c r="D749" s="22">
        <v>7000</v>
      </c>
      <c r="E749" s="22"/>
      <c r="F749" s="22"/>
      <c r="G749" s="22"/>
      <c r="H749" s="22"/>
      <c r="I749" s="22"/>
      <c r="J749" s="22"/>
      <c r="K749" s="22"/>
      <c r="L749" s="22"/>
      <c r="M749" s="22">
        <f t="shared" si="176"/>
        <v>7000</v>
      </c>
      <c r="N749" s="22"/>
      <c r="O749" s="22"/>
      <c r="P749" s="22"/>
      <c r="Q749" s="22"/>
      <c r="R749" s="22"/>
      <c r="S749" s="22"/>
      <c r="T749" s="22">
        <f t="shared" si="166"/>
        <v>7000</v>
      </c>
      <c r="U749" s="35">
        <v>0</v>
      </c>
      <c r="V749" s="37">
        <f t="shared" si="165"/>
        <v>7000</v>
      </c>
    </row>
    <row r="750" spans="1:22" x14ac:dyDescent="0.25">
      <c r="A750" s="148"/>
      <c r="B750" s="150"/>
      <c r="C750" s="34" t="s">
        <v>45</v>
      </c>
      <c r="D750" s="22">
        <v>52716</v>
      </c>
      <c r="E750" s="22"/>
      <c r="F750" s="22">
        <v>50131</v>
      </c>
      <c r="G750" s="22"/>
      <c r="H750" s="22"/>
      <c r="I750" s="22"/>
      <c r="J750" s="22"/>
      <c r="K750" s="22"/>
      <c r="L750" s="22"/>
      <c r="M750" s="22">
        <f t="shared" si="176"/>
        <v>102847</v>
      </c>
      <c r="N750" s="22"/>
      <c r="O750" s="22"/>
      <c r="P750" s="22"/>
      <c r="Q750" s="22"/>
      <c r="R750" s="22"/>
      <c r="S750" s="22"/>
      <c r="T750" s="22">
        <f t="shared" si="166"/>
        <v>102847</v>
      </c>
      <c r="U750" s="35">
        <v>49598</v>
      </c>
      <c r="V750" s="39">
        <f t="shared" si="165"/>
        <v>53249</v>
      </c>
    </row>
    <row r="751" spans="1:22" x14ac:dyDescent="0.25">
      <c r="A751" s="148"/>
      <c r="B751" s="150"/>
      <c r="C751" s="34" t="s">
        <v>60</v>
      </c>
      <c r="D751" s="22">
        <v>0</v>
      </c>
      <c r="E751" s="22"/>
      <c r="F751" s="22"/>
      <c r="G751" s="22"/>
      <c r="H751" s="22"/>
      <c r="I751" s="22"/>
      <c r="J751" s="22"/>
      <c r="K751" s="22"/>
      <c r="L751" s="22"/>
      <c r="M751" s="22">
        <f t="shared" si="176"/>
        <v>0</v>
      </c>
      <c r="N751" s="22"/>
      <c r="O751" s="22"/>
      <c r="P751" s="22"/>
      <c r="Q751" s="22"/>
      <c r="R751" s="22"/>
      <c r="S751" s="22"/>
      <c r="T751" s="22">
        <f t="shared" si="166"/>
        <v>0</v>
      </c>
      <c r="U751" s="35">
        <v>0</v>
      </c>
      <c r="V751" s="37">
        <f t="shared" si="165"/>
        <v>0</v>
      </c>
    </row>
    <row r="752" spans="1:22" x14ac:dyDescent="0.25">
      <c r="A752" s="148"/>
      <c r="B752" s="150"/>
      <c r="C752" s="83" t="s">
        <v>46</v>
      </c>
      <c r="D752" s="84">
        <f>SUM(D740:D751)</f>
        <v>620319</v>
      </c>
      <c r="E752" s="84">
        <f t="shared" ref="E752:U752" si="177">SUM(E740:E751)</f>
        <v>-5000</v>
      </c>
      <c r="F752" s="84">
        <f t="shared" si="177"/>
        <v>235800</v>
      </c>
      <c r="G752" s="84">
        <f t="shared" si="177"/>
        <v>0</v>
      </c>
      <c r="H752" s="84">
        <f t="shared" si="177"/>
        <v>0</v>
      </c>
      <c r="I752" s="84">
        <f t="shared" si="177"/>
        <v>0</v>
      </c>
      <c r="J752" s="84">
        <f t="shared" si="177"/>
        <v>0</v>
      </c>
      <c r="K752" s="84">
        <f t="shared" si="177"/>
        <v>0</v>
      </c>
      <c r="L752" s="84">
        <f t="shared" si="177"/>
        <v>0</v>
      </c>
      <c r="M752" s="84">
        <f t="shared" si="177"/>
        <v>851119</v>
      </c>
      <c r="N752" s="84">
        <f t="shared" si="177"/>
        <v>-4000</v>
      </c>
      <c r="O752" s="84">
        <f t="shared" si="177"/>
        <v>0</v>
      </c>
      <c r="P752" s="84">
        <f t="shared" si="177"/>
        <v>0</v>
      </c>
      <c r="Q752" s="84">
        <f t="shared" si="177"/>
        <v>0</v>
      </c>
      <c r="R752" s="84"/>
      <c r="S752" s="84"/>
      <c r="T752" s="84">
        <f t="shared" si="166"/>
        <v>847119</v>
      </c>
      <c r="U752" s="85">
        <f t="shared" si="177"/>
        <v>257017</v>
      </c>
      <c r="V752" s="86">
        <f t="shared" si="165"/>
        <v>590102</v>
      </c>
    </row>
    <row r="753" spans="1:22" x14ac:dyDescent="0.25">
      <c r="A753" s="148"/>
      <c r="B753" s="150"/>
      <c r="C753" s="34" t="s">
        <v>112</v>
      </c>
      <c r="D753" s="22">
        <v>0</v>
      </c>
      <c r="E753" s="22"/>
      <c r="F753" s="22"/>
      <c r="G753" s="22"/>
      <c r="H753" s="22"/>
      <c r="I753" s="22"/>
      <c r="J753" s="22"/>
      <c r="K753" s="22"/>
      <c r="L753" s="22"/>
      <c r="M753" s="22">
        <f>D753+E753+F753+G753+H753+J753+I753</f>
        <v>0</v>
      </c>
      <c r="N753" s="22"/>
      <c r="O753" s="22"/>
      <c r="P753" s="22"/>
      <c r="Q753" s="22"/>
      <c r="R753" s="22"/>
      <c r="S753" s="22"/>
      <c r="T753" s="22">
        <f t="shared" si="166"/>
        <v>0</v>
      </c>
      <c r="U753" s="35">
        <v>0</v>
      </c>
      <c r="V753" s="37">
        <f t="shared" si="165"/>
        <v>0</v>
      </c>
    </row>
    <row r="754" spans="1:22" x14ac:dyDescent="0.25">
      <c r="A754" s="148"/>
      <c r="B754" s="150"/>
      <c r="C754" s="34" t="s">
        <v>113</v>
      </c>
      <c r="D754" s="22">
        <v>0</v>
      </c>
      <c r="E754" s="22"/>
      <c r="F754" s="22"/>
      <c r="G754" s="22"/>
      <c r="H754" s="22"/>
      <c r="I754" s="22"/>
      <c r="J754" s="22"/>
      <c r="K754" s="22"/>
      <c r="L754" s="22"/>
      <c r="M754" s="22">
        <f>D754+E754+F754+G754+H754+J754+I754</f>
        <v>0</v>
      </c>
      <c r="N754" s="22"/>
      <c r="O754" s="22"/>
      <c r="P754" s="22"/>
      <c r="Q754" s="22"/>
      <c r="R754" s="22"/>
      <c r="S754" s="22"/>
      <c r="T754" s="22">
        <f t="shared" si="166"/>
        <v>0</v>
      </c>
      <c r="U754" s="35">
        <v>0</v>
      </c>
      <c r="V754" s="37">
        <f t="shared" si="165"/>
        <v>0</v>
      </c>
    </row>
    <row r="755" spans="1:22" x14ac:dyDescent="0.25">
      <c r="A755" s="148"/>
      <c r="B755" s="151"/>
      <c r="C755" s="83" t="s">
        <v>114</v>
      </c>
      <c r="D755" s="84">
        <f>SUM(D753:D754)</f>
        <v>0</v>
      </c>
      <c r="E755" s="84">
        <f t="shared" ref="E755:U755" si="178">SUM(E753:E754)</f>
        <v>0</v>
      </c>
      <c r="F755" s="84">
        <f t="shared" si="178"/>
        <v>0</v>
      </c>
      <c r="G755" s="84">
        <f t="shared" si="178"/>
        <v>0</v>
      </c>
      <c r="H755" s="84">
        <f t="shared" si="178"/>
        <v>0</v>
      </c>
      <c r="I755" s="84">
        <f t="shared" si="178"/>
        <v>0</v>
      </c>
      <c r="J755" s="84">
        <f t="shared" si="178"/>
        <v>0</v>
      </c>
      <c r="K755" s="84">
        <f t="shared" si="178"/>
        <v>0</v>
      </c>
      <c r="L755" s="84">
        <f t="shared" si="178"/>
        <v>0</v>
      </c>
      <c r="M755" s="84">
        <f t="shared" si="178"/>
        <v>0</v>
      </c>
      <c r="N755" s="84">
        <f t="shared" si="178"/>
        <v>0</v>
      </c>
      <c r="O755" s="84">
        <f t="shared" si="178"/>
        <v>0</v>
      </c>
      <c r="P755" s="84">
        <f t="shared" si="178"/>
        <v>0</v>
      </c>
      <c r="Q755" s="84">
        <f t="shared" si="178"/>
        <v>0</v>
      </c>
      <c r="R755" s="84"/>
      <c r="S755" s="84"/>
      <c r="T755" s="84">
        <f t="shared" si="166"/>
        <v>0</v>
      </c>
      <c r="U755" s="85">
        <f t="shared" si="178"/>
        <v>0</v>
      </c>
      <c r="V755" s="86">
        <f t="shared" si="165"/>
        <v>0</v>
      </c>
    </row>
    <row r="756" spans="1:22" x14ac:dyDescent="0.25">
      <c r="A756" s="148"/>
      <c r="B756" s="139" t="s">
        <v>21</v>
      </c>
      <c r="C756" s="34" t="s">
        <v>62</v>
      </c>
      <c r="D756" s="22">
        <v>36000</v>
      </c>
      <c r="E756" s="22"/>
      <c r="F756" s="22"/>
      <c r="G756" s="22"/>
      <c r="H756" s="22"/>
      <c r="I756" s="22"/>
      <c r="J756" s="22"/>
      <c r="K756" s="22"/>
      <c r="L756" s="22"/>
      <c r="M756" s="22">
        <f>D756+E756+F756+G756+H756+J756+I756</f>
        <v>36000</v>
      </c>
      <c r="N756" s="22"/>
      <c r="O756" s="22"/>
      <c r="P756" s="22"/>
      <c r="Q756" s="22"/>
      <c r="R756" s="22"/>
      <c r="S756" s="22"/>
      <c r="T756" s="22">
        <f t="shared" si="166"/>
        <v>36000</v>
      </c>
      <c r="U756" s="35">
        <v>27000</v>
      </c>
      <c r="V756" s="37">
        <f t="shared" si="165"/>
        <v>9000</v>
      </c>
    </row>
    <row r="757" spans="1:22" x14ac:dyDescent="0.25">
      <c r="A757" s="148"/>
      <c r="B757" s="150"/>
      <c r="C757" s="34" t="s">
        <v>57</v>
      </c>
      <c r="D757" s="25">
        <v>12000</v>
      </c>
      <c r="E757" s="22">
        <v>-3000</v>
      </c>
      <c r="F757" s="22"/>
      <c r="G757" s="22"/>
      <c r="H757" s="22"/>
      <c r="I757" s="22"/>
      <c r="J757" s="22"/>
      <c r="K757" s="22"/>
      <c r="L757" s="22"/>
      <c r="M757" s="22">
        <f>D757+E757+F757+G757+H757+J757+I757</f>
        <v>9000</v>
      </c>
      <c r="N757" s="22"/>
      <c r="O757" s="22"/>
      <c r="P757" s="22"/>
      <c r="Q757" s="22"/>
      <c r="R757" s="22"/>
      <c r="S757" s="22"/>
      <c r="T757" s="22">
        <f t="shared" si="166"/>
        <v>9000</v>
      </c>
      <c r="U757" s="35">
        <v>6000</v>
      </c>
      <c r="V757" s="39">
        <f t="shared" si="165"/>
        <v>3000</v>
      </c>
    </row>
    <row r="758" spans="1:22" x14ac:dyDescent="0.25">
      <c r="A758" s="148"/>
      <c r="B758" s="150"/>
      <c r="C758" s="75" t="s">
        <v>64</v>
      </c>
      <c r="D758" s="22">
        <v>5000</v>
      </c>
      <c r="E758" s="22"/>
      <c r="F758" s="22"/>
      <c r="G758" s="22"/>
      <c r="H758" s="22"/>
      <c r="I758" s="22"/>
      <c r="J758" s="22"/>
      <c r="K758" s="22"/>
      <c r="L758" s="22"/>
      <c r="M758" s="22">
        <f>D758+E758+F758+G758+H758+J758+I758</f>
        <v>5000</v>
      </c>
      <c r="N758" s="22"/>
      <c r="O758" s="22"/>
      <c r="P758" s="22"/>
      <c r="Q758" s="22"/>
      <c r="R758" s="22"/>
      <c r="S758" s="22"/>
      <c r="T758" s="22">
        <f t="shared" si="166"/>
        <v>5000</v>
      </c>
      <c r="U758" s="35">
        <v>4000</v>
      </c>
      <c r="V758" s="39">
        <f t="shared" si="165"/>
        <v>1000</v>
      </c>
    </row>
    <row r="759" spans="1:22" x14ac:dyDescent="0.25">
      <c r="A759" s="148"/>
      <c r="B759" s="150"/>
      <c r="C759" s="34" t="s">
        <v>58</v>
      </c>
      <c r="D759" s="22">
        <v>0</v>
      </c>
      <c r="E759" s="22">
        <f>3000+5000</f>
        <v>8000</v>
      </c>
      <c r="F759" s="22"/>
      <c r="G759" s="22"/>
      <c r="H759" s="22"/>
      <c r="I759" s="22"/>
      <c r="J759" s="22"/>
      <c r="K759" s="22"/>
      <c r="L759" s="22"/>
      <c r="M759" s="22">
        <f>D759+E759+F759+G759+H759+J759+I759</f>
        <v>8000</v>
      </c>
      <c r="N759" s="22">
        <v>4000</v>
      </c>
      <c r="O759" s="22"/>
      <c r="P759" s="22"/>
      <c r="Q759" s="22"/>
      <c r="R759" s="22"/>
      <c r="S759" s="22"/>
      <c r="T759" s="22">
        <f t="shared" si="166"/>
        <v>12000</v>
      </c>
      <c r="U759" s="35">
        <v>12000</v>
      </c>
      <c r="V759" s="37">
        <f t="shared" si="165"/>
        <v>0</v>
      </c>
    </row>
    <row r="760" spans="1:22" x14ac:dyDescent="0.25">
      <c r="A760" s="148"/>
      <c r="B760" s="150"/>
      <c r="C760" s="34" t="s">
        <v>45</v>
      </c>
      <c r="D760" s="22">
        <v>14310</v>
      </c>
      <c r="E760" s="22"/>
      <c r="F760" s="22"/>
      <c r="G760" s="22"/>
      <c r="H760" s="22"/>
      <c r="I760" s="22"/>
      <c r="J760" s="22"/>
      <c r="K760" s="22"/>
      <c r="L760" s="22"/>
      <c r="M760" s="22">
        <f>D760+E760+F760+G760+H760+J760+I760</f>
        <v>14310</v>
      </c>
      <c r="N760" s="22"/>
      <c r="O760" s="22"/>
      <c r="P760" s="22"/>
      <c r="Q760" s="22"/>
      <c r="R760" s="22"/>
      <c r="S760" s="22"/>
      <c r="T760" s="22">
        <f t="shared" si="166"/>
        <v>14310</v>
      </c>
      <c r="U760" s="35">
        <v>13230</v>
      </c>
      <c r="V760" s="37">
        <f t="shared" si="165"/>
        <v>1080</v>
      </c>
    </row>
    <row r="761" spans="1:22" x14ac:dyDescent="0.25">
      <c r="A761" s="149"/>
      <c r="B761" s="151"/>
      <c r="C761" s="83" t="s">
        <v>46</v>
      </c>
      <c r="D761" s="84">
        <f>SUM(D756:D760)</f>
        <v>67310</v>
      </c>
      <c r="E761" s="84">
        <f t="shared" ref="E761:U761" si="179">SUM(E756:E760)</f>
        <v>5000</v>
      </c>
      <c r="F761" s="84">
        <f t="shared" si="179"/>
        <v>0</v>
      </c>
      <c r="G761" s="84">
        <f t="shared" si="179"/>
        <v>0</v>
      </c>
      <c r="H761" s="84">
        <f t="shared" si="179"/>
        <v>0</v>
      </c>
      <c r="I761" s="84">
        <f t="shared" si="179"/>
        <v>0</v>
      </c>
      <c r="J761" s="84">
        <f t="shared" si="179"/>
        <v>0</v>
      </c>
      <c r="K761" s="84">
        <f t="shared" si="179"/>
        <v>0</v>
      </c>
      <c r="L761" s="84">
        <f t="shared" si="179"/>
        <v>0</v>
      </c>
      <c r="M761" s="84">
        <f t="shared" si="179"/>
        <v>72310</v>
      </c>
      <c r="N761" s="84">
        <f t="shared" si="179"/>
        <v>4000</v>
      </c>
      <c r="O761" s="84">
        <f t="shared" si="179"/>
        <v>0</v>
      </c>
      <c r="P761" s="84">
        <f t="shared" si="179"/>
        <v>0</v>
      </c>
      <c r="Q761" s="84">
        <f t="shared" si="179"/>
        <v>0</v>
      </c>
      <c r="R761" s="84">
        <f t="shared" si="179"/>
        <v>0</v>
      </c>
      <c r="S761" s="84">
        <f t="shared" si="179"/>
        <v>0</v>
      </c>
      <c r="T761" s="84">
        <f t="shared" si="166"/>
        <v>76310</v>
      </c>
      <c r="U761" s="85">
        <f t="shared" si="179"/>
        <v>62230</v>
      </c>
      <c r="V761" s="86">
        <f t="shared" si="165"/>
        <v>14080</v>
      </c>
    </row>
    <row r="762" spans="1:22" x14ac:dyDescent="0.25">
      <c r="A762" s="136" t="s">
        <v>107</v>
      </c>
      <c r="B762" s="138" t="s">
        <v>18</v>
      </c>
      <c r="C762" s="34" t="s">
        <v>40</v>
      </c>
      <c r="D762" s="22">
        <v>594948</v>
      </c>
      <c r="E762" s="22"/>
      <c r="F762" s="22"/>
      <c r="G762" s="22"/>
      <c r="H762" s="22"/>
      <c r="I762" s="22"/>
      <c r="J762" s="22"/>
      <c r="K762" s="22"/>
      <c r="L762" s="22"/>
      <c r="M762" s="22">
        <f>D762+E762+F762+G762+H762+J762+I762</f>
        <v>594948</v>
      </c>
      <c r="N762" s="22"/>
      <c r="O762" s="22"/>
      <c r="P762" s="22"/>
      <c r="Q762" s="22"/>
      <c r="R762" s="22"/>
      <c r="S762" s="22"/>
      <c r="T762" s="22">
        <f t="shared" si="166"/>
        <v>594948</v>
      </c>
      <c r="U762" s="35">
        <v>386250</v>
      </c>
      <c r="V762" s="37">
        <f t="shared" si="165"/>
        <v>208698</v>
      </c>
    </row>
    <row r="763" spans="1:22" x14ac:dyDescent="0.25">
      <c r="A763" s="136"/>
      <c r="B763" s="138"/>
      <c r="C763" s="34" t="s">
        <v>42</v>
      </c>
      <c r="D763" s="22">
        <v>92217</v>
      </c>
      <c r="E763" s="22"/>
      <c r="F763" s="22"/>
      <c r="G763" s="22"/>
      <c r="H763" s="22"/>
      <c r="I763" s="22"/>
      <c r="J763" s="22"/>
      <c r="K763" s="22"/>
      <c r="L763" s="22"/>
      <c r="M763" s="22">
        <f>D763+E763+F763+G763+H763+J763+I763</f>
        <v>92217</v>
      </c>
      <c r="N763" s="22"/>
      <c r="O763" s="22"/>
      <c r="P763" s="22"/>
      <c r="Q763" s="22"/>
      <c r="R763" s="22"/>
      <c r="S763" s="22"/>
      <c r="T763" s="22">
        <f t="shared" si="166"/>
        <v>92217</v>
      </c>
      <c r="U763" s="35">
        <v>58552</v>
      </c>
      <c r="V763" s="37">
        <f t="shared" si="165"/>
        <v>33665</v>
      </c>
    </row>
    <row r="764" spans="1:22" x14ac:dyDescent="0.25">
      <c r="A764" s="140" t="s">
        <v>131</v>
      </c>
      <c r="B764" s="141"/>
      <c r="C764" s="142"/>
      <c r="D764" s="96">
        <f>SUM(D722+D725+D726+D731+D738+D739+D752+D755+D761+D762+D763)</f>
        <v>9064719</v>
      </c>
      <c r="E764" s="97">
        <f t="shared" ref="E764:Q764" si="180">SUM(E722,E725,E726,E731,E738,E739,E752,E755,E761,E762,E763)</f>
        <v>0</v>
      </c>
      <c r="F764" s="97">
        <f t="shared" si="180"/>
        <v>235800</v>
      </c>
      <c r="G764" s="97">
        <f t="shared" si="180"/>
        <v>0</v>
      </c>
      <c r="H764" s="97">
        <f t="shared" si="180"/>
        <v>0</v>
      </c>
      <c r="I764" s="97">
        <f t="shared" si="180"/>
        <v>0</v>
      </c>
      <c r="J764" s="97">
        <f t="shared" si="180"/>
        <v>0</v>
      </c>
      <c r="K764" s="97">
        <f t="shared" si="180"/>
        <v>0</v>
      </c>
      <c r="L764" s="97">
        <f t="shared" si="180"/>
        <v>0</v>
      </c>
      <c r="M764" s="97">
        <f t="shared" si="180"/>
        <v>9300519</v>
      </c>
      <c r="N764" s="97">
        <f t="shared" si="180"/>
        <v>0</v>
      </c>
      <c r="O764" s="97">
        <f t="shared" si="180"/>
        <v>0</v>
      </c>
      <c r="P764" s="97">
        <f t="shared" si="180"/>
        <v>0</v>
      </c>
      <c r="Q764" s="97">
        <f t="shared" si="180"/>
        <v>0</v>
      </c>
      <c r="R764" s="97"/>
      <c r="S764" s="97"/>
      <c r="T764" s="97">
        <f t="shared" si="166"/>
        <v>9300519</v>
      </c>
      <c r="U764" s="98">
        <f>SUM(U722,U725,U726,U731,U738,U739,U752,U755,U761,U762,U763)</f>
        <v>5717885</v>
      </c>
      <c r="V764" s="99">
        <f t="shared" si="165"/>
        <v>3582634</v>
      </c>
    </row>
    <row r="765" spans="1:22" x14ac:dyDescent="0.25">
      <c r="A765" s="136" t="s">
        <v>108</v>
      </c>
      <c r="B765" s="138" t="s">
        <v>39</v>
      </c>
      <c r="C765" s="83" t="s">
        <v>40</v>
      </c>
      <c r="D765" s="84">
        <v>0</v>
      </c>
      <c r="E765" s="84"/>
      <c r="F765" s="84"/>
      <c r="G765" s="84"/>
      <c r="H765" s="84"/>
      <c r="I765" s="84"/>
      <c r="J765" s="84"/>
      <c r="K765" s="84"/>
      <c r="L765" s="84"/>
      <c r="M765" s="106">
        <f>D765+E765+F765+G765+H765+J765</f>
        <v>0</v>
      </c>
      <c r="N765" s="106"/>
      <c r="O765" s="106"/>
      <c r="P765" s="106"/>
      <c r="Q765" s="106"/>
      <c r="R765" s="106"/>
      <c r="S765" s="106"/>
      <c r="T765" s="106">
        <f t="shared" si="166"/>
        <v>0</v>
      </c>
      <c r="U765" s="85">
        <v>0</v>
      </c>
      <c r="V765" s="107">
        <f t="shared" si="165"/>
        <v>0</v>
      </c>
    </row>
    <row r="766" spans="1:22" x14ac:dyDescent="0.25">
      <c r="A766" s="136"/>
      <c r="B766" s="138"/>
      <c r="C766" s="87" t="s">
        <v>42</v>
      </c>
      <c r="D766" s="88">
        <v>0</v>
      </c>
      <c r="E766" s="88"/>
      <c r="F766" s="88"/>
      <c r="G766" s="88"/>
      <c r="H766" s="88"/>
      <c r="I766" s="88"/>
      <c r="J766" s="88"/>
      <c r="K766" s="88"/>
      <c r="L766" s="88"/>
      <c r="M766" s="89">
        <f>D766+E766+F766+G766+H766+J766</f>
        <v>0</v>
      </c>
      <c r="N766" s="89"/>
      <c r="O766" s="89"/>
      <c r="P766" s="89"/>
      <c r="Q766" s="89"/>
      <c r="R766" s="89"/>
      <c r="S766" s="89"/>
      <c r="T766" s="89">
        <f t="shared" si="166"/>
        <v>0</v>
      </c>
      <c r="U766" s="90">
        <v>0</v>
      </c>
      <c r="V766" s="91">
        <f t="shared" si="165"/>
        <v>0</v>
      </c>
    </row>
    <row r="767" spans="1:22" x14ac:dyDescent="0.25">
      <c r="A767" s="136"/>
      <c r="B767" s="138"/>
      <c r="C767" s="34" t="s">
        <v>43</v>
      </c>
      <c r="D767" s="22">
        <v>0</v>
      </c>
      <c r="E767" s="22"/>
      <c r="F767" s="22"/>
      <c r="G767" s="22"/>
      <c r="H767" s="22"/>
      <c r="I767" s="22"/>
      <c r="J767" s="22"/>
      <c r="K767" s="22"/>
      <c r="L767" s="22"/>
      <c r="M767" s="22">
        <f>D767+E767+F767+G767+H767+J767+I767</f>
        <v>0</v>
      </c>
      <c r="N767" s="22"/>
      <c r="O767" s="22"/>
      <c r="P767" s="22"/>
      <c r="Q767" s="22"/>
      <c r="R767" s="22"/>
      <c r="S767" s="22"/>
      <c r="T767" s="22">
        <f t="shared" si="166"/>
        <v>0</v>
      </c>
      <c r="U767" s="35">
        <v>0</v>
      </c>
      <c r="V767" s="37">
        <f t="shared" si="165"/>
        <v>0</v>
      </c>
    </row>
    <row r="768" spans="1:22" x14ac:dyDescent="0.25">
      <c r="A768" s="136"/>
      <c r="B768" s="138"/>
      <c r="C768" s="34" t="s">
        <v>45</v>
      </c>
      <c r="D768" s="22">
        <v>0</v>
      </c>
      <c r="E768" s="22"/>
      <c r="F768" s="22"/>
      <c r="G768" s="22"/>
      <c r="H768" s="22"/>
      <c r="I768" s="22"/>
      <c r="J768" s="22"/>
      <c r="K768" s="22"/>
      <c r="L768" s="22"/>
      <c r="M768" s="22">
        <f>D768+E768+F768+G768+H768+J768+I768</f>
        <v>0</v>
      </c>
      <c r="N768" s="22"/>
      <c r="O768" s="22"/>
      <c r="P768" s="22"/>
      <c r="Q768" s="22"/>
      <c r="R768" s="22"/>
      <c r="S768" s="22"/>
      <c r="T768" s="22">
        <f t="shared" si="166"/>
        <v>0</v>
      </c>
      <c r="U768" s="35">
        <v>0</v>
      </c>
      <c r="V768" s="37">
        <f t="shared" si="165"/>
        <v>0</v>
      </c>
    </row>
    <row r="769" spans="1:22" x14ac:dyDescent="0.25">
      <c r="A769" s="136"/>
      <c r="B769" s="138"/>
      <c r="C769" s="83" t="s">
        <v>46</v>
      </c>
      <c r="D769" s="84">
        <v>0</v>
      </c>
      <c r="E769" s="84">
        <f t="shared" ref="E769:U769" si="181">SUM(E767:E768)</f>
        <v>0</v>
      </c>
      <c r="F769" s="84">
        <f t="shared" si="181"/>
        <v>0</v>
      </c>
      <c r="G769" s="84">
        <f t="shared" si="181"/>
        <v>0</v>
      </c>
      <c r="H769" s="84">
        <f t="shared" si="181"/>
        <v>0</v>
      </c>
      <c r="I769" s="84">
        <f t="shared" si="181"/>
        <v>0</v>
      </c>
      <c r="J769" s="84">
        <f t="shared" si="181"/>
        <v>0</v>
      </c>
      <c r="K769" s="84">
        <f t="shared" si="181"/>
        <v>0</v>
      </c>
      <c r="L769" s="84">
        <f t="shared" si="181"/>
        <v>0</v>
      </c>
      <c r="M769" s="84">
        <f t="shared" si="181"/>
        <v>0</v>
      </c>
      <c r="N769" s="84">
        <f t="shared" si="181"/>
        <v>0</v>
      </c>
      <c r="O769" s="84">
        <f t="shared" si="181"/>
        <v>0</v>
      </c>
      <c r="P769" s="84">
        <f t="shared" si="181"/>
        <v>0</v>
      </c>
      <c r="Q769" s="84">
        <f t="shared" si="181"/>
        <v>0</v>
      </c>
      <c r="R769" s="84"/>
      <c r="S769" s="84"/>
      <c r="T769" s="84">
        <f t="shared" si="166"/>
        <v>0</v>
      </c>
      <c r="U769" s="85">
        <f t="shared" si="181"/>
        <v>0</v>
      </c>
      <c r="V769" s="86">
        <f t="shared" si="165"/>
        <v>0</v>
      </c>
    </row>
    <row r="770" spans="1:22" x14ac:dyDescent="0.25">
      <c r="A770" s="136"/>
      <c r="B770" s="138" t="s">
        <v>18</v>
      </c>
      <c r="C770" s="34" t="s">
        <v>40</v>
      </c>
      <c r="D770" s="22">
        <v>10275152</v>
      </c>
      <c r="E770" s="22">
        <v>-46385</v>
      </c>
      <c r="F770" s="22"/>
      <c r="G770" s="22"/>
      <c r="H770" s="22"/>
      <c r="I770" s="22"/>
      <c r="J770" s="22"/>
      <c r="K770" s="22"/>
      <c r="L770" s="22"/>
      <c r="M770" s="22">
        <f t="shared" ref="M770:M776" si="182">D770+E770+F770+G770+H770+J770+I770</f>
        <v>10228767</v>
      </c>
      <c r="N770" s="22"/>
      <c r="O770" s="22">
        <v>-425584</v>
      </c>
      <c r="P770" s="22"/>
      <c r="Q770" s="22"/>
      <c r="R770" s="22"/>
      <c r="S770" s="22"/>
      <c r="T770" s="22">
        <f t="shared" si="166"/>
        <v>9803183</v>
      </c>
      <c r="U770" s="35">
        <v>6026855</v>
      </c>
      <c r="V770" s="37">
        <f t="shared" si="165"/>
        <v>3776328</v>
      </c>
    </row>
    <row r="771" spans="1:22" x14ac:dyDescent="0.25">
      <c r="A771" s="136"/>
      <c r="B771" s="138"/>
      <c r="C771" s="34" t="s">
        <v>63</v>
      </c>
      <c r="D771" s="22">
        <v>0</v>
      </c>
      <c r="E771" s="22"/>
      <c r="F771" s="22"/>
      <c r="G771" s="22"/>
      <c r="H771" s="22"/>
      <c r="I771" s="22"/>
      <c r="J771" s="22"/>
      <c r="K771" s="22"/>
      <c r="L771" s="22"/>
      <c r="M771" s="22">
        <f t="shared" si="182"/>
        <v>0</v>
      </c>
      <c r="N771" s="22"/>
      <c r="O771" s="22"/>
      <c r="P771" s="22"/>
      <c r="Q771" s="22"/>
      <c r="R771" s="22"/>
      <c r="S771" s="22"/>
      <c r="T771" s="22">
        <f t="shared" si="166"/>
        <v>0</v>
      </c>
      <c r="U771" s="35">
        <v>0</v>
      </c>
      <c r="V771" s="37">
        <f t="shared" si="165"/>
        <v>0</v>
      </c>
    </row>
    <row r="772" spans="1:22" x14ac:dyDescent="0.25">
      <c r="A772" s="136"/>
      <c r="B772" s="138"/>
      <c r="C772" s="34" t="s">
        <v>47</v>
      </c>
      <c r="D772" s="22">
        <v>400000</v>
      </c>
      <c r="E772" s="22"/>
      <c r="F772" s="22"/>
      <c r="G772" s="22"/>
      <c r="H772" s="22"/>
      <c r="I772" s="22"/>
      <c r="J772" s="22"/>
      <c r="K772" s="22"/>
      <c r="L772" s="22"/>
      <c r="M772" s="22">
        <f t="shared" si="182"/>
        <v>400000</v>
      </c>
      <c r="N772" s="22"/>
      <c r="O772" s="22"/>
      <c r="P772" s="22"/>
      <c r="Q772" s="22"/>
      <c r="R772" s="22"/>
      <c r="S772" s="22"/>
      <c r="T772" s="22">
        <f t="shared" si="166"/>
        <v>400000</v>
      </c>
      <c r="U772" s="35">
        <v>191511</v>
      </c>
      <c r="V772" s="37">
        <f t="shared" si="165"/>
        <v>208489</v>
      </c>
    </row>
    <row r="773" spans="1:22" x14ac:dyDescent="0.25">
      <c r="A773" s="136"/>
      <c r="B773" s="138"/>
      <c r="C773" s="34" t="s">
        <v>48</v>
      </c>
      <c r="D773" s="22">
        <v>40000</v>
      </c>
      <c r="E773" s="22"/>
      <c r="F773" s="22"/>
      <c r="G773" s="22"/>
      <c r="H773" s="22"/>
      <c r="I773" s="22"/>
      <c r="J773" s="22"/>
      <c r="K773" s="22"/>
      <c r="L773" s="22"/>
      <c r="M773" s="22">
        <f t="shared" si="182"/>
        <v>40000</v>
      </c>
      <c r="N773" s="22"/>
      <c r="O773" s="22"/>
      <c r="P773" s="22"/>
      <c r="Q773" s="22"/>
      <c r="R773" s="22"/>
      <c r="S773" s="22"/>
      <c r="T773" s="22">
        <f t="shared" si="166"/>
        <v>40000</v>
      </c>
      <c r="U773" s="35">
        <v>0</v>
      </c>
      <c r="V773" s="37">
        <f t="shared" si="165"/>
        <v>40000</v>
      </c>
    </row>
    <row r="774" spans="1:22" x14ac:dyDescent="0.25">
      <c r="A774" s="136"/>
      <c r="B774" s="138"/>
      <c r="C774" s="75" t="s">
        <v>49</v>
      </c>
      <c r="D774" s="22">
        <v>65000</v>
      </c>
      <c r="E774" s="22"/>
      <c r="F774" s="22"/>
      <c r="G774" s="22"/>
      <c r="H774" s="22"/>
      <c r="I774" s="22"/>
      <c r="J774" s="22"/>
      <c r="K774" s="22"/>
      <c r="L774" s="22"/>
      <c r="M774" s="22">
        <f t="shared" si="182"/>
        <v>65000</v>
      </c>
      <c r="N774" s="22"/>
      <c r="O774" s="22"/>
      <c r="P774" s="22"/>
      <c r="Q774" s="22"/>
      <c r="R774" s="22"/>
      <c r="S774" s="22"/>
      <c r="T774" s="22">
        <f t="shared" si="166"/>
        <v>65000</v>
      </c>
      <c r="U774" s="35">
        <v>0</v>
      </c>
      <c r="V774" s="37">
        <f t="shared" si="165"/>
        <v>65000</v>
      </c>
    </row>
    <row r="775" spans="1:22" x14ac:dyDescent="0.25">
      <c r="A775" s="136"/>
      <c r="B775" s="138"/>
      <c r="C775" s="34" t="s">
        <v>50</v>
      </c>
      <c r="D775" s="22">
        <v>48000</v>
      </c>
      <c r="E775" s="22"/>
      <c r="F775" s="22"/>
      <c r="G775" s="22"/>
      <c r="H775" s="22"/>
      <c r="I775" s="22"/>
      <c r="J775" s="22"/>
      <c r="K775" s="22"/>
      <c r="L775" s="22"/>
      <c r="M775" s="22">
        <f t="shared" si="182"/>
        <v>48000</v>
      </c>
      <c r="N775" s="22"/>
      <c r="O775" s="22"/>
      <c r="P775" s="22"/>
      <c r="Q775" s="22"/>
      <c r="R775" s="22"/>
      <c r="S775" s="22"/>
      <c r="T775" s="22">
        <f t="shared" si="166"/>
        <v>48000</v>
      </c>
      <c r="U775" s="35">
        <v>24000</v>
      </c>
      <c r="V775" s="37">
        <f t="shared" si="165"/>
        <v>24000</v>
      </c>
    </row>
    <row r="776" spans="1:22" x14ac:dyDescent="0.25">
      <c r="A776" s="136"/>
      <c r="B776" s="138"/>
      <c r="C776" s="34" t="s">
        <v>51</v>
      </c>
      <c r="D776" s="22">
        <v>0</v>
      </c>
      <c r="E776" s="22">
        <v>46385</v>
      </c>
      <c r="F776" s="25"/>
      <c r="G776" s="22"/>
      <c r="H776" s="22"/>
      <c r="I776" s="22"/>
      <c r="J776" s="22"/>
      <c r="K776" s="22"/>
      <c r="L776" s="22"/>
      <c r="M776" s="22">
        <f t="shared" si="182"/>
        <v>46385</v>
      </c>
      <c r="N776" s="22"/>
      <c r="O776" s="22"/>
      <c r="P776" s="22"/>
      <c r="Q776" s="22"/>
      <c r="R776" s="22"/>
      <c r="S776" s="22"/>
      <c r="T776" s="22">
        <f t="shared" si="166"/>
        <v>46385</v>
      </c>
      <c r="U776" s="35">
        <v>46385</v>
      </c>
      <c r="V776" s="37">
        <f t="shared" si="165"/>
        <v>0</v>
      </c>
    </row>
    <row r="777" spans="1:22" x14ac:dyDescent="0.25">
      <c r="A777" s="136"/>
      <c r="B777" s="138"/>
      <c r="C777" s="83" t="s">
        <v>41</v>
      </c>
      <c r="D777" s="84">
        <f>SUM(D770:D776)</f>
        <v>10828152</v>
      </c>
      <c r="E777" s="84">
        <f t="shared" ref="E777:U777" si="183">SUM(E770:E776)</f>
        <v>0</v>
      </c>
      <c r="F777" s="84">
        <f t="shared" si="183"/>
        <v>0</v>
      </c>
      <c r="G777" s="84">
        <f t="shared" si="183"/>
        <v>0</v>
      </c>
      <c r="H777" s="84">
        <f t="shared" si="183"/>
        <v>0</v>
      </c>
      <c r="I777" s="84">
        <f t="shared" si="183"/>
        <v>0</v>
      </c>
      <c r="J777" s="84">
        <f t="shared" si="183"/>
        <v>0</v>
      </c>
      <c r="K777" s="84">
        <f t="shared" si="183"/>
        <v>0</v>
      </c>
      <c r="L777" s="84">
        <f t="shared" si="183"/>
        <v>0</v>
      </c>
      <c r="M777" s="84">
        <f t="shared" si="183"/>
        <v>10828152</v>
      </c>
      <c r="N777" s="84">
        <f t="shared" si="183"/>
        <v>0</v>
      </c>
      <c r="O777" s="84">
        <f t="shared" si="183"/>
        <v>-425584</v>
      </c>
      <c r="P777" s="84">
        <f t="shared" si="183"/>
        <v>0</v>
      </c>
      <c r="Q777" s="84">
        <f t="shared" si="183"/>
        <v>0</v>
      </c>
      <c r="R777" s="84"/>
      <c r="S777" s="84"/>
      <c r="T777" s="84">
        <f t="shared" si="166"/>
        <v>10402568</v>
      </c>
      <c r="U777" s="85">
        <f t="shared" si="183"/>
        <v>6288751</v>
      </c>
      <c r="V777" s="86">
        <f t="shared" ref="V777:V831" si="184">T777-U777</f>
        <v>4113817</v>
      </c>
    </row>
    <row r="778" spans="1:22" x14ac:dyDescent="0.25">
      <c r="A778" s="136"/>
      <c r="B778" s="138"/>
      <c r="C778" s="87" t="s">
        <v>42</v>
      </c>
      <c r="D778" s="88">
        <v>1702975</v>
      </c>
      <c r="E778" s="88"/>
      <c r="F778" s="88"/>
      <c r="G778" s="88"/>
      <c r="H778" s="88"/>
      <c r="I778" s="88"/>
      <c r="J778" s="88"/>
      <c r="K778" s="88"/>
      <c r="L778" s="88"/>
      <c r="M778" s="89">
        <f t="shared" ref="M778:M786" si="185">D778+E778+F778+G778+H778+J778+I778</f>
        <v>1702975</v>
      </c>
      <c r="N778" s="89"/>
      <c r="O778" s="89">
        <v>-65966</v>
      </c>
      <c r="P778" s="89"/>
      <c r="Q778" s="89"/>
      <c r="R778" s="89"/>
      <c r="S778" s="89"/>
      <c r="T778" s="89">
        <f t="shared" si="166"/>
        <v>1637009</v>
      </c>
      <c r="U778" s="90">
        <v>985527</v>
      </c>
      <c r="V778" s="91">
        <f t="shared" si="184"/>
        <v>651482</v>
      </c>
    </row>
    <row r="779" spans="1:22" x14ac:dyDescent="0.25">
      <c r="A779" s="136"/>
      <c r="B779" s="138"/>
      <c r="C779" s="34" t="s">
        <v>43</v>
      </c>
      <c r="D779" s="22">
        <v>30000</v>
      </c>
      <c r="E779" s="22"/>
      <c r="F779" s="22"/>
      <c r="G779" s="22"/>
      <c r="H779" s="22"/>
      <c r="I779" s="22"/>
      <c r="J779" s="22"/>
      <c r="K779" s="22"/>
      <c r="L779" s="22"/>
      <c r="M779" s="22">
        <f t="shared" si="185"/>
        <v>30000</v>
      </c>
      <c r="N779" s="22"/>
      <c r="O779" s="22"/>
      <c r="P779" s="22"/>
      <c r="Q779" s="22"/>
      <c r="R779" s="22"/>
      <c r="S779" s="22"/>
      <c r="T779" s="22">
        <f t="shared" si="166"/>
        <v>30000</v>
      </c>
      <c r="U779" s="35">
        <v>0</v>
      </c>
      <c r="V779" s="37">
        <f t="shared" si="184"/>
        <v>30000</v>
      </c>
    </row>
    <row r="780" spans="1:22" x14ac:dyDescent="0.25">
      <c r="A780" s="136"/>
      <c r="B780" s="138"/>
      <c r="C780" s="34" t="s">
        <v>53</v>
      </c>
      <c r="D780" s="22">
        <v>65000</v>
      </c>
      <c r="E780" s="22"/>
      <c r="F780" s="22">
        <v>336811</v>
      </c>
      <c r="G780" s="22"/>
      <c r="H780" s="22"/>
      <c r="I780" s="22"/>
      <c r="J780" s="22"/>
      <c r="K780" s="22"/>
      <c r="L780" s="22"/>
      <c r="M780" s="22">
        <f t="shared" si="185"/>
        <v>401811</v>
      </c>
      <c r="N780" s="22">
        <v>-11693</v>
      </c>
      <c r="O780" s="22"/>
      <c r="P780" s="22"/>
      <c r="Q780" s="22"/>
      <c r="R780" s="22"/>
      <c r="S780" s="22"/>
      <c r="T780" s="22">
        <f t="shared" ref="T780:T831" si="186">SUM(M780:S780)</f>
        <v>390118</v>
      </c>
      <c r="U780" s="35">
        <v>211922</v>
      </c>
      <c r="V780" s="37">
        <f t="shared" si="184"/>
        <v>178196</v>
      </c>
    </row>
    <row r="781" spans="1:22" x14ac:dyDescent="0.25">
      <c r="A781" s="136"/>
      <c r="B781" s="138"/>
      <c r="C781" s="34" t="s">
        <v>54</v>
      </c>
      <c r="D781" s="22">
        <v>39828</v>
      </c>
      <c r="E781" s="22"/>
      <c r="F781" s="22"/>
      <c r="G781" s="22"/>
      <c r="H781" s="22"/>
      <c r="I781" s="22"/>
      <c r="J781" s="22"/>
      <c r="K781" s="22"/>
      <c r="L781" s="22"/>
      <c r="M781" s="22">
        <f t="shared" si="185"/>
        <v>39828</v>
      </c>
      <c r="N781" s="22">
        <v>11693</v>
      </c>
      <c r="O781" s="22"/>
      <c r="P781" s="22"/>
      <c r="Q781" s="22"/>
      <c r="R781" s="22"/>
      <c r="S781" s="22"/>
      <c r="T781" s="22">
        <f t="shared" si="186"/>
        <v>51521</v>
      </c>
      <c r="U781" s="35">
        <v>38245</v>
      </c>
      <c r="V781" s="37">
        <f t="shared" si="184"/>
        <v>13276</v>
      </c>
    </row>
    <row r="782" spans="1:22" x14ac:dyDescent="0.25">
      <c r="A782" s="136"/>
      <c r="B782" s="138"/>
      <c r="C782" s="34" t="s">
        <v>55</v>
      </c>
      <c r="D782" s="22">
        <v>94800</v>
      </c>
      <c r="E782" s="22"/>
      <c r="F782" s="22"/>
      <c r="G782" s="22"/>
      <c r="H782" s="22"/>
      <c r="I782" s="22"/>
      <c r="J782" s="22"/>
      <c r="K782" s="22"/>
      <c r="L782" s="22"/>
      <c r="M782" s="22">
        <f t="shared" si="185"/>
        <v>94800</v>
      </c>
      <c r="N782" s="22"/>
      <c r="O782" s="22"/>
      <c r="P782" s="22"/>
      <c r="Q782" s="22"/>
      <c r="R782" s="22"/>
      <c r="S782" s="22"/>
      <c r="T782" s="22">
        <f t="shared" si="186"/>
        <v>94800</v>
      </c>
      <c r="U782" s="35">
        <v>51783</v>
      </c>
      <c r="V782" s="37">
        <f t="shared" si="184"/>
        <v>43017</v>
      </c>
    </row>
    <row r="783" spans="1:22" x14ac:dyDescent="0.25">
      <c r="A783" s="136"/>
      <c r="B783" s="138"/>
      <c r="C783" s="34" t="s">
        <v>62</v>
      </c>
      <c r="D783" s="22">
        <v>0</v>
      </c>
      <c r="E783" s="22"/>
      <c r="F783" s="22"/>
      <c r="G783" s="22"/>
      <c r="H783" s="22"/>
      <c r="I783" s="22"/>
      <c r="J783" s="22"/>
      <c r="K783" s="22"/>
      <c r="L783" s="22"/>
      <c r="M783" s="22">
        <f t="shared" si="185"/>
        <v>0</v>
      </c>
      <c r="N783" s="22"/>
      <c r="O783" s="22"/>
      <c r="P783" s="22"/>
      <c r="Q783" s="22"/>
      <c r="R783" s="22"/>
      <c r="S783" s="22"/>
      <c r="T783" s="22">
        <f t="shared" si="186"/>
        <v>0</v>
      </c>
      <c r="U783" s="35">
        <v>0</v>
      </c>
      <c r="V783" s="37">
        <f t="shared" si="184"/>
        <v>0</v>
      </c>
    </row>
    <row r="784" spans="1:22" x14ac:dyDescent="0.25">
      <c r="A784" s="136"/>
      <c r="B784" s="138"/>
      <c r="C784" s="34" t="s">
        <v>57</v>
      </c>
      <c r="D784" s="25">
        <v>14000</v>
      </c>
      <c r="E784" s="25"/>
      <c r="F784" s="22">
        <v>50000</v>
      </c>
      <c r="G784" s="22"/>
      <c r="H784" s="22"/>
      <c r="I784" s="22"/>
      <c r="J784" s="22"/>
      <c r="K784" s="22"/>
      <c r="L784" s="22"/>
      <c r="M784" s="22">
        <f t="shared" si="185"/>
        <v>64000</v>
      </c>
      <c r="N784" s="22"/>
      <c r="O784" s="22"/>
      <c r="P784" s="22"/>
      <c r="Q784" s="22"/>
      <c r="R784" s="22"/>
      <c r="S784" s="22"/>
      <c r="T784" s="22">
        <f t="shared" si="186"/>
        <v>64000</v>
      </c>
      <c r="U784" s="35">
        <v>2460</v>
      </c>
      <c r="V784" s="37">
        <f t="shared" si="184"/>
        <v>61540</v>
      </c>
    </row>
    <row r="785" spans="1:22" x14ac:dyDescent="0.25">
      <c r="A785" s="136"/>
      <c r="B785" s="138"/>
      <c r="C785" s="34" t="s">
        <v>44</v>
      </c>
      <c r="D785" s="22">
        <v>42000</v>
      </c>
      <c r="E785" s="22"/>
      <c r="F785" s="22"/>
      <c r="G785" s="22"/>
      <c r="H785" s="22"/>
      <c r="I785" s="22"/>
      <c r="J785" s="22"/>
      <c r="K785" s="22"/>
      <c r="L785" s="22"/>
      <c r="M785" s="22">
        <f t="shared" si="185"/>
        <v>42000</v>
      </c>
      <c r="N785" s="22"/>
      <c r="O785" s="22"/>
      <c r="P785" s="22"/>
      <c r="Q785" s="22"/>
      <c r="R785" s="22"/>
      <c r="S785" s="22"/>
      <c r="T785" s="22">
        <f t="shared" si="186"/>
        <v>42000</v>
      </c>
      <c r="U785" s="35">
        <v>8400</v>
      </c>
      <c r="V785" s="37">
        <f t="shared" si="184"/>
        <v>33600</v>
      </c>
    </row>
    <row r="786" spans="1:22" x14ac:dyDescent="0.25">
      <c r="A786" s="136"/>
      <c r="B786" s="138"/>
      <c r="C786" s="34" t="s">
        <v>58</v>
      </c>
      <c r="D786" s="22">
        <v>20000</v>
      </c>
      <c r="E786" s="22"/>
      <c r="F786" s="25"/>
      <c r="G786" s="22"/>
      <c r="H786" s="25"/>
      <c r="I786" s="25"/>
      <c r="J786" s="22"/>
      <c r="K786" s="22"/>
      <c r="L786" s="22"/>
      <c r="M786" s="22">
        <f t="shared" si="185"/>
        <v>20000</v>
      </c>
      <c r="N786" s="22"/>
      <c r="O786" s="22"/>
      <c r="P786" s="22"/>
      <c r="Q786" s="22"/>
      <c r="R786" s="22"/>
      <c r="S786" s="22"/>
      <c r="T786" s="22">
        <f t="shared" si="186"/>
        <v>20000</v>
      </c>
      <c r="U786" s="35">
        <v>20000</v>
      </c>
      <c r="V786" s="37">
        <f t="shared" si="184"/>
        <v>0</v>
      </c>
    </row>
    <row r="787" spans="1:22" x14ac:dyDescent="0.25">
      <c r="A787" s="136"/>
      <c r="B787" s="138"/>
      <c r="C787" s="34" t="s">
        <v>59</v>
      </c>
      <c r="D787" s="22">
        <v>35000</v>
      </c>
      <c r="E787" s="22"/>
      <c r="F787" s="25"/>
      <c r="G787" s="22"/>
      <c r="H787" s="22"/>
      <c r="I787" s="22"/>
      <c r="J787" s="22"/>
      <c r="K787" s="22"/>
      <c r="L787" s="22"/>
      <c r="M787" s="22">
        <f>D787+E787+F787+G787+H787+J787+I787+K787+L787</f>
        <v>35000</v>
      </c>
      <c r="N787" s="22"/>
      <c r="O787" s="22"/>
      <c r="P787" s="22"/>
      <c r="Q787" s="22"/>
      <c r="R787" s="22"/>
      <c r="S787" s="22"/>
      <c r="T787" s="22">
        <f t="shared" si="186"/>
        <v>35000</v>
      </c>
      <c r="U787" s="35">
        <v>0</v>
      </c>
      <c r="V787" s="37">
        <f t="shared" si="184"/>
        <v>35000</v>
      </c>
    </row>
    <row r="788" spans="1:22" x14ac:dyDescent="0.25">
      <c r="A788" s="136"/>
      <c r="B788" s="138"/>
      <c r="C788" s="34" t="s">
        <v>45</v>
      </c>
      <c r="D788" s="22">
        <v>50417</v>
      </c>
      <c r="E788" s="22"/>
      <c r="F788" s="25">
        <v>104439</v>
      </c>
      <c r="G788" s="22"/>
      <c r="H788" s="22"/>
      <c r="I788" s="22"/>
      <c r="J788" s="22"/>
      <c r="K788" s="22"/>
      <c r="L788" s="22"/>
      <c r="M788" s="22">
        <f>D788+E788+F788+G788+H788+J788+I788</f>
        <v>154856</v>
      </c>
      <c r="N788" s="22"/>
      <c r="O788" s="22"/>
      <c r="P788" s="22"/>
      <c r="Q788" s="22"/>
      <c r="R788" s="22"/>
      <c r="S788" s="22"/>
      <c r="T788" s="22">
        <f t="shared" si="186"/>
        <v>154856</v>
      </c>
      <c r="U788" s="35">
        <v>72981</v>
      </c>
      <c r="V788" s="37">
        <f t="shared" si="184"/>
        <v>81875</v>
      </c>
    </row>
    <row r="789" spans="1:22" x14ac:dyDescent="0.25">
      <c r="A789" s="136"/>
      <c r="B789" s="138"/>
      <c r="C789" s="34" t="s">
        <v>60</v>
      </c>
      <c r="D789" s="22">
        <v>42709</v>
      </c>
      <c r="E789" s="25"/>
      <c r="F789" s="25"/>
      <c r="G789" s="22"/>
      <c r="H789" s="22"/>
      <c r="I789" s="22"/>
      <c r="J789" s="22"/>
      <c r="K789" s="22"/>
      <c r="L789" s="22"/>
      <c r="M789" s="22">
        <f>D789+E789+F789+G789+H789+J789+I789</f>
        <v>42709</v>
      </c>
      <c r="N789" s="22"/>
      <c r="O789" s="22"/>
      <c r="P789" s="22"/>
      <c r="Q789" s="22"/>
      <c r="R789" s="22"/>
      <c r="S789" s="22"/>
      <c r="T789" s="22">
        <f t="shared" si="186"/>
        <v>42709</v>
      </c>
      <c r="U789" s="35">
        <v>42709</v>
      </c>
      <c r="V789" s="37">
        <f t="shared" si="184"/>
        <v>0</v>
      </c>
    </row>
    <row r="790" spans="1:22" x14ac:dyDescent="0.25">
      <c r="A790" s="136"/>
      <c r="B790" s="138"/>
      <c r="C790" s="83" t="s">
        <v>46</v>
      </c>
      <c r="D790" s="84">
        <f>SUM(D779:D789)</f>
        <v>433754</v>
      </c>
      <c r="E790" s="84">
        <f t="shared" ref="E790:U790" si="187">SUM(E779:E789)</f>
        <v>0</v>
      </c>
      <c r="F790" s="84">
        <f t="shared" si="187"/>
        <v>491250</v>
      </c>
      <c r="G790" s="84">
        <f t="shared" si="187"/>
        <v>0</v>
      </c>
      <c r="H790" s="84">
        <f t="shared" si="187"/>
        <v>0</v>
      </c>
      <c r="I790" s="84">
        <f t="shared" si="187"/>
        <v>0</v>
      </c>
      <c r="J790" s="84">
        <f t="shared" si="187"/>
        <v>0</v>
      </c>
      <c r="K790" s="84">
        <f t="shared" si="187"/>
        <v>0</v>
      </c>
      <c r="L790" s="84">
        <f t="shared" si="187"/>
        <v>0</v>
      </c>
      <c r="M790" s="84">
        <f t="shared" si="187"/>
        <v>925004</v>
      </c>
      <c r="N790" s="84">
        <f t="shared" si="187"/>
        <v>0</v>
      </c>
      <c r="O790" s="84">
        <f t="shared" si="187"/>
        <v>0</v>
      </c>
      <c r="P790" s="84">
        <f t="shared" si="187"/>
        <v>0</v>
      </c>
      <c r="Q790" s="84">
        <f t="shared" si="187"/>
        <v>0</v>
      </c>
      <c r="R790" s="84"/>
      <c r="S790" s="84"/>
      <c r="T790" s="84">
        <f t="shared" si="186"/>
        <v>925004</v>
      </c>
      <c r="U790" s="85">
        <f t="shared" si="187"/>
        <v>448500</v>
      </c>
      <c r="V790" s="86">
        <f t="shared" si="184"/>
        <v>476504</v>
      </c>
    </row>
    <row r="791" spans="1:22" x14ac:dyDescent="0.25">
      <c r="A791" s="136"/>
      <c r="B791" s="138" t="s">
        <v>21</v>
      </c>
      <c r="C791" s="34" t="s">
        <v>65</v>
      </c>
      <c r="D791" s="22">
        <v>1450000</v>
      </c>
      <c r="E791" s="108"/>
      <c r="F791" s="108"/>
      <c r="G791" s="108"/>
      <c r="H791" s="108"/>
      <c r="I791" s="108"/>
      <c r="J791" s="108"/>
      <c r="K791" s="108"/>
      <c r="L791" s="108"/>
      <c r="M791" s="22">
        <f>D791+E791+F791+G791+H791+J791+I791</f>
        <v>1450000</v>
      </c>
      <c r="N791" s="22"/>
      <c r="O791" s="22"/>
      <c r="P791" s="22"/>
      <c r="Q791" s="22"/>
      <c r="R791" s="22"/>
      <c r="S791" s="22"/>
      <c r="T791" s="22">
        <f t="shared" si="186"/>
        <v>1450000</v>
      </c>
      <c r="U791" s="35">
        <v>918585</v>
      </c>
      <c r="V791" s="37">
        <f t="shared" si="184"/>
        <v>531415</v>
      </c>
    </row>
    <row r="792" spans="1:22" x14ac:dyDescent="0.25">
      <c r="A792" s="136"/>
      <c r="B792" s="138"/>
      <c r="C792" s="34" t="s">
        <v>52</v>
      </c>
      <c r="D792" s="22">
        <v>300000</v>
      </c>
      <c r="E792" s="108"/>
      <c r="F792" s="108"/>
      <c r="G792" s="108"/>
      <c r="H792" s="108"/>
      <c r="I792" s="108"/>
      <c r="J792" s="108"/>
      <c r="K792" s="108"/>
      <c r="L792" s="108"/>
      <c r="M792" s="22">
        <f>D792+E792+F792+G792+H792+J792+I792</f>
        <v>300000</v>
      </c>
      <c r="N792" s="22"/>
      <c r="O792" s="22"/>
      <c r="P792" s="22"/>
      <c r="Q792" s="22"/>
      <c r="R792" s="22"/>
      <c r="S792" s="22"/>
      <c r="T792" s="22">
        <f t="shared" si="186"/>
        <v>300000</v>
      </c>
      <c r="U792" s="35">
        <v>200000</v>
      </c>
      <c r="V792" s="37">
        <f t="shared" si="184"/>
        <v>100000</v>
      </c>
    </row>
    <row r="793" spans="1:22" x14ac:dyDescent="0.25">
      <c r="A793" s="136"/>
      <c r="B793" s="138"/>
      <c r="C793" s="83" t="s">
        <v>41</v>
      </c>
      <c r="D793" s="84">
        <f>SUM(D791:D792)</f>
        <v>1750000</v>
      </c>
      <c r="E793" s="84">
        <f t="shared" ref="E793:U793" si="188">SUM(E791:E792)</f>
        <v>0</v>
      </c>
      <c r="F793" s="84">
        <f t="shared" si="188"/>
        <v>0</v>
      </c>
      <c r="G793" s="84">
        <f t="shared" si="188"/>
        <v>0</v>
      </c>
      <c r="H793" s="84">
        <f t="shared" si="188"/>
        <v>0</v>
      </c>
      <c r="I793" s="84">
        <f t="shared" si="188"/>
        <v>0</v>
      </c>
      <c r="J793" s="84">
        <f t="shared" si="188"/>
        <v>0</v>
      </c>
      <c r="K793" s="84">
        <f t="shared" si="188"/>
        <v>0</v>
      </c>
      <c r="L793" s="84">
        <f t="shared" si="188"/>
        <v>0</v>
      </c>
      <c r="M793" s="84">
        <f t="shared" si="188"/>
        <v>1750000</v>
      </c>
      <c r="N793" s="84">
        <f t="shared" si="188"/>
        <v>0</v>
      </c>
      <c r="O793" s="84">
        <f t="shared" si="188"/>
        <v>0</v>
      </c>
      <c r="P793" s="84">
        <f t="shared" si="188"/>
        <v>0</v>
      </c>
      <c r="Q793" s="84">
        <f t="shared" si="188"/>
        <v>0</v>
      </c>
      <c r="R793" s="84"/>
      <c r="S793" s="84"/>
      <c r="T793" s="84">
        <f t="shared" si="186"/>
        <v>1750000</v>
      </c>
      <c r="U793" s="85">
        <f t="shared" si="188"/>
        <v>1118585</v>
      </c>
      <c r="V793" s="86">
        <f t="shared" si="184"/>
        <v>631415</v>
      </c>
    </row>
    <row r="794" spans="1:22" x14ac:dyDescent="0.25">
      <c r="A794" s="136"/>
      <c r="B794" s="138"/>
      <c r="C794" s="87" t="s">
        <v>42</v>
      </c>
      <c r="D794" s="88">
        <v>272546</v>
      </c>
      <c r="E794" s="88"/>
      <c r="F794" s="88"/>
      <c r="G794" s="88"/>
      <c r="H794" s="88"/>
      <c r="I794" s="88"/>
      <c r="J794" s="88"/>
      <c r="K794" s="88"/>
      <c r="L794" s="88"/>
      <c r="M794" s="89">
        <f t="shared" ref="M794:M799" si="189">D794+E794+F794+G794+H794+J794+I794</f>
        <v>272546</v>
      </c>
      <c r="N794" s="89"/>
      <c r="O794" s="89"/>
      <c r="P794" s="89"/>
      <c r="Q794" s="89"/>
      <c r="R794" s="89"/>
      <c r="S794" s="89"/>
      <c r="T794" s="89">
        <f t="shared" si="186"/>
        <v>272546</v>
      </c>
      <c r="U794" s="90">
        <v>162086</v>
      </c>
      <c r="V794" s="91">
        <f t="shared" si="184"/>
        <v>110460</v>
      </c>
    </row>
    <row r="795" spans="1:22" x14ac:dyDescent="0.25">
      <c r="A795" s="136"/>
      <c r="B795" s="138"/>
      <c r="C795" s="34" t="s">
        <v>43</v>
      </c>
      <c r="D795" s="22">
        <v>15000</v>
      </c>
      <c r="E795" s="22"/>
      <c r="F795" s="22"/>
      <c r="G795" s="22"/>
      <c r="H795" s="22"/>
      <c r="I795" s="22"/>
      <c r="J795" s="22"/>
      <c r="K795" s="22"/>
      <c r="L795" s="22"/>
      <c r="M795" s="22">
        <f t="shared" si="189"/>
        <v>15000</v>
      </c>
      <c r="N795" s="22"/>
      <c r="O795" s="22"/>
      <c r="P795" s="22"/>
      <c r="Q795" s="22"/>
      <c r="R795" s="22"/>
      <c r="S795" s="22"/>
      <c r="T795" s="22">
        <f t="shared" si="186"/>
        <v>15000</v>
      </c>
      <c r="U795" s="35">
        <v>0</v>
      </c>
      <c r="V795" s="37">
        <f t="shared" si="184"/>
        <v>15000</v>
      </c>
    </row>
    <row r="796" spans="1:22" x14ac:dyDescent="0.25">
      <c r="A796" s="136"/>
      <c r="B796" s="138"/>
      <c r="C796" s="34" t="s">
        <v>53</v>
      </c>
      <c r="D796" s="22">
        <v>0</v>
      </c>
      <c r="E796" s="22"/>
      <c r="F796" s="22"/>
      <c r="G796" s="22"/>
      <c r="H796" s="22"/>
      <c r="I796" s="22"/>
      <c r="J796" s="22"/>
      <c r="K796" s="22"/>
      <c r="L796" s="22"/>
      <c r="M796" s="22">
        <f t="shared" si="189"/>
        <v>0</v>
      </c>
      <c r="N796" s="22"/>
      <c r="O796" s="22"/>
      <c r="P796" s="22"/>
      <c r="Q796" s="22"/>
      <c r="R796" s="22"/>
      <c r="S796" s="22"/>
      <c r="T796" s="22">
        <f t="shared" si="186"/>
        <v>0</v>
      </c>
      <c r="U796" s="35">
        <v>0</v>
      </c>
      <c r="V796" s="37">
        <f t="shared" si="184"/>
        <v>0</v>
      </c>
    </row>
    <row r="797" spans="1:22" x14ac:dyDescent="0.25">
      <c r="A797" s="136"/>
      <c r="B797" s="138"/>
      <c r="C797" s="34" t="s">
        <v>55</v>
      </c>
      <c r="D797" s="22">
        <v>21600</v>
      </c>
      <c r="E797" s="22"/>
      <c r="F797" s="22"/>
      <c r="G797" s="22"/>
      <c r="H797" s="22"/>
      <c r="I797" s="22"/>
      <c r="J797" s="22"/>
      <c r="K797" s="22"/>
      <c r="L797" s="22"/>
      <c r="M797" s="22">
        <f t="shared" si="189"/>
        <v>21600</v>
      </c>
      <c r="N797" s="22"/>
      <c r="O797" s="22"/>
      <c r="P797" s="22"/>
      <c r="Q797" s="22"/>
      <c r="R797" s="22"/>
      <c r="S797" s="22"/>
      <c r="T797" s="22">
        <f t="shared" si="186"/>
        <v>21600</v>
      </c>
      <c r="U797" s="35">
        <v>6208</v>
      </c>
      <c r="V797" s="37">
        <f t="shared" si="184"/>
        <v>15392</v>
      </c>
    </row>
    <row r="798" spans="1:22" x14ac:dyDescent="0.25">
      <c r="A798" s="136"/>
      <c r="B798" s="138"/>
      <c r="C798" s="34" t="s">
        <v>62</v>
      </c>
      <c r="D798" s="22">
        <v>612000</v>
      </c>
      <c r="E798" s="22"/>
      <c r="F798" s="22"/>
      <c r="G798" s="22"/>
      <c r="H798" s="22"/>
      <c r="I798" s="22"/>
      <c r="J798" s="22"/>
      <c r="K798" s="22"/>
      <c r="L798" s="22"/>
      <c r="M798" s="22">
        <f t="shared" si="189"/>
        <v>612000</v>
      </c>
      <c r="N798" s="22"/>
      <c r="O798" s="22"/>
      <c r="P798" s="22"/>
      <c r="Q798" s="22"/>
      <c r="R798" s="22"/>
      <c r="S798" s="22"/>
      <c r="T798" s="22">
        <f t="shared" si="186"/>
        <v>612000</v>
      </c>
      <c r="U798" s="35">
        <v>327000</v>
      </c>
      <c r="V798" s="37">
        <f t="shared" si="184"/>
        <v>285000</v>
      </c>
    </row>
    <row r="799" spans="1:22" x14ac:dyDescent="0.25">
      <c r="A799" s="136"/>
      <c r="B799" s="138"/>
      <c r="C799" s="34" t="s">
        <v>57</v>
      </c>
      <c r="D799" s="25">
        <v>75000</v>
      </c>
      <c r="E799" s="22"/>
      <c r="F799" s="22"/>
      <c r="G799" s="22"/>
      <c r="H799" s="22"/>
      <c r="I799" s="22"/>
      <c r="J799" s="22"/>
      <c r="K799" s="22"/>
      <c r="L799" s="22"/>
      <c r="M799" s="22">
        <f t="shared" si="189"/>
        <v>75000</v>
      </c>
      <c r="N799" s="22"/>
      <c r="O799" s="22"/>
      <c r="P799" s="22"/>
      <c r="Q799" s="22"/>
      <c r="R799" s="22"/>
      <c r="S799" s="22"/>
      <c r="T799" s="22">
        <f t="shared" si="186"/>
        <v>75000</v>
      </c>
      <c r="U799" s="35">
        <v>30000</v>
      </c>
      <c r="V799" s="39">
        <f t="shared" si="184"/>
        <v>45000</v>
      </c>
    </row>
    <row r="800" spans="1:22" x14ac:dyDescent="0.25">
      <c r="A800" s="136"/>
      <c r="B800" s="138"/>
      <c r="C800" s="34" t="s">
        <v>64</v>
      </c>
      <c r="D800" s="22">
        <v>12000</v>
      </c>
      <c r="E800" s="22"/>
      <c r="F800" s="22"/>
      <c r="G800" s="22"/>
      <c r="H800" s="22"/>
      <c r="I800" s="22"/>
      <c r="J800" s="22"/>
      <c r="K800" s="22"/>
      <c r="L800" s="22"/>
      <c r="M800" s="22">
        <f>D800+E800+F800+G800+H800+J800+I800+K800+L800</f>
        <v>12000</v>
      </c>
      <c r="N800" s="22"/>
      <c r="O800" s="22"/>
      <c r="P800" s="22"/>
      <c r="Q800" s="22"/>
      <c r="R800" s="22"/>
      <c r="S800" s="22"/>
      <c r="T800" s="22">
        <f t="shared" si="186"/>
        <v>12000</v>
      </c>
      <c r="U800" s="35">
        <v>12000</v>
      </c>
      <c r="V800" s="37">
        <f t="shared" si="184"/>
        <v>0</v>
      </c>
    </row>
    <row r="801" spans="1:22" x14ac:dyDescent="0.25">
      <c r="A801" s="136"/>
      <c r="B801" s="138"/>
      <c r="C801" s="34" t="s">
        <v>58</v>
      </c>
      <c r="D801" s="22">
        <v>20000</v>
      </c>
      <c r="E801" s="22"/>
      <c r="F801" s="22"/>
      <c r="G801" s="22"/>
      <c r="H801" s="22"/>
      <c r="I801" s="22"/>
      <c r="J801" s="22"/>
      <c r="K801" s="22"/>
      <c r="L801" s="22"/>
      <c r="M801" s="22">
        <f>D801+E801+F801+G801+H801+J801+I801</f>
        <v>20000</v>
      </c>
      <c r="N801" s="22"/>
      <c r="O801" s="22"/>
      <c r="P801" s="22"/>
      <c r="Q801" s="22"/>
      <c r="R801" s="22"/>
      <c r="S801" s="22"/>
      <c r="T801" s="22">
        <f t="shared" si="186"/>
        <v>20000</v>
      </c>
      <c r="U801" s="35">
        <v>19000</v>
      </c>
      <c r="V801" s="39">
        <f t="shared" si="184"/>
        <v>1000</v>
      </c>
    </row>
    <row r="802" spans="1:22" x14ac:dyDescent="0.25">
      <c r="A802" s="136"/>
      <c r="B802" s="138"/>
      <c r="C802" s="34" t="s">
        <v>45</v>
      </c>
      <c r="D802" s="22">
        <v>200712</v>
      </c>
      <c r="E802" s="22"/>
      <c r="F802" s="22"/>
      <c r="G802" s="22"/>
      <c r="H802" s="22"/>
      <c r="I802" s="22"/>
      <c r="J802" s="22"/>
      <c r="K802" s="22"/>
      <c r="L802" s="22"/>
      <c r="M802" s="22">
        <f>D802+E802+F802+G802+H802+J802+I802</f>
        <v>200712</v>
      </c>
      <c r="N802" s="22"/>
      <c r="O802" s="22"/>
      <c r="P802" s="22"/>
      <c r="Q802" s="22"/>
      <c r="R802" s="22"/>
      <c r="S802" s="22"/>
      <c r="T802" s="22">
        <f t="shared" si="186"/>
        <v>200712</v>
      </c>
      <c r="U802" s="35">
        <v>106032</v>
      </c>
      <c r="V802" s="37">
        <f t="shared" si="184"/>
        <v>94680</v>
      </c>
    </row>
    <row r="803" spans="1:22" x14ac:dyDescent="0.25">
      <c r="A803" s="136"/>
      <c r="B803" s="138"/>
      <c r="C803" s="83" t="s">
        <v>46</v>
      </c>
      <c r="D803" s="84">
        <f>SUM(D795:D802)</f>
        <v>956312</v>
      </c>
      <c r="E803" s="84">
        <f t="shared" ref="E803:U803" si="190">SUM(E795:E802)</f>
        <v>0</v>
      </c>
      <c r="F803" s="84">
        <f t="shared" si="190"/>
        <v>0</v>
      </c>
      <c r="G803" s="84">
        <f t="shared" si="190"/>
        <v>0</v>
      </c>
      <c r="H803" s="84">
        <f t="shared" si="190"/>
        <v>0</v>
      </c>
      <c r="I803" s="84">
        <f t="shared" si="190"/>
        <v>0</v>
      </c>
      <c r="J803" s="84">
        <f t="shared" si="190"/>
        <v>0</v>
      </c>
      <c r="K803" s="84">
        <f t="shared" si="190"/>
        <v>0</v>
      </c>
      <c r="L803" s="84">
        <f t="shared" si="190"/>
        <v>0</v>
      </c>
      <c r="M803" s="84">
        <f t="shared" si="190"/>
        <v>956312</v>
      </c>
      <c r="N803" s="84">
        <f t="shared" si="190"/>
        <v>0</v>
      </c>
      <c r="O803" s="84">
        <f t="shared" si="190"/>
        <v>0</v>
      </c>
      <c r="P803" s="84">
        <f t="shared" si="190"/>
        <v>0</v>
      </c>
      <c r="Q803" s="84">
        <f t="shared" si="190"/>
        <v>0</v>
      </c>
      <c r="R803" s="84"/>
      <c r="S803" s="84"/>
      <c r="T803" s="84">
        <f t="shared" si="186"/>
        <v>956312</v>
      </c>
      <c r="U803" s="85">
        <f t="shared" si="190"/>
        <v>500240</v>
      </c>
      <c r="V803" s="86">
        <f t="shared" si="184"/>
        <v>456072</v>
      </c>
    </row>
    <row r="804" spans="1:22" x14ac:dyDescent="0.25">
      <c r="A804" s="136" t="s">
        <v>109</v>
      </c>
      <c r="B804" s="138" t="s">
        <v>18</v>
      </c>
      <c r="C804" s="34" t="s">
        <v>40</v>
      </c>
      <c r="D804" s="22">
        <v>1565856</v>
      </c>
      <c r="E804" s="22"/>
      <c r="F804" s="22"/>
      <c r="G804" s="22"/>
      <c r="H804" s="22"/>
      <c r="I804" s="22"/>
      <c r="J804" s="22"/>
      <c r="K804" s="22"/>
      <c r="L804" s="22"/>
      <c r="M804" s="22">
        <f>D804+E804+F804+G804+H804+J804+I804</f>
        <v>1565856</v>
      </c>
      <c r="N804" s="22"/>
      <c r="O804" s="22"/>
      <c r="P804" s="22"/>
      <c r="Q804" s="22"/>
      <c r="R804" s="22"/>
      <c r="S804" s="22"/>
      <c r="T804" s="22">
        <f t="shared" si="186"/>
        <v>1565856</v>
      </c>
      <c r="U804" s="35">
        <v>988156</v>
      </c>
      <c r="V804" s="37">
        <f t="shared" si="184"/>
        <v>577700</v>
      </c>
    </row>
    <row r="805" spans="1:22" x14ac:dyDescent="0.25">
      <c r="A805" s="136"/>
      <c r="B805" s="138"/>
      <c r="C805" s="34" t="s">
        <v>42</v>
      </c>
      <c r="D805" s="22">
        <v>242708</v>
      </c>
      <c r="E805" s="22"/>
      <c r="F805" s="22"/>
      <c r="G805" s="22"/>
      <c r="H805" s="22"/>
      <c r="I805" s="22"/>
      <c r="J805" s="22"/>
      <c r="K805" s="22"/>
      <c r="L805" s="22"/>
      <c r="M805" s="22">
        <f>D805+E805+F805+G805+H805+J805+I805+K805</f>
        <v>242708</v>
      </c>
      <c r="N805" s="22"/>
      <c r="O805" s="22"/>
      <c r="P805" s="22"/>
      <c r="Q805" s="22"/>
      <c r="R805" s="22"/>
      <c r="S805" s="22"/>
      <c r="T805" s="22">
        <f t="shared" si="186"/>
        <v>242708</v>
      </c>
      <c r="U805" s="35">
        <v>149472</v>
      </c>
      <c r="V805" s="37">
        <f t="shared" si="184"/>
        <v>93236</v>
      </c>
    </row>
    <row r="806" spans="1:22" x14ac:dyDescent="0.25">
      <c r="A806" s="140" t="s">
        <v>132</v>
      </c>
      <c r="B806" s="141"/>
      <c r="C806" s="142"/>
      <c r="D806" s="96">
        <f>SUM(D765+D766+D769+D777+D778+D790+D793+D794+D803+D804+D805)</f>
        <v>17752303</v>
      </c>
      <c r="E806" s="97">
        <f t="shared" ref="E806:S806" si="191">SUM(E765,E766,E769,E777,E778,E790,E793,E794,E804,E803,E805)</f>
        <v>0</v>
      </c>
      <c r="F806" s="97">
        <f t="shared" si="191"/>
        <v>491250</v>
      </c>
      <c r="G806" s="97">
        <f t="shared" si="191"/>
        <v>0</v>
      </c>
      <c r="H806" s="97">
        <f t="shared" si="191"/>
        <v>0</v>
      </c>
      <c r="I806" s="97">
        <f t="shared" si="191"/>
        <v>0</v>
      </c>
      <c r="J806" s="97">
        <f t="shared" si="191"/>
        <v>0</v>
      </c>
      <c r="K806" s="97">
        <f t="shared" si="191"/>
        <v>0</v>
      </c>
      <c r="L806" s="97">
        <f t="shared" si="191"/>
        <v>0</v>
      </c>
      <c r="M806" s="97">
        <f t="shared" si="191"/>
        <v>18243553</v>
      </c>
      <c r="N806" s="97">
        <f t="shared" si="191"/>
        <v>0</v>
      </c>
      <c r="O806" s="97">
        <f t="shared" si="191"/>
        <v>-491550</v>
      </c>
      <c r="P806" s="97">
        <f t="shared" si="191"/>
        <v>0</v>
      </c>
      <c r="Q806" s="97">
        <f t="shared" si="191"/>
        <v>0</v>
      </c>
      <c r="R806" s="97">
        <f t="shared" si="191"/>
        <v>0</v>
      </c>
      <c r="S806" s="97">
        <f t="shared" si="191"/>
        <v>0</v>
      </c>
      <c r="T806" s="97">
        <f t="shared" si="186"/>
        <v>17752003</v>
      </c>
      <c r="U806" s="98">
        <f>SUM(U765,U766,U769,U777,U778,U790,U793,U794,U804,U803,U805)</f>
        <v>10641317</v>
      </c>
      <c r="V806" s="99">
        <f t="shared" si="184"/>
        <v>7110686</v>
      </c>
    </row>
    <row r="807" spans="1:22" x14ac:dyDescent="0.25">
      <c r="A807" s="137" t="s">
        <v>110</v>
      </c>
      <c r="B807" s="103" t="s">
        <v>6</v>
      </c>
      <c r="C807" s="34" t="s">
        <v>67</v>
      </c>
      <c r="D807" s="22">
        <v>0</v>
      </c>
      <c r="E807" s="22"/>
      <c r="F807" s="22"/>
      <c r="G807" s="22"/>
      <c r="H807" s="22"/>
      <c r="I807" s="22"/>
      <c r="J807" s="22"/>
      <c r="K807" s="22"/>
      <c r="L807" s="22"/>
      <c r="M807" s="22">
        <f t="shared" ref="M807:M812" si="192">D807+E807+F807+G807+H807+J807+I807</f>
        <v>0</v>
      </c>
      <c r="N807" s="22"/>
      <c r="O807" s="22"/>
      <c r="P807" s="22"/>
      <c r="Q807" s="22"/>
      <c r="R807" s="22"/>
      <c r="S807" s="22"/>
      <c r="T807" s="22">
        <f t="shared" si="186"/>
        <v>0</v>
      </c>
      <c r="U807" s="35">
        <v>0</v>
      </c>
      <c r="V807" s="37">
        <f t="shared" si="184"/>
        <v>0</v>
      </c>
    </row>
    <row r="808" spans="1:22" x14ac:dyDescent="0.25">
      <c r="A808" s="148"/>
      <c r="B808" s="138" t="s">
        <v>18</v>
      </c>
      <c r="C808" s="34" t="s">
        <v>40</v>
      </c>
      <c r="D808" s="22">
        <v>2336837</v>
      </c>
      <c r="E808" s="22">
        <v>-121316</v>
      </c>
      <c r="F808" s="25"/>
      <c r="G808" s="22"/>
      <c r="H808" s="22"/>
      <c r="I808" s="22"/>
      <c r="J808" s="22"/>
      <c r="K808" s="22"/>
      <c r="L808" s="22"/>
      <c r="M808" s="22">
        <f t="shared" si="192"/>
        <v>2215521</v>
      </c>
      <c r="N808" s="22"/>
      <c r="O808" s="22"/>
      <c r="P808" s="22"/>
      <c r="Q808" s="22"/>
      <c r="R808" s="22"/>
      <c r="S808" s="22"/>
      <c r="T808" s="22">
        <f t="shared" si="186"/>
        <v>2215521</v>
      </c>
      <c r="U808" s="35">
        <v>815223</v>
      </c>
      <c r="V808" s="37">
        <f t="shared" si="184"/>
        <v>1400298</v>
      </c>
    </row>
    <row r="809" spans="1:22" x14ac:dyDescent="0.25">
      <c r="A809" s="148"/>
      <c r="B809" s="138"/>
      <c r="C809" s="34" t="s">
        <v>47</v>
      </c>
      <c r="D809" s="22">
        <v>100000</v>
      </c>
      <c r="E809" s="22"/>
      <c r="F809" s="25"/>
      <c r="G809" s="22"/>
      <c r="H809" s="22"/>
      <c r="I809" s="22"/>
      <c r="J809" s="22"/>
      <c r="K809" s="22"/>
      <c r="L809" s="22"/>
      <c r="M809" s="22">
        <f t="shared" si="192"/>
        <v>100000</v>
      </c>
      <c r="N809" s="22"/>
      <c r="O809" s="22"/>
      <c r="P809" s="22"/>
      <c r="Q809" s="22"/>
      <c r="R809" s="22"/>
      <c r="S809" s="22"/>
      <c r="T809" s="22">
        <f t="shared" si="186"/>
        <v>100000</v>
      </c>
      <c r="U809" s="35">
        <v>50000</v>
      </c>
      <c r="V809" s="37">
        <f t="shared" si="184"/>
        <v>50000</v>
      </c>
    </row>
    <row r="810" spans="1:22" x14ac:dyDescent="0.25">
      <c r="A810" s="148"/>
      <c r="B810" s="138"/>
      <c r="C810" s="34" t="s">
        <v>48</v>
      </c>
      <c r="D810" s="22">
        <v>10000</v>
      </c>
      <c r="E810" s="22"/>
      <c r="F810" s="25"/>
      <c r="G810" s="22"/>
      <c r="H810" s="22"/>
      <c r="I810" s="22"/>
      <c r="J810" s="22"/>
      <c r="K810" s="22"/>
      <c r="L810" s="22"/>
      <c r="M810" s="22">
        <f t="shared" si="192"/>
        <v>10000</v>
      </c>
      <c r="N810" s="22"/>
      <c r="O810" s="22"/>
      <c r="P810" s="22"/>
      <c r="Q810" s="22"/>
      <c r="R810" s="22"/>
      <c r="S810" s="22"/>
      <c r="T810" s="22">
        <f t="shared" si="186"/>
        <v>10000</v>
      </c>
      <c r="U810" s="35">
        <v>0</v>
      </c>
      <c r="V810" s="37">
        <f t="shared" si="184"/>
        <v>10000</v>
      </c>
    </row>
    <row r="811" spans="1:22" x14ac:dyDescent="0.25">
      <c r="A811" s="148"/>
      <c r="B811" s="138"/>
      <c r="C811" s="34" t="s">
        <v>50</v>
      </c>
      <c r="D811" s="22">
        <v>12000</v>
      </c>
      <c r="E811" s="22"/>
      <c r="F811" s="25"/>
      <c r="G811" s="22"/>
      <c r="H811" s="22"/>
      <c r="I811" s="22"/>
      <c r="J811" s="22"/>
      <c r="K811" s="22"/>
      <c r="L811" s="22"/>
      <c r="M811" s="22">
        <f t="shared" si="192"/>
        <v>12000</v>
      </c>
      <c r="N811" s="22"/>
      <c r="O811" s="22"/>
      <c r="P811" s="22"/>
      <c r="Q811" s="22"/>
      <c r="R811" s="22"/>
      <c r="S811" s="22"/>
      <c r="T811" s="22">
        <f t="shared" si="186"/>
        <v>12000</v>
      </c>
      <c r="U811" s="35">
        <v>6000</v>
      </c>
      <c r="V811" s="37">
        <f t="shared" si="184"/>
        <v>6000</v>
      </c>
    </row>
    <row r="812" spans="1:22" x14ac:dyDescent="0.25">
      <c r="A812" s="148"/>
      <c r="B812" s="138"/>
      <c r="C812" s="34" t="s">
        <v>51</v>
      </c>
      <c r="D812" s="22">
        <v>0</v>
      </c>
      <c r="E812" s="22">
        <v>121316</v>
      </c>
      <c r="F812" s="25"/>
      <c r="G812" s="22"/>
      <c r="H812" s="22"/>
      <c r="I812" s="22"/>
      <c r="J812" s="22"/>
      <c r="K812" s="22"/>
      <c r="L812" s="22"/>
      <c r="M812" s="22">
        <f t="shared" si="192"/>
        <v>121316</v>
      </c>
      <c r="N812" s="22"/>
      <c r="O812" s="22"/>
      <c r="P812" s="22"/>
      <c r="Q812" s="22"/>
      <c r="R812" s="22"/>
      <c r="S812" s="22"/>
      <c r="T812" s="22">
        <f t="shared" si="186"/>
        <v>121316</v>
      </c>
      <c r="U812" s="35">
        <v>121316</v>
      </c>
      <c r="V812" s="37">
        <f t="shared" si="184"/>
        <v>0</v>
      </c>
    </row>
    <row r="813" spans="1:22" x14ac:dyDescent="0.25">
      <c r="A813" s="148"/>
      <c r="B813" s="138"/>
      <c r="C813" s="83" t="s">
        <v>41</v>
      </c>
      <c r="D813" s="84">
        <f>SUM(D808:D812)</f>
        <v>2458837</v>
      </c>
      <c r="E813" s="84">
        <f t="shared" ref="E813:U813" si="193">SUM(E808:E812)</f>
        <v>0</v>
      </c>
      <c r="F813" s="84">
        <f t="shared" si="193"/>
        <v>0</v>
      </c>
      <c r="G813" s="84">
        <f t="shared" si="193"/>
        <v>0</v>
      </c>
      <c r="H813" s="84">
        <f t="shared" si="193"/>
        <v>0</v>
      </c>
      <c r="I813" s="84">
        <f t="shared" si="193"/>
        <v>0</v>
      </c>
      <c r="J813" s="84">
        <f t="shared" si="193"/>
        <v>0</v>
      </c>
      <c r="K813" s="84">
        <f t="shared" si="193"/>
        <v>0</v>
      </c>
      <c r="L813" s="84">
        <f t="shared" si="193"/>
        <v>0</v>
      </c>
      <c r="M813" s="84">
        <f t="shared" si="193"/>
        <v>2458837</v>
      </c>
      <c r="N813" s="84">
        <f t="shared" si="193"/>
        <v>0</v>
      </c>
      <c r="O813" s="84">
        <f t="shared" si="193"/>
        <v>0</v>
      </c>
      <c r="P813" s="84">
        <f t="shared" si="193"/>
        <v>0</v>
      </c>
      <c r="Q813" s="84">
        <f t="shared" si="193"/>
        <v>0</v>
      </c>
      <c r="R813" s="84"/>
      <c r="S813" s="84"/>
      <c r="T813" s="84">
        <f t="shared" si="186"/>
        <v>2458837</v>
      </c>
      <c r="U813" s="85">
        <f t="shared" si="193"/>
        <v>992539</v>
      </c>
      <c r="V813" s="86">
        <f t="shared" si="184"/>
        <v>1466298</v>
      </c>
    </row>
    <row r="814" spans="1:22" x14ac:dyDescent="0.25">
      <c r="A814" s="148"/>
      <c r="B814" s="138"/>
      <c r="C814" s="87" t="s">
        <v>42</v>
      </c>
      <c r="D814" s="88">
        <v>388370</v>
      </c>
      <c r="E814" s="88"/>
      <c r="F814" s="88"/>
      <c r="G814" s="88"/>
      <c r="H814" s="88"/>
      <c r="I814" s="88"/>
      <c r="J814" s="88"/>
      <c r="K814" s="88"/>
      <c r="L814" s="88"/>
      <c r="M814" s="89">
        <f>D814+E814+F814+G814+H814+J814</f>
        <v>388370</v>
      </c>
      <c r="N814" s="89"/>
      <c r="O814" s="89"/>
      <c r="P814" s="89"/>
      <c r="Q814" s="89"/>
      <c r="R814" s="89"/>
      <c r="S814" s="89"/>
      <c r="T814" s="89">
        <f t="shared" si="186"/>
        <v>388370</v>
      </c>
      <c r="U814" s="90">
        <v>238890</v>
      </c>
      <c r="V814" s="91">
        <f t="shared" si="184"/>
        <v>149480</v>
      </c>
    </row>
    <row r="815" spans="1:22" x14ac:dyDescent="0.25">
      <c r="A815" s="148"/>
      <c r="B815" s="138"/>
      <c r="C815" s="34" t="s">
        <v>43</v>
      </c>
      <c r="D815" s="22">
        <v>15000</v>
      </c>
      <c r="E815" s="22"/>
      <c r="F815" s="22"/>
      <c r="G815" s="22"/>
      <c r="H815" s="22"/>
      <c r="I815" s="22"/>
      <c r="J815" s="22"/>
      <c r="K815" s="22"/>
      <c r="L815" s="22"/>
      <c r="M815" s="22">
        <f>D815+E815+F815+G815+H815+J815+I815</f>
        <v>15000</v>
      </c>
      <c r="N815" s="22"/>
      <c r="O815" s="22"/>
      <c r="P815" s="22"/>
      <c r="Q815" s="22"/>
      <c r="R815" s="22"/>
      <c r="S815" s="22"/>
      <c r="T815" s="22">
        <f t="shared" si="186"/>
        <v>15000</v>
      </c>
      <c r="U815" s="35">
        <v>0</v>
      </c>
      <c r="V815" s="37">
        <f t="shared" si="184"/>
        <v>15000</v>
      </c>
    </row>
    <row r="816" spans="1:22" x14ac:dyDescent="0.25">
      <c r="A816" s="148"/>
      <c r="B816" s="138"/>
      <c r="C816" s="34" t="s">
        <v>53</v>
      </c>
      <c r="D816" s="22">
        <v>35000</v>
      </c>
      <c r="E816" s="22"/>
      <c r="F816" s="22">
        <v>67362</v>
      </c>
      <c r="G816" s="22"/>
      <c r="H816" s="22"/>
      <c r="I816" s="22"/>
      <c r="J816" s="22"/>
      <c r="K816" s="22"/>
      <c r="L816" s="22"/>
      <c r="M816" s="22">
        <f>D816+E816+F816+G816+H816+J816+I816+K816+L816</f>
        <v>102362</v>
      </c>
      <c r="N816" s="22">
        <v>-10000</v>
      </c>
      <c r="O816" s="22"/>
      <c r="P816" s="22"/>
      <c r="Q816" s="22"/>
      <c r="R816" s="22"/>
      <c r="S816" s="22"/>
      <c r="T816" s="22">
        <f t="shared" si="186"/>
        <v>92362</v>
      </c>
      <c r="U816" s="35">
        <v>67362</v>
      </c>
      <c r="V816" s="37">
        <f t="shared" si="184"/>
        <v>25000</v>
      </c>
    </row>
    <row r="817" spans="1:22" x14ac:dyDescent="0.25">
      <c r="A817" s="148"/>
      <c r="B817" s="138"/>
      <c r="C817" s="75" t="s">
        <v>54</v>
      </c>
      <c r="D817" s="22">
        <v>0</v>
      </c>
      <c r="E817" s="22"/>
      <c r="F817" s="22"/>
      <c r="G817" s="22"/>
      <c r="H817" s="22"/>
      <c r="I817" s="22"/>
      <c r="J817" s="22"/>
      <c r="K817" s="22"/>
      <c r="L817" s="22"/>
      <c r="M817" s="22">
        <f t="shared" ref="M817:M823" si="194">D817+E817+F817+G817+H817+J817+I817</f>
        <v>0</v>
      </c>
      <c r="N817" s="22">
        <v>10000</v>
      </c>
      <c r="O817" s="22"/>
      <c r="P817" s="22"/>
      <c r="Q817" s="22"/>
      <c r="R817" s="22"/>
      <c r="S817" s="22"/>
      <c r="T817" s="22">
        <f t="shared" si="186"/>
        <v>10000</v>
      </c>
      <c r="U817" s="66">
        <v>10000</v>
      </c>
      <c r="V817" s="66">
        <f t="shared" si="184"/>
        <v>0</v>
      </c>
    </row>
    <row r="818" spans="1:22" x14ac:dyDescent="0.25">
      <c r="A818" s="148"/>
      <c r="B818" s="138"/>
      <c r="C818" s="75" t="s">
        <v>57</v>
      </c>
      <c r="D818" s="22"/>
      <c r="E818" s="22"/>
      <c r="F818" s="22">
        <v>10000</v>
      </c>
      <c r="G818" s="22"/>
      <c r="H818" s="22"/>
      <c r="I818" s="22"/>
      <c r="J818" s="22"/>
      <c r="K818" s="22"/>
      <c r="L818" s="22"/>
      <c r="M818" s="22">
        <f t="shared" si="194"/>
        <v>10000</v>
      </c>
      <c r="N818" s="22"/>
      <c r="O818" s="22"/>
      <c r="P818" s="22"/>
      <c r="Q818" s="22"/>
      <c r="R818" s="22"/>
      <c r="S818" s="22"/>
      <c r="T818" s="22">
        <f t="shared" si="186"/>
        <v>10000</v>
      </c>
      <c r="U818" s="66">
        <v>0</v>
      </c>
      <c r="V818" s="66">
        <f t="shared" si="184"/>
        <v>10000</v>
      </c>
    </row>
    <row r="819" spans="1:22" x14ac:dyDescent="0.25">
      <c r="A819" s="148"/>
      <c r="B819" s="138"/>
      <c r="C819" s="34" t="s">
        <v>44</v>
      </c>
      <c r="D819" s="22">
        <v>8400</v>
      </c>
      <c r="E819" s="22"/>
      <c r="F819" s="22"/>
      <c r="G819" s="22"/>
      <c r="H819" s="22"/>
      <c r="I819" s="22"/>
      <c r="J819" s="22"/>
      <c r="K819" s="22"/>
      <c r="L819" s="22"/>
      <c r="M819" s="22">
        <f t="shared" si="194"/>
        <v>8400</v>
      </c>
      <c r="N819" s="22"/>
      <c r="O819" s="22"/>
      <c r="P819" s="22"/>
      <c r="Q819" s="22"/>
      <c r="R819" s="22"/>
      <c r="S819" s="22"/>
      <c r="T819" s="22">
        <f t="shared" si="186"/>
        <v>8400</v>
      </c>
      <c r="U819" s="66">
        <v>2100</v>
      </c>
      <c r="V819" s="39">
        <f t="shared" si="184"/>
        <v>6300</v>
      </c>
    </row>
    <row r="820" spans="1:22" x14ac:dyDescent="0.25">
      <c r="A820" s="148"/>
      <c r="B820" s="138"/>
      <c r="C820" s="34" t="s">
        <v>58</v>
      </c>
      <c r="D820" s="22">
        <v>0</v>
      </c>
      <c r="E820" s="22"/>
      <c r="F820" s="22"/>
      <c r="G820" s="22"/>
      <c r="H820" s="22"/>
      <c r="I820" s="22"/>
      <c r="J820" s="22"/>
      <c r="K820" s="22"/>
      <c r="L820" s="22"/>
      <c r="M820" s="22">
        <f t="shared" si="194"/>
        <v>0</v>
      </c>
      <c r="N820" s="22"/>
      <c r="O820" s="22"/>
      <c r="P820" s="22"/>
      <c r="Q820" s="22"/>
      <c r="R820" s="22"/>
      <c r="S820" s="22"/>
      <c r="T820" s="22">
        <f t="shared" si="186"/>
        <v>0</v>
      </c>
      <c r="U820" s="66">
        <v>0</v>
      </c>
      <c r="V820" s="39">
        <f t="shared" si="184"/>
        <v>0</v>
      </c>
    </row>
    <row r="821" spans="1:22" x14ac:dyDescent="0.25">
      <c r="A821" s="148"/>
      <c r="B821" s="138"/>
      <c r="C821" s="34" t="s">
        <v>59</v>
      </c>
      <c r="D821" s="22">
        <v>18000</v>
      </c>
      <c r="E821" s="22"/>
      <c r="F821" s="25"/>
      <c r="G821" s="25"/>
      <c r="H821" s="22"/>
      <c r="I821" s="22"/>
      <c r="J821" s="22"/>
      <c r="K821" s="22"/>
      <c r="L821" s="22"/>
      <c r="M821" s="22">
        <f t="shared" si="194"/>
        <v>18000</v>
      </c>
      <c r="N821" s="22"/>
      <c r="O821" s="22"/>
      <c r="P821" s="22"/>
      <c r="Q821" s="22"/>
      <c r="R821" s="22"/>
      <c r="S821" s="22"/>
      <c r="T821" s="22">
        <f t="shared" si="186"/>
        <v>18000</v>
      </c>
      <c r="U821" s="66">
        <v>0</v>
      </c>
      <c r="V821" s="39">
        <f t="shared" si="184"/>
        <v>18000</v>
      </c>
    </row>
    <row r="822" spans="1:22" x14ac:dyDescent="0.25">
      <c r="A822" s="148"/>
      <c r="B822" s="138"/>
      <c r="C822" s="34" t="s">
        <v>45</v>
      </c>
      <c r="D822" s="22">
        <v>10200</v>
      </c>
      <c r="E822" s="22"/>
      <c r="F822" s="25">
        <v>20888</v>
      </c>
      <c r="G822" s="25"/>
      <c r="H822" s="22"/>
      <c r="I822" s="22"/>
      <c r="J822" s="22"/>
      <c r="K822" s="22"/>
      <c r="L822" s="22"/>
      <c r="M822" s="22">
        <f t="shared" si="194"/>
        <v>31088</v>
      </c>
      <c r="N822" s="22"/>
      <c r="O822" s="22"/>
      <c r="P822" s="22"/>
      <c r="Q822" s="22"/>
      <c r="R822" s="22"/>
      <c r="S822" s="22"/>
      <c r="T822" s="22">
        <f t="shared" si="186"/>
        <v>31088</v>
      </c>
      <c r="U822" s="66">
        <v>20888</v>
      </c>
      <c r="V822" s="39">
        <f t="shared" si="184"/>
        <v>10200</v>
      </c>
    </row>
    <row r="823" spans="1:22" x14ac:dyDescent="0.25">
      <c r="A823" s="148"/>
      <c r="B823" s="138"/>
      <c r="C823" s="34" t="s">
        <v>60</v>
      </c>
      <c r="D823" s="22">
        <v>0</v>
      </c>
      <c r="E823" s="22"/>
      <c r="F823" s="25"/>
      <c r="G823" s="25"/>
      <c r="H823" s="22"/>
      <c r="I823" s="22"/>
      <c r="J823" s="22"/>
      <c r="K823" s="22"/>
      <c r="L823" s="22"/>
      <c r="M823" s="22">
        <f t="shared" si="194"/>
        <v>0</v>
      </c>
      <c r="N823" s="22"/>
      <c r="O823" s="22"/>
      <c r="P823" s="22"/>
      <c r="Q823" s="22"/>
      <c r="R823" s="22"/>
      <c r="S823" s="22"/>
      <c r="T823" s="22">
        <f t="shared" si="186"/>
        <v>0</v>
      </c>
      <c r="U823" s="66">
        <v>0</v>
      </c>
      <c r="V823" s="39">
        <f t="shared" si="184"/>
        <v>0</v>
      </c>
    </row>
    <row r="824" spans="1:22" x14ac:dyDescent="0.25">
      <c r="A824" s="148"/>
      <c r="B824" s="138"/>
      <c r="C824" s="83" t="s">
        <v>46</v>
      </c>
      <c r="D824" s="84">
        <f>SUM(D815:D823)</f>
        <v>86600</v>
      </c>
      <c r="E824" s="84">
        <f t="shared" ref="E824:Q824" si="195">SUM(E815:E823)</f>
        <v>0</v>
      </c>
      <c r="F824" s="84">
        <f t="shared" si="195"/>
        <v>98250</v>
      </c>
      <c r="G824" s="84">
        <f t="shared" si="195"/>
        <v>0</v>
      </c>
      <c r="H824" s="84">
        <f t="shared" si="195"/>
        <v>0</v>
      </c>
      <c r="I824" s="84">
        <f t="shared" si="195"/>
        <v>0</v>
      </c>
      <c r="J824" s="84">
        <f t="shared" si="195"/>
        <v>0</v>
      </c>
      <c r="K824" s="84">
        <f t="shared" si="195"/>
        <v>0</v>
      </c>
      <c r="L824" s="84">
        <f t="shared" si="195"/>
        <v>0</v>
      </c>
      <c r="M824" s="84">
        <f t="shared" si="195"/>
        <v>184850</v>
      </c>
      <c r="N824" s="84">
        <f t="shared" si="195"/>
        <v>0</v>
      </c>
      <c r="O824" s="84">
        <f t="shared" si="195"/>
        <v>0</v>
      </c>
      <c r="P824" s="84">
        <f t="shared" si="195"/>
        <v>0</v>
      </c>
      <c r="Q824" s="84">
        <f t="shared" si="195"/>
        <v>0</v>
      </c>
      <c r="R824" s="84"/>
      <c r="S824" s="84"/>
      <c r="T824" s="84">
        <f t="shared" si="186"/>
        <v>184850</v>
      </c>
      <c r="U824" s="85">
        <f>SUM(U815:U823)</f>
        <v>100350</v>
      </c>
      <c r="V824" s="86">
        <f t="shared" si="184"/>
        <v>84500</v>
      </c>
    </row>
    <row r="825" spans="1:22" x14ac:dyDescent="0.25">
      <c r="A825" s="148"/>
      <c r="B825" s="139" t="s">
        <v>21</v>
      </c>
      <c r="C825" s="75" t="s">
        <v>62</v>
      </c>
      <c r="D825" s="25">
        <v>72000</v>
      </c>
      <c r="E825" s="25"/>
      <c r="F825" s="25"/>
      <c r="G825" s="25"/>
      <c r="H825" s="25"/>
      <c r="I825" s="25"/>
      <c r="J825" s="25"/>
      <c r="K825" s="25"/>
      <c r="L825" s="25"/>
      <c r="M825" s="22">
        <f>D825+E825+F825+G825+H825+J825+I825</f>
        <v>72000</v>
      </c>
      <c r="N825" s="22"/>
      <c r="O825" s="22"/>
      <c r="P825" s="22"/>
      <c r="Q825" s="22"/>
      <c r="R825" s="22"/>
      <c r="S825" s="22"/>
      <c r="T825" s="22">
        <f t="shared" si="186"/>
        <v>72000</v>
      </c>
      <c r="U825" s="66">
        <v>42000</v>
      </c>
      <c r="V825" s="39">
        <f t="shared" si="184"/>
        <v>30000</v>
      </c>
    </row>
    <row r="826" spans="1:22" x14ac:dyDescent="0.25">
      <c r="A826" s="148"/>
      <c r="B826" s="150"/>
      <c r="C826" s="75" t="s">
        <v>57</v>
      </c>
      <c r="D826" s="25">
        <v>6000</v>
      </c>
      <c r="E826" s="25"/>
      <c r="F826" s="25"/>
      <c r="G826" s="25"/>
      <c r="H826" s="25"/>
      <c r="I826" s="25"/>
      <c r="J826" s="25"/>
      <c r="K826" s="25"/>
      <c r="L826" s="25"/>
      <c r="M826" s="22">
        <f>D826+E826+F826+G826+H826+J826+I826</f>
        <v>6000</v>
      </c>
      <c r="N826" s="22"/>
      <c r="O826" s="22"/>
      <c r="P826" s="22"/>
      <c r="Q826" s="22"/>
      <c r="R826" s="22"/>
      <c r="S826" s="22"/>
      <c r="T826" s="22">
        <f t="shared" si="186"/>
        <v>6000</v>
      </c>
      <c r="U826" s="66">
        <v>6000</v>
      </c>
      <c r="V826" s="39">
        <f t="shared" si="184"/>
        <v>0</v>
      </c>
    </row>
    <row r="827" spans="1:22" x14ac:dyDescent="0.25">
      <c r="A827" s="149"/>
      <c r="B827" s="151"/>
      <c r="C827" s="75" t="s">
        <v>45</v>
      </c>
      <c r="D827" s="25">
        <v>21060</v>
      </c>
      <c r="E827" s="25"/>
      <c r="F827" s="25"/>
      <c r="G827" s="25"/>
      <c r="H827" s="25"/>
      <c r="I827" s="25"/>
      <c r="J827" s="25"/>
      <c r="K827" s="25"/>
      <c r="L827" s="25"/>
      <c r="M827" s="22">
        <f>D827+E827+F827+G827+H827+J827+I827</f>
        <v>21060</v>
      </c>
      <c r="N827" s="22"/>
      <c r="O827" s="22"/>
      <c r="P827" s="22"/>
      <c r="Q827" s="22"/>
      <c r="R827" s="22"/>
      <c r="S827" s="22"/>
      <c r="T827" s="22">
        <f t="shared" si="186"/>
        <v>21060</v>
      </c>
      <c r="U827" s="66">
        <v>12960</v>
      </c>
      <c r="V827" s="39">
        <f t="shared" si="184"/>
        <v>8100</v>
      </c>
    </row>
    <row r="828" spans="1:22" x14ac:dyDescent="0.25">
      <c r="A828" s="136" t="s">
        <v>111</v>
      </c>
      <c r="B828" s="138" t="s">
        <v>18</v>
      </c>
      <c r="C828" s="34" t="s">
        <v>40</v>
      </c>
      <c r="D828" s="22">
        <v>245736</v>
      </c>
      <c r="E828" s="22"/>
      <c r="F828" s="22"/>
      <c r="G828" s="22"/>
      <c r="H828" s="22"/>
      <c r="I828" s="22"/>
      <c r="J828" s="22"/>
      <c r="K828" s="22"/>
      <c r="L828" s="22"/>
      <c r="M828" s="22">
        <f>D828+E828+F828+G828+H828+J828+I828</f>
        <v>245736</v>
      </c>
      <c r="N828" s="22"/>
      <c r="O828" s="22"/>
      <c r="P828" s="22"/>
      <c r="Q828" s="22"/>
      <c r="R828" s="22"/>
      <c r="S828" s="22"/>
      <c r="T828" s="22">
        <f t="shared" si="186"/>
        <v>245736</v>
      </c>
      <c r="U828" s="35">
        <v>117285</v>
      </c>
      <c r="V828" s="37">
        <f t="shared" si="184"/>
        <v>128451</v>
      </c>
    </row>
    <row r="829" spans="1:22" x14ac:dyDescent="0.25">
      <c r="A829" s="137"/>
      <c r="B829" s="139"/>
      <c r="C829" s="53" t="s">
        <v>42</v>
      </c>
      <c r="D829" s="54">
        <v>38089</v>
      </c>
      <c r="E829" s="54"/>
      <c r="F829" s="54"/>
      <c r="G829" s="54"/>
      <c r="H829" s="54"/>
      <c r="I829" s="54"/>
      <c r="J829" s="54"/>
      <c r="K829" s="54"/>
      <c r="L829" s="54"/>
      <c r="M829" s="22">
        <f>D829+E829+F829+G829+H829+J829+I829</f>
        <v>38089</v>
      </c>
      <c r="N829" s="54"/>
      <c r="O829" s="54"/>
      <c r="P829" s="54"/>
      <c r="Q829" s="54"/>
      <c r="R829" s="54"/>
      <c r="S829" s="54"/>
      <c r="T829" s="54">
        <f t="shared" si="186"/>
        <v>38089</v>
      </c>
      <c r="U829" s="55">
        <v>18058</v>
      </c>
      <c r="V829" s="37">
        <f t="shared" si="184"/>
        <v>20031</v>
      </c>
    </row>
    <row r="830" spans="1:22" x14ac:dyDescent="0.25">
      <c r="A830" s="140" t="s">
        <v>133</v>
      </c>
      <c r="B830" s="141"/>
      <c r="C830" s="142"/>
      <c r="D830" s="109">
        <f>SUM(D807,D813,D814,D824,D828,D829,D825,D827,D826)</f>
        <v>3316692</v>
      </c>
      <c r="E830" s="109">
        <f>SUM(E807,E813,E814,E824,E828,E829,E825,E827,E826)</f>
        <v>0</v>
      </c>
      <c r="F830" s="109">
        <f t="shared" ref="F830:U830" si="196">SUM(F807,F813,F814,F824,F828,F829,F825,F827,F826)</f>
        <v>98250</v>
      </c>
      <c r="G830" s="109">
        <f t="shared" si="196"/>
        <v>0</v>
      </c>
      <c r="H830" s="109">
        <f t="shared" si="196"/>
        <v>0</v>
      </c>
      <c r="I830" s="109">
        <f t="shared" si="196"/>
        <v>0</v>
      </c>
      <c r="J830" s="109">
        <f t="shared" si="196"/>
        <v>0</v>
      </c>
      <c r="K830" s="109">
        <f t="shared" si="196"/>
        <v>0</v>
      </c>
      <c r="L830" s="109">
        <f t="shared" si="196"/>
        <v>0</v>
      </c>
      <c r="M830" s="109">
        <f t="shared" si="196"/>
        <v>3414942</v>
      </c>
      <c r="N830" s="109">
        <f t="shared" ref="N830:Q830" si="197">SUM(N807,N813,N814,N824,N828,N829,N825,N827,N826)</f>
        <v>0</v>
      </c>
      <c r="O830" s="109">
        <f t="shared" si="197"/>
        <v>0</v>
      </c>
      <c r="P830" s="109">
        <f t="shared" si="197"/>
        <v>0</v>
      </c>
      <c r="Q830" s="109">
        <f t="shared" si="197"/>
        <v>0</v>
      </c>
      <c r="R830" s="109"/>
      <c r="S830" s="109"/>
      <c r="T830" s="109">
        <f t="shared" si="186"/>
        <v>3414942</v>
      </c>
      <c r="U830" s="110">
        <f t="shared" si="196"/>
        <v>1528082</v>
      </c>
      <c r="V830" s="110">
        <f t="shared" si="184"/>
        <v>1886860</v>
      </c>
    </row>
    <row r="831" spans="1:22" ht="43.5" customHeight="1" x14ac:dyDescent="0.25">
      <c r="A831" s="143" t="s">
        <v>121</v>
      </c>
      <c r="B831" s="144"/>
      <c r="C831" s="145"/>
      <c r="D831" s="111">
        <f t="shared" ref="D831:U831" si="198">D830+D806+D764+D721+D694+D657+D623+D589+D551+D517+D495+D463+D430+D395+D332+D296+D264</f>
        <v>295036017</v>
      </c>
      <c r="E831" s="111">
        <f t="shared" si="198"/>
        <v>0</v>
      </c>
      <c r="F831" s="111">
        <f t="shared" si="198"/>
        <v>3399000</v>
      </c>
      <c r="G831" s="111">
        <f t="shared" si="198"/>
        <v>0</v>
      </c>
      <c r="H831" s="111">
        <f t="shared" si="198"/>
        <v>0</v>
      </c>
      <c r="I831" s="111">
        <f t="shared" si="198"/>
        <v>0</v>
      </c>
      <c r="J831" s="111">
        <f t="shared" si="198"/>
        <v>0</v>
      </c>
      <c r="K831" s="111">
        <f t="shared" si="198"/>
        <v>0</v>
      </c>
      <c r="L831" s="111">
        <f t="shared" si="198"/>
        <v>0</v>
      </c>
      <c r="M831" s="111">
        <f t="shared" si="198"/>
        <v>298435017</v>
      </c>
      <c r="N831" s="111">
        <f t="shared" ref="N831:Q831" si="199">N830+N806+N764+N721+N694+N657+N623+N589+N551+N517+N495+N463+N430+N395+N332+N296+N264</f>
        <v>0</v>
      </c>
      <c r="O831" s="111">
        <f t="shared" si="199"/>
        <v>-2912576</v>
      </c>
      <c r="P831" s="111">
        <f t="shared" si="199"/>
        <v>0</v>
      </c>
      <c r="Q831" s="111">
        <f t="shared" si="199"/>
        <v>0</v>
      </c>
      <c r="R831" s="111"/>
      <c r="S831" s="111"/>
      <c r="T831" s="111">
        <f t="shared" si="186"/>
        <v>295522441</v>
      </c>
      <c r="U831" s="112">
        <f t="shared" si="198"/>
        <v>172761030</v>
      </c>
      <c r="V831" s="112">
        <f t="shared" si="184"/>
        <v>122761411</v>
      </c>
    </row>
    <row r="832" spans="1:22" x14ac:dyDescent="0.25">
      <c r="B832" s="1"/>
      <c r="V832" s="3"/>
    </row>
    <row r="833" spans="1:23" x14ac:dyDescent="0.25">
      <c r="B833" s="1"/>
      <c r="V833" s="2"/>
    </row>
    <row r="834" spans="1:23" x14ac:dyDescent="0.25">
      <c r="B834" s="1"/>
      <c r="V834" s="2"/>
    </row>
    <row r="835" spans="1:23" x14ac:dyDescent="0.25">
      <c r="A835" s="113" t="s">
        <v>137</v>
      </c>
      <c r="B835" s="1"/>
      <c r="V835" s="2"/>
    </row>
    <row r="836" spans="1:23" x14ac:dyDescent="0.25">
      <c r="B836" s="1"/>
      <c r="C836" s="19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1"/>
      <c r="V836" s="2"/>
    </row>
    <row r="837" spans="1:23" s="9" customFormat="1" ht="78.75" customHeight="1" x14ac:dyDescent="0.25">
      <c r="A837" s="146" t="s">
        <v>142</v>
      </c>
      <c r="B837" s="147"/>
      <c r="C837" s="30" t="s">
        <v>2</v>
      </c>
      <c r="D837" s="28" t="s">
        <v>3</v>
      </c>
      <c r="E837" s="28" t="s">
        <v>4</v>
      </c>
      <c r="F837" s="114" t="s">
        <v>151</v>
      </c>
      <c r="G837" s="114" t="s">
        <v>153</v>
      </c>
      <c r="H837" s="114"/>
      <c r="I837" s="114"/>
      <c r="J837" s="114"/>
      <c r="K837" s="114"/>
      <c r="L837" s="114" t="s">
        <v>148</v>
      </c>
      <c r="M837" s="28" t="s">
        <v>150</v>
      </c>
      <c r="N837" s="28" t="s">
        <v>4</v>
      </c>
      <c r="O837" s="28" t="s">
        <v>156</v>
      </c>
      <c r="P837" s="28"/>
      <c r="Q837" s="28"/>
      <c r="R837" s="28"/>
      <c r="S837" s="28"/>
      <c r="T837" s="28" t="s">
        <v>158</v>
      </c>
      <c r="U837" s="29" t="s">
        <v>155</v>
      </c>
      <c r="V837" s="8"/>
      <c r="W837" s="13"/>
    </row>
    <row r="838" spans="1:23" ht="15" customHeight="1" x14ac:dyDescent="0.25">
      <c r="A838" s="146"/>
      <c r="B838" s="147"/>
      <c r="C838" s="115" t="s">
        <v>7</v>
      </c>
      <c r="D838" s="115">
        <f t="shared" ref="D838:L838" si="200">D105+D97+D88+D85+D79+D74+D71+D66+D59+D56+D53+D50+D43+D36+D29+D26+D5</f>
        <v>44548805</v>
      </c>
      <c r="E838" s="115">
        <f t="shared" si="200"/>
        <v>0</v>
      </c>
      <c r="F838" s="115">
        <f t="shared" si="200"/>
        <v>0</v>
      </c>
      <c r="G838" s="115">
        <f t="shared" si="200"/>
        <v>-2774548</v>
      </c>
      <c r="H838" s="115">
        <f t="shared" si="200"/>
        <v>0</v>
      </c>
      <c r="I838" s="115">
        <f t="shared" si="200"/>
        <v>0</v>
      </c>
      <c r="J838" s="115">
        <f t="shared" si="200"/>
        <v>0</v>
      </c>
      <c r="K838" s="115">
        <f t="shared" si="200"/>
        <v>0</v>
      </c>
      <c r="L838" s="115">
        <f t="shared" si="200"/>
        <v>0</v>
      </c>
      <c r="M838" s="115">
        <f>D838+E838+F838+G838+H838+J838+I838+K838+L838</f>
        <v>41774257</v>
      </c>
      <c r="N838" s="15">
        <f t="shared" ref="N838:U838" si="201">N105+N97+N88+N85+N79+N74+N71+N66+N59+N56+N53+N50+N43+N36+N29+N26+N5</f>
        <v>0</v>
      </c>
      <c r="O838" s="15">
        <f t="shared" si="201"/>
        <v>0</v>
      </c>
      <c r="P838" s="15">
        <f t="shared" si="201"/>
        <v>0</v>
      </c>
      <c r="Q838" s="15">
        <f t="shared" si="201"/>
        <v>0</v>
      </c>
      <c r="R838" s="15">
        <f t="shared" si="201"/>
        <v>0</v>
      </c>
      <c r="S838" s="15">
        <f t="shared" si="201"/>
        <v>0</v>
      </c>
      <c r="T838" s="15">
        <f t="shared" si="201"/>
        <v>41774257</v>
      </c>
      <c r="U838" s="15">
        <f t="shared" si="201"/>
        <v>25238538</v>
      </c>
      <c r="V838" s="2"/>
    </row>
    <row r="839" spans="1:23" ht="15" customHeight="1" x14ac:dyDescent="0.25">
      <c r="A839" s="146"/>
      <c r="B839" s="147"/>
      <c r="C839" s="115" t="s">
        <v>134</v>
      </c>
      <c r="D839" s="115">
        <f t="shared" ref="D839:L839" si="202">D89+D67+D60+D44+D37+D30+D6</f>
        <v>450000</v>
      </c>
      <c r="E839" s="115">
        <f t="shared" si="202"/>
        <v>0</v>
      </c>
      <c r="F839" s="115">
        <f t="shared" si="202"/>
        <v>0</v>
      </c>
      <c r="G839" s="115">
        <f t="shared" si="202"/>
        <v>0</v>
      </c>
      <c r="H839" s="115">
        <f t="shared" si="202"/>
        <v>0</v>
      </c>
      <c r="I839" s="115">
        <f t="shared" si="202"/>
        <v>0</v>
      </c>
      <c r="J839" s="115">
        <f t="shared" si="202"/>
        <v>0</v>
      </c>
      <c r="K839" s="115">
        <f t="shared" si="202"/>
        <v>0</v>
      </c>
      <c r="L839" s="115">
        <f t="shared" si="202"/>
        <v>0</v>
      </c>
      <c r="M839" s="115">
        <f t="shared" ref="M839:M850" si="203">D839+E839+F839+G839+H839+J839+I839+K839+L839</f>
        <v>450000</v>
      </c>
      <c r="N839" s="15">
        <f t="shared" ref="N839:U839" si="204">N6</f>
        <v>0</v>
      </c>
      <c r="O839" s="15">
        <f t="shared" si="204"/>
        <v>0</v>
      </c>
      <c r="P839" s="15">
        <f t="shared" si="204"/>
        <v>0</v>
      </c>
      <c r="Q839" s="15">
        <f t="shared" si="204"/>
        <v>0</v>
      </c>
      <c r="R839" s="15">
        <f t="shared" si="204"/>
        <v>0</v>
      </c>
      <c r="S839" s="15">
        <f t="shared" si="204"/>
        <v>0</v>
      </c>
      <c r="T839" s="15">
        <f t="shared" si="204"/>
        <v>450000</v>
      </c>
      <c r="U839" s="15">
        <f t="shared" si="204"/>
        <v>0</v>
      </c>
      <c r="V839" s="2"/>
    </row>
    <row r="840" spans="1:23" ht="15" customHeight="1" x14ac:dyDescent="0.25">
      <c r="A840" s="146"/>
      <c r="B840" s="147"/>
      <c r="C840" s="115" t="s">
        <v>135</v>
      </c>
      <c r="D840" s="115">
        <f t="shared" ref="D840:L840" si="205">D10</f>
        <v>0</v>
      </c>
      <c r="E840" s="115">
        <f t="shared" si="205"/>
        <v>0</v>
      </c>
      <c r="F840" s="115">
        <f t="shared" si="205"/>
        <v>0</v>
      </c>
      <c r="G840" s="115">
        <f t="shared" si="205"/>
        <v>0</v>
      </c>
      <c r="H840" s="115">
        <f t="shared" si="205"/>
        <v>0</v>
      </c>
      <c r="I840" s="115">
        <f t="shared" si="205"/>
        <v>0</v>
      </c>
      <c r="J840" s="115">
        <f t="shared" si="205"/>
        <v>0</v>
      </c>
      <c r="K840" s="115">
        <f t="shared" si="205"/>
        <v>0</v>
      </c>
      <c r="L840" s="115">
        <f t="shared" si="205"/>
        <v>0</v>
      </c>
      <c r="M840" s="115">
        <f t="shared" si="203"/>
        <v>0</v>
      </c>
      <c r="N840" s="15">
        <f t="shared" ref="N840:U840" si="206">N10</f>
        <v>0</v>
      </c>
      <c r="O840" s="15">
        <f t="shared" si="206"/>
        <v>0</v>
      </c>
      <c r="P840" s="15">
        <f t="shared" si="206"/>
        <v>0</v>
      </c>
      <c r="Q840" s="15">
        <f t="shared" si="206"/>
        <v>0</v>
      </c>
      <c r="R840" s="15">
        <f t="shared" si="206"/>
        <v>0</v>
      </c>
      <c r="S840" s="15">
        <f t="shared" si="206"/>
        <v>0</v>
      </c>
      <c r="T840" s="15">
        <f t="shared" si="206"/>
        <v>0</v>
      </c>
      <c r="U840" s="15">
        <f t="shared" si="206"/>
        <v>0</v>
      </c>
      <c r="V840" s="2"/>
    </row>
    <row r="841" spans="1:23" ht="15" customHeight="1" x14ac:dyDescent="0.25">
      <c r="A841" s="146"/>
      <c r="B841" s="147"/>
      <c r="C841" s="115" t="s">
        <v>19</v>
      </c>
      <c r="D841" s="115">
        <f t="shared" ref="D841:L841" si="207">D94+D82+D47+D23+D18+D63+D99+D102</f>
        <v>81000</v>
      </c>
      <c r="E841" s="115">
        <f t="shared" si="207"/>
        <v>0</v>
      </c>
      <c r="F841" s="115">
        <f t="shared" si="207"/>
        <v>0</v>
      </c>
      <c r="G841" s="115">
        <f t="shared" si="207"/>
        <v>0</v>
      </c>
      <c r="H841" s="115">
        <f t="shared" si="207"/>
        <v>0</v>
      </c>
      <c r="I841" s="115">
        <f t="shared" si="207"/>
        <v>0</v>
      </c>
      <c r="J841" s="115">
        <f t="shared" si="207"/>
        <v>0</v>
      </c>
      <c r="K841" s="115">
        <f t="shared" si="207"/>
        <v>0</v>
      </c>
      <c r="L841" s="115">
        <f t="shared" si="207"/>
        <v>0</v>
      </c>
      <c r="M841" s="115">
        <f t="shared" si="203"/>
        <v>81000</v>
      </c>
      <c r="N841" s="115">
        <f>N94+N82+N47+N23+N18+N63+N99+N102+N33</f>
        <v>8000</v>
      </c>
      <c r="O841" s="115">
        <f t="shared" ref="O841:U841" si="208">O94+O82+O47+O23+O18+O63+O99+O102+O33</f>
        <v>0</v>
      </c>
      <c r="P841" s="115">
        <f t="shared" si="208"/>
        <v>0</v>
      </c>
      <c r="Q841" s="115">
        <f t="shared" si="208"/>
        <v>0</v>
      </c>
      <c r="R841" s="115">
        <f t="shared" si="208"/>
        <v>0</v>
      </c>
      <c r="S841" s="115">
        <f t="shared" si="208"/>
        <v>0</v>
      </c>
      <c r="T841" s="115">
        <f t="shared" si="208"/>
        <v>89000</v>
      </c>
      <c r="U841" s="115">
        <f t="shared" si="208"/>
        <v>70000</v>
      </c>
      <c r="V841" s="2"/>
    </row>
    <row r="842" spans="1:23" ht="15" customHeight="1" x14ac:dyDescent="0.25">
      <c r="A842" s="146"/>
      <c r="B842" s="147"/>
      <c r="C842" s="115" t="s">
        <v>11</v>
      </c>
      <c r="D842" s="115">
        <f t="shared" ref="D842:U842" si="209">D108+D104+D100+D95+D91+D87+D83+D81+D77+D76+D73+D70+D69+D65+D62+D58+D55+D52+D48+D46+D41+D40+D39+D35+D32+D28+D24+D19+D15+D12+D11+D9+D107</f>
        <v>28285000</v>
      </c>
      <c r="E842" s="115">
        <f t="shared" si="209"/>
        <v>-2788</v>
      </c>
      <c r="F842" s="115">
        <f t="shared" si="209"/>
        <v>0</v>
      </c>
      <c r="G842" s="115">
        <f t="shared" si="209"/>
        <v>0</v>
      </c>
      <c r="H842" s="115">
        <f t="shared" si="209"/>
        <v>0</v>
      </c>
      <c r="I842" s="115">
        <f t="shared" si="209"/>
        <v>0</v>
      </c>
      <c r="J842" s="115">
        <f t="shared" si="209"/>
        <v>0</v>
      </c>
      <c r="K842" s="115">
        <f t="shared" si="209"/>
        <v>0</v>
      </c>
      <c r="L842" s="115">
        <f t="shared" si="209"/>
        <v>0</v>
      </c>
      <c r="M842" s="115">
        <f t="shared" si="209"/>
        <v>28282212</v>
      </c>
      <c r="N842" s="15">
        <f t="shared" si="209"/>
        <v>-375160</v>
      </c>
      <c r="O842" s="15">
        <f t="shared" si="209"/>
        <v>0</v>
      </c>
      <c r="P842" s="15">
        <f t="shared" si="209"/>
        <v>0</v>
      </c>
      <c r="Q842" s="15">
        <f t="shared" si="209"/>
        <v>0</v>
      </c>
      <c r="R842" s="15">
        <f t="shared" si="209"/>
        <v>0</v>
      </c>
      <c r="S842" s="15">
        <f t="shared" si="209"/>
        <v>0</v>
      </c>
      <c r="T842" s="15">
        <f t="shared" si="209"/>
        <v>27907052</v>
      </c>
      <c r="U842" s="15">
        <f t="shared" si="209"/>
        <v>18875684</v>
      </c>
      <c r="V842" s="2"/>
    </row>
    <row r="843" spans="1:23" ht="15" customHeight="1" x14ac:dyDescent="0.25">
      <c r="A843" s="146"/>
      <c r="B843" s="147"/>
      <c r="C843" s="115" t="s">
        <v>14</v>
      </c>
      <c r="D843" s="115">
        <f t="shared" ref="D843:M843" si="210">D96+D84+D49+D42+D25+D20+D13+D16+D64+D101+D103+D92+D78</f>
        <v>1509940</v>
      </c>
      <c r="E843" s="115">
        <f t="shared" si="210"/>
        <v>0</v>
      </c>
      <c r="F843" s="115">
        <f t="shared" si="210"/>
        <v>0</v>
      </c>
      <c r="G843" s="115">
        <f t="shared" si="210"/>
        <v>0</v>
      </c>
      <c r="H843" s="115">
        <f t="shared" si="210"/>
        <v>0</v>
      </c>
      <c r="I843" s="115">
        <f t="shared" si="210"/>
        <v>0</v>
      </c>
      <c r="J843" s="115">
        <f t="shared" si="210"/>
        <v>0</v>
      </c>
      <c r="K843" s="115">
        <f t="shared" si="210"/>
        <v>0</v>
      </c>
      <c r="L843" s="115">
        <f t="shared" si="210"/>
        <v>0</v>
      </c>
      <c r="M843" s="115">
        <f t="shared" si="210"/>
        <v>1509940</v>
      </c>
      <c r="N843" s="115">
        <f>N96+N84+N49+N42+N25+N20+N13+N16+N64+N101+N103+N92+N78+N34</f>
        <v>2160</v>
      </c>
      <c r="O843" s="115">
        <f t="shared" ref="O843:U843" si="211">O96+O84+O49+O42+O25+O20+O13+O16+O64+O101+O103+O92+O78+O34</f>
        <v>0</v>
      </c>
      <c r="P843" s="115">
        <f t="shared" si="211"/>
        <v>0</v>
      </c>
      <c r="Q843" s="115">
        <f t="shared" si="211"/>
        <v>0</v>
      </c>
      <c r="R843" s="115">
        <f t="shared" si="211"/>
        <v>0</v>
      </c>
      <c r="S843" s="115">
        <f t="shared" si="211"/>
        <v>0</v>
      </c>
      <c r="T843" s="115">
        <f t="shared" si="211"/>
        <v>1512100</v>
      </c>
      <c r="U843" s="115">
        <f t="shared" si="211"/>
        <v>1004774</v>
      </c>
      <c r="V843" s="2"/>
    </row>
    <row r="844" spans="1:23" ht="15" customHeight="1" x14ac:dyDescent="0.25">
      <c r="A844" s="146"/>
      <c r="B844" s="147"/>
      <c r="C844" s="115" t="s">
        <v>17</v>
      </c>
      <c r="D844" s="115">
        <f t="shared" ref="D844:L844" si="212">D17</f>
        <v>422000</v>
      </c>
      <c r="E844" s="115">
        <f t="shared" si="212"/>
        <v>0</v>
      </c>
      <c r="F844" s="115">
        <f t="shared" si="212"/>
        <v>0</v>
      </c>
      <c r="G844" s="115">
        <f t="shared" si="212"/>
        <v>0</v>
      </c>
      <c r="H844" s="115">
        <f t="shared" si="212"/>
        <v>0</v>
      </c>
      <c r="I844" s="115">
        <f t="shared" si="212"/>
        <v>0</v>
      </c>
      <c r="J844" s="115">
        <f t="shared" si="212"/>
        <v>0</v>
      </c>
      <c r="K844" s="115">
        <f t="shared" si="212"/>
        <v>0</v>
      </c>
      <c r="L844" s="115">
        <f t="shared" si="212"/>
        <v>0</v>
      </c>
      <c r="M844" s="115">
        <f t="shared" si="203"/>
        <v>422000</v>
      </c>
      <c r="N844" s="15">
        <f t="shared" ref="N844:U844" si="213">N17</f>
        <v>365000</v>
      </c>
      <c r="O844" s="15">
        <f t="shared" si="213"/>
        <v>0</v>
      </c>
      <c r="P844" s="15">
        <f t="shared" si="213"/>
        <v>0</v>
      </c>
      <c r="Q844" s="15">
        <f t="shared" si="213"/>
        <v>0</v>
      </c>
      <c r="R844" s="15">
        <f t="shared" si="213"/>
        <v>0</v>
      </c>
      <c r="S844" s="15">
        <f t="shared" si="213"/>
        <v>0</v>
      </c>
      <c r="T844" s="15">
        <f t="shared" si="213"/>
        <v>787000</v>
      </c>
      <c r="U844" s="15">
        <f t="shared" si="213"/>
        <v>787000</v>
      </c>
      <c r="V844" s="2"/>
    </row>
    <row r="845" spans="1:23" ht="15" customHeight="1" x14ac:dyDescent="0.25">
      <c r="A845" s="146"/>
      <c r="B845" s="147"/>
      <c r="C845" s="115" t="s">
        <v>20</v>
      </c>
      <c r="D845" s="115">
        <f t="shared" ref="D845:L845" si="214">D21</f>
        <v>2000</v>
      </c>
      <c r="E845" s="115">
        <f t="shared" si="214"/>
        <v>0</v>
      </c>
      <c r="F845" s="115">
        <f t="shared" si="214"/>
        <v>0</v>
      </c>
      <c r="G845" s="115">
        <f t="shared" si="214"/>
        <v>0</v>
      </c>
      <c r="H845" s="115">
        <f t="shared" si="214"/>
        <v>0</v>
      </c>
      <c r="I845" s="115">
        <f t="shared" si="214"/>
        <v>0</v>
      </c>
      <c r="J845" s="115">
        <f t="shared" si="214"/>
        <v>0</v>
      </c>
      <c r="K845" s="115">
        <f t="shared" si="214"/>
        <v>0</v>
      </c>
      <c r="L845" s="115">
        <f t="shared" si="214"/>
        <v>0</v>
      </c>
      <c r="M845" s="115">
        <f t="shared" si="203"/>
        <v>2000</v>
      </c>
      <c r="N845" s="15">
        <f t="shared" ref="N845:U845" si="215">N21</f>
        <v>0</v>
      </c>
      <c r="O845" s="15">
        <f t="shared" si="215"/>
        <v>0</v>
      </c>
      <c r="P845" s="15">
        <f t="shared" si="215"/>
        <v>0</v>
      </c>
      <c r="Q845" s="15">
        <f t="shared" si="215"/>
        <v>0</v>
      </c>
      <c r="R845" s="15">
        <f t="shared" si="215"/>
        <v>0</v>
      </c>
      <c r="S845" s="15">
        <f t="shared" si="215"/>
        <v>0</v>
      </c>
      <c r="T845" s="15">
        <f t="shared" si="215"/>
        <v>2000</v>
      </c>
      <c r="U845" s="15">
        <f t="shared" si="215"/>
        <v>1460</v>
      </c>
      <c r="V845" s="2"/>
    </row>
    <row r="846" spans="1:23" ht="15" customHeight="1" x14ac:dyDescent="0.25">
      <c r="A846" s="146"/>
      <c r="B846" s="147"/>
      <c r="C846" s="115" t="s">
        <v>15</v>
      </c>
      <c r="D846" s="115">
        <f t="shared" ref="D846:U846" si="216">D22+D14+D93</f>
        <v>7000</v>
      </c>
      <c r="E846" s="115">
        <f t="shared" si="216"/>
        <v>2788</v>
      </c>
      <c r="F846" s="115">
        <f t="shared" si="216"/>
        <v>0</v>
      </c>
      <c r="G846" s="115">
        <f t="shared" si="216"/>
        <v>0</v>
      </c>
      <c r="H846" s="115">
        <f t="shared" si="216"/>
        <v>0</v>
      </c>
      <c r="I846" s="115">
        <f t="shared" si="216"/>
        <v>0</v>
      </c>
      <c r="J846" s="115">
        <f t="shared" si="216"/>
        <v>0</v>
      </c>
      <c r="K846" s="115">
        <f t="shared" si="216"/>
        <v>0</v>
      </c>
      <c r="L846" s="115">
        <f t="shared" si="216"/>
        <v>0</v>
      </c>
      <c r="M846" s="115">
        <f t="shared" si="216"/>
        <v>9788</v>
      </c>
      <c r="N846" s="115">
        <f t="shared" si="216"/>
        <v>0</v>
      </c>
      <c r="O846" s="115">
        <f t="shared" si="216"/>
        <v>0</v>
      </c>
      <c r="P846" s="115">
        <f t="shared" si="216"/>
        <v>0</v>
      </c>
      <c r="Q846" s="115">
        <f t="shared" si="216"/>
        <v>0</v>
      </c>
      <c r="R846" s="115">
        <f t="shared" si="216"/>
        <v>0</v>
      </c>
      <c r="S846" s="115">
        <f t="shared" si="216"/>
        <v>0</v>
      </c>
      <c r="T846" s="115">
        <f t="shared" si="216"/>
        <v>9788</v>
      </c>
      <c r="U846" s="115">
        <f t="shared" si="216"/>
        <v>4840</v>
      </c>
      <c r="V846" s="2"/>
    </row>
    <row r="847" spans="1:23" ht="15" customHeight="1" x14ac:dyDescent="0.25">
      <c r="A847" s="146"/>
      <c r="B847" s="147"/>
      <c r="C847" s="116" t="s">
        <v>138</v>
      </c>
      <c r="D847" s="116">
        <f t="shared" ref="D847:M847" si="217">D102+D103+D107+D101+D99+D64+D63+D35+D108+D104+D100+D96+D95+D94+D91+D87+D84+D83+D82+D81+D77+D76+D73+D70+D69+D65+D62+D58+D55+D52+D49+D48+D47+D46+D42+D41+D40+D39+D32+D28+D25+D24+D23+D22+D21+D20+D19+D18+D17+D16+D15+D14+D13+D12+D11+D10+D9+D92+D93+D78</f>
        <v>30306940</v>
      </c>
      <c r="E847" s="116">
        <f t="shared" si="217"/>
        <v>0</v>
      </c>
      <c r="F847" s="116">
        <f t="shared" si="217"/>
        <v>0</v>
      </c>
      <c r="G847" s="116">
        <f t="shared" si="217"/>
        <v>0</v>
      </c>
      <c r="H847" s="116">
        <f t="shared" si="217"/>
        <v>0</v>
      </c>
      <c r="I847" s="116">
        <f t="shared" si="217"/>
        <v>0</v>
      </c>
      <c r="J847" s="116">
        <f t="shared" si="217"/>
        <v>0</v>
      </c>
      <c r="K847" s="116">
        <f t="shared" si="217"/>
        <v>0</v>
      </c>
      <c r="L847" s="116">
        <f t="shared" si="217"/>
        <v>0</v>
      </c>
      <c r="M847" s="116">
        <f t="shared" si="217"/>
        <v>30306940</v>
      </c>
      <c r="N847" s="116">
        <f>N102+N103+N107+N101+N99+N64+N63+N35+N108+N104+N100+N96+N95+N94+N91+N87+N84+N33+N34+N83+N82+N81+N77+N76+N73+N70+N69+N65+N62+N58+N55+N52+N49+N48+N47+N46+N42+N41+N40+N39+N32+N28+N25+N24+N23+N22+N21+N20+N19+N18+N17+N16+N15+N14+N13+N12+N11+N10+N9+N92+N93+N78</f>
        <v>0</v>
      </c>
      <c r="O847" s="116">
        <f t="shared" ref="O847:U847" si="218">O102+O103+O107+O101+O99+O64+O63+O35+O108+O104+O100+O96+O95+O94+O91+O87+O84+O33+O34+O83+O82+O81+O77+O76+O73+O70+O69+O65+O62+O58+O55+O52+O49+O48+O47+O46+O42+O41+O40+O39+O32+O28+O25+O24+O23+O22+O21+O20+O19+O18+O17+O16+O15+O14+O13+O12+O11+O10+O9+O92+O93+O78</f>
        <v>0</v>
      </c>
      <c r="P847" s="116">
        <f t="shared" si="218"/>
        <v>0</v>
      </c>
      <c r="Q847" s="116">
        <f t="shared" si="218"/>
        <v>0</v>
      </c>
      <c r="R847" s="116">
        <f t="shared" si="218"/>
        <v>0</v>
      </c>
      <c r="S847" s="116">
        <f t="shared" si="218"/>
        <v>0</v>
      </c>
      <c r="T847" s="116">
        <f t="shared" si="218"/>
        <v>30306940</v>
      </c>
      <c r="U847" s="116">
        <f t="shared" si="218"/>
        <v>20743758</v>
      </c>
      <c r="V847" s="2"/>
    </row>
    <row r="848" spans="1:23" ht="15" customHeight="1" x14ac:dyDescent="0.25">
      <c r="A848" s="146"/>
      <c r="B848" s="147"/>
      <c r="C848" s="115" t="s">
        <v>8</v>
      </c>
      <c r="D848" s="115">
        <f t="shared" ref="D848:L848" si="219">D106+D98+D90+D86+D80+D75+D72+D68+D61+D57+D54+D51+D45+D38+D31+D27+D7</f>
        <v>28978829</v>
      </c>
      <c r="E848" s="115">
        <f t="shared" si="219"/>
        <v>0</v>
      </c>
      <c r="F848" s="115">
        <f t="shared" si="219"/>
        <v>0</v>
      </c>
      <c r="G848" s="115">
        <f t="shared" si="219"/>
        <v>0</v>
      </c>
      <c r="H848" s="115">
        <f t="shared" si="219"/>
        <v>0</v>
      </c>
      <c r="I848" s="115">
        <f t="shared" si="219"/>
        <v>0</v>
      </c>
      <c r="J848" s="115">
        <f t="shared" si="219"/>
        <v>0</v>
      </c>
      <c r="K848" s="115">
        <f t="shared" si="219"/>
        <v>0</v>
      </c>
      <c r="L848" s="115">
        <f t="shared" si="219"/>
        <v>0</v>
      </c>
      <c r="M848" s="115">
        <f t="shared" si="203"/>
        <v>28978829</v>
      </c>
      <c r="N848" s="15">
        <f t="shared" ref="N848:U848" si="220">N106+N98+N90+N86+N80+N75+N72+N68+N61+N57+N54+N51+N45+N38+N31+N27+N7</f>
        <v>0</v>
      </c>
      <c r="O848" s="15">
        <f t="shared" si="220"/>
        <v>0</v>
      </c>
      <c r="P848" s="15">
        <f t="shared" si="220"/>
        <v>0</v>
      </c>
      <c r="Q848" s="15">
        <f t="shared" si="220"/>
        <v>0</v>
      </c>
      <c r="R848" s="15">
        <f t="shared" si="220"/>
        <v>0</v>
      </c>
      <c r="S848" s="15">
        <f t="shared" si="220"/>
        <v>0</v>
      </c>
      <c r="T848" s="15">
        <f t="shared" si="220"/>
        <v>28978829</v>
      </c>
      <c r="U848" s="15">
        <f t="shared" si="220"/>
        <v>28978829</v>
      </c>
      <c r="V848" s="2"/>
    </row>
    <row r="849" spans="1:22" ht="15" customHeight="1" x14ac:dyDescent="0.25">
      <c r="A849" s="146"/>
      <c r="B849" s="147"/>
      <c r="C849" s="115" t="s">
        <v>9</v>
      </c>
      <c r="D849" s="115">
        <f t="shared" ref="D849:L849" si="221">D8</f>
        <v>190751443</v>
      </c>
      <c r="E849" s="115">
        <f t="shared" si="221"/>
        <v>0</v>
      </c>
      <c r="F849" s="115">
        <f t="shared" si="221"/>
        <v>3399000</v>
      </c>
      <c r="G849" s="115">
        <f t="shared" si="221"/>
        <v>2774548</v>
      </c>
      <c r="H849" s="115">
        <f t="shared" si="221"/>
        <v>0</v>
      </c>
      <c r="I849" s="115">
        <f t="shared" si="221"/>
        <v>0</v>
      </c>
      <c r="J849" s="115">
        <f t="shared" si="221"/>
        <v>0</v>
      </c>
      <c r="K849" s="115">
        <f t="shared" si="221"/>
        <v>0</v>
      </c>
      <c r="L849" s="115">
        <f t="shared" si="221"/>
        <v>0</v>
      </c>
      <c r="M849" s="115">
        <f t="shared" si="203"/>
        <v>196924991</v>
      </c>
      <c r="N849" s="15">
        <f t="shared" ref="N849:U849" si="222">N8</f>
        <v>0</v>
      </c>
      <c r="O849" s="15">
        <f t="shared" si="222"/>
        <v>-2912576</v>
      </c>
      <c r="P849" s="15">
        <f t="shared" si="222"/>
        <v>0</v>
      </c>
      <c r="Q849" s="15">
        <f t="shared" si="222"/>
        <v>0</v>
      </c>
      <c r="R849" s="15">
        <f t="shared" si="222"/>
        <v>0</v>
      </c>
      <c r="S849" s="15">
        <f t="shared" si="222"/>
        <v>0</v>
      </c>
      <c r="T849" s="15">
        <f t="shared" si="222"/>
        <v>194012415</v>
      </c>
      <c r="U849" s="15">
        <f t="shared" si="222"/>
        <v>123517208</v>
      </c>
      <c r="V849" s="2"/>
    </row>
    <row r="850" spans="1:22" ht="15" customHeight="1" x14ac:dyDescent="0.25">
      <c r="A850" s="146"/>
      <c r="B850" s="147"/>
      <c r="C850" s="116" t="s">
        <v>139</v>
      </c>
      <c r="D850" s="116">
        <f t="shared" ref="D850:L850" si="223">D106+D98+D90+D86+D80+D75+D72+D68+D61+D57+D54+D45+D51+D38+D31+D27+D8+D7</f>
        <v>219730272</v>
      </c>
      <c r="E850" s="116">
        <f t="shared" si="223"/>
        <v>0</v>
      </c>
      <c r="F850" s="116">
        <f t="shared" si="223"/>
        <v>3399000</v>
      </c>
      <c r="G850" s="116">
        <f t="shared" si="223"/>
        <v>2774548</v>
      </c>
      <c r="H850" s="116">
        <f t="shared" si="223"/>
        <v>0</v>
      </c>
      <c r="I850" s="116">
        <f t="shared" si="223"/>
        <v>0</v>
      </c>
      <c r="J850" s="116">
        <f t="shared" si="223"/>
        <v>0</v>
      </c>
      <c r="K850" s="116">
        <f t="shared" si="223"/>
        <v>0</v>
      </c>
      <c r="L850" s="116">
        <f t="shared" si="223"/>
        <v>0</v>
      </c>
      <c r="M850" s="116">
        <f t="shared" si="203"/>
        <v>225903820</v>
      </c>
      <c r="N850" s="117">
        <f t="shared" ref="N850:U850" si="224">N106+N98+N90+N86+N80+N75+N72+N68+N61+N57+N54+N45+N51+N38+N31+N27+N8+N7</f>
        <v>0</v>
      </c>
      <c r="O850" s="117">
        <f t="shared" si="224"/>
        <v>-2912576</v>
      </c>
      <c r="P850" s="117">
        <f t="shared" si="224"/>
        <v>0</v>
      </c>
      <c r="Q850" s="117">
        <f t="shared" si="224"/>
        <v>0</v>
      </c>
      <c r="R850" s="117">
        <f t="shared" si="224"/>
        <v>0</v>
      </c>
      <c r="S850" s="117">
        <f t="shared" si="224"/>
        <v>0</v>
      </c>
      <c r="T850" s="117">
        <f t="shared" si="224"/>
        <v>222991244</v>
      </c>
      <c r="U850" s="117">
        <f t="shared" si="224"/>
        <v>152496037</v>
      </c>
      <c r="V850" s="2"/>
    </row>
    <row r="851" spans="1:22" ht="15" customHeight="1" x14ac:dyDescent="0.25">
      <c r="A851" s="146"/>
      <c r="B851" s="147"/>
      <c r="C851" s="116" t="s">
        <v>140</v>
      </c>
      <c r="D851" s="116">
        <f t="shared" ref="D851:M851" si="225">D102+D103+D101+D107+D99+D64+D63+D108+D106+D105+D104+D100+D98+D97+D96+D95+D94+D91+D90+D89+D87+D88+D86+D85+D84+D83+D82+D81+D80+D79+D77+D76+D75+D74+D73+D72+D71+D70+D69+D68+D67+D66+D65+D62+D61+D60+D59+D58+D57+D56+D55+D54+D53+D52+D51+D50+D49+D48+D47+D46+D45+D44+D43+D42+D41+D40+D39+D38+D37+D36+D35+D32+D31+D30+D29+D28+D27+D26+D25+D24+D23+D22+D21+D20+D19+D18+D17+D16+D15+D14+D13+D12+D11+D10+D8+D9+D7+D6+D5+D92+D93+D78</f>
        <v>295036017</v>
      </c>
      <c r="E851" s="116">
        <f t="shared" si="225"/>
        <v>0</v>
      </c>
      <c r="F851" s="116">
        <f t="shared" si="225"/>
        <v>3399000</v>
      </c>
      <c r="G851" s="116">
        <f t="shared" si="225"/>
        <v>0</v>
      </c>
      <c r="H851" s="116">
        <f t="shared" si="225"/>
        <v>0</v>
      </c>
      <c r="I851" s="116">
        <f t="shared" si="225"/>
        <v>0</v>
      </c>
      <c r="J851" s="116">
        <f t="shared" si="225"/>
        <v>0</v>
      </c>
      <c r="K851" s="116">
        <f t="shared" si="225"/>
        <v>0</v>
      </c>
      <c r="L851" s="116">
        <f t="shared" si="225"/>
        <v>0</v>
      </c>
      <c r="M851" s="116">
        <f t="shared" si="225"/>
        <v>298435017</v>
      </c>
      <c r="N851" s="116">
        <f>N102+N103+N101+N107+N99+N64+N63+N108+N106+N105+N104+N100+N33+N34+N98+N97+N96+N95+N94+N91+N90+N89+N87+N88+N86+N85+N84+N83+N82+N81+N80+N79+N77+N76+N75+N74+N73+N72+N71+N70+N69+N68+N67+N66+N65+N62+N61+N60+N59+N58+N57+N56+N55+N54+N53+N52+N51+N50+N49+N48+N47+N46+N45+N44+N43+N42+N41+N40+N39+N38+N37+N36+N35+N32+N31+N30+N29+N28+N27+N26+N25+N24+N23+N22+N21+N20+N19+N18+N17+N16+N15+N14+N13+N12+N11+N10+N8+N9+N7+N6+N5+N92+N93+N78</f>
        <v>0</v>
      </c>
      <c r="O851" s="116">
        <f t="shared" ref="O851:U851" si="226">O102+O103+O101+O107+O99+O64+O63+O108+O106+O105+O104+O100+O33+O34+O98+O97+O96+O95+O94+O91+O90+O89+O87+O88+O86+O85+O84+O83+O82+O81+O80+O79+O77+O76+O75+O74+O73+O72+O71+O70+O69+O68+O67+O66+O65+O62+O61+O60+O59+O58+O57+O56+O55+O54+O53+O52+O51+O50+O49+O48+O47+O46+O45+O44+O43+O42+O41+O40+O39+O38+O37+O36+O35+O32+O31+O30+O29+O28+O27+O26+O25+O24+O23+O22+O21+O20+O19+O18+O17+O16+O15+O14+O13+O12+O11+O10+O8+O9+O7+O6+O5+O92+O93+O78</f>
        <v>-2912576</v>
      </c>
      <c r="P851" s="116">
        <f t="shared" si="226"/>
        <v>0</v>
      </c>
      <c r="Q851" s="116">
        <f t="shared" si="226"/>
        <v>0</v>
      </c>
      <c r="R851" s="116">
        <f t="shared" si="226"/>
        <v>0</v>
      </c>
      <c r="S851" s="116">
        <f t="shared" si="226"/>
        <v>0</v>
      </c>
      <c r="T851" s="116">
        <f t="shared" si="226"/>
        <v>295522441</v>
      </c>
      <c r="U851" s="116">
        <f t="shared" si="226"/>
        <v>198478333</v>
      </c>
      <c r="V851" s="2"/>
    </row>
    <row r="852" spans="1:22" ht="15" customHeight="1" x14ac:dyDescent="0.25">
      <c r="A852" s="146"/>
      <c r="B852" s="147"/>
      <c r="C852" s="115" t="s">
        <v>40</v>
      </c>
      <c r="D852" s="115">
        <f t="shared" ref="D852:M852" si="227">D706+D828+D808+D804+D770+D765+D762+D732+D723+D719+D695+D692+D668+D659+D655+D630+D625+D621+D600+D591+D585+D557+D553+D547+D519+D515+D497+D491+D473+D465+D461+D441+D432+D428+D406+D391+D397+D389+D364+D341+D333+D330+D305+D298+D294+D275+D266+D252+D250+D246+D248+D244+D202+D187+D143+D166+D119+D110</f>
        <v>198413022</v>
      </c>
      <c r="E852" s="15">
        <f t="shared" si="227"/>
        <v>-804969</v>
      </c>
      <c r="F852" s="15">
        <f t="shared" si="227"/>
        <v>0</v>
      </c>
      <c r="G852" s="15">
        <f t="shared" si="227"/>
        <v>0</v>
      </c>
      <c r="H852" s="15">
        <f t="shared" si="227"/>
        <v>0</v>
      </c>
      <c r="I852" s="15">
        <f t="shared" si="227"/>
        <v>0</v>
      </c>
      <c r="J852" s="15">
        <f t="shared" si="227"/>
        <v>0</v>
      </c>
      <c r="K852" s="15">
        <f t="shared" si="227"/>
        <v>0</v>
      </c>
      <c r="L852" s="15">
        <f t="shared" si="227"/>
        <v>0</v>
      </c>
      <c r="M852" s="15">
        <f t="shared" si="227"/>
        <v>197608053</v>
      </c>
      <c r="N852" s="16">
        <f t="shared" ref="N852:T852" si="228">N706+N828+N808+N804+N770+N765+N762+N732+N723+N719+N695+N692+N668+N659+N655+N630+N625+N621+N600+N591+N585+N557+N553+N547+N519+N515+N497+N491+N473+N465+N461+N441+N432+N428+N406+N391+N397+N389+N364+N341+N333+N330+N305+N298+N294+N275+N266+N252+N250+N246+N248+N244+N202+N187+N143+N166+N119+N110</f>
        <v>-215301</v>
      </c>
      <c r="O852" s="16">
        <f t="shared" si="228"/>
        <v>-1276753</v>
      </c>
      <c r="P852" s="16">
        <f t="shared" si="228"/>
        <v>0</v>
      </c>
      <c r="Q852" s="16">
        <f t="shared" si="228"/>
        <v>0</v>
      </c>
      <c r="R852" s="16">
        <f t="shared" si="228"/>
        <v>0</v>
      </c>
      <c r="S852" s="16">
        <f t="shared" si="228"/>
        <v>0</v>
      </c>
      <c r="T852" s="16">
        <f t="shared" si="228"/>
        <v>196115999</v>
      </c>
      <c r="U852" s="16">
        <f>U706+U828+U808+U804+U770+U765+U762+U732+U723+U719+U695+U692+U668+U659+U655+U630+U625+U621+U600+U591+U585+U557+U553+U547+U519+U515+U497+U491+U473+U465+U461+U441+U432+U428+U406+U391+U397+U389+U364+U341+U333+U330+U305+U298+U294+U275+U266+U252+U250+U246+U248+U244+U202+U187+U143+U166+U119+U110</f>
        <v>115639516</v>
      </c>
      <c r="V852" s="2"/>
    </row>
    <row r="853" spans="1:22" ht="15" customHeight="1" x14ac:dyDescent="0.25">
      <c r="A853" s="146"/>
      <c r="B853" s="147"/>
      <c r="C853" s="115" t="s">
        <v>65</v>
      </c>
      <c r="D853" s="115">
        <f>D791+D230</f>
        <v>3180000</v>
      </c>
      <c r="E853" s="115">
        <f t="shared" ref="E853:U853" si="229">E791+E230</f>
        <v>0</v>
      </c>
      <c r="F853" s="115">
        <f t="shared" si="229"/>
        <v>0</v>
      </c>
      <c r="G853" s="115">
        <f t="shared" si="229"/>
        <v>0</v>
      </c>
      <c r="H853" s="115">
        <f t="shared" si="229"/>
        <v>0</v>
      </c>
      <c r="I853" s="115">
        <f t="shared" si="229"/>
        <v>0</v>
      </c>
      <c r="J853" s="115">
        <f t="shared" si="229"/>
        <v>0</v>
      </c>
      <c r="K853" s="115">
        <f t="shared" ref="K853:T853" si="230">K791+K230</f>
        <v>0</v>
      </c>
      <c r="L853" s="115">
        <f t="shared" si="230"/>
        <v>0</v>
      </c>
      <c r="M853" s="15">
        <f t="shared" si="230"/>
        <v>3180000</v>
      </c>
      <c r="N853" s="15">
        <f t="shared" si="230"/>
        <v>0</v>
      </c>
      <c r="O853" s="15">
        <f t="shared" si="230"/>
        <v>0</v>
      </c>
      <c r="P853" s="15">
        <f t="shared" si="230"/>
        <v>0</v>
      </c>
      <c r="Q853" s="15">
        <f t="shared" si="230"/>
        <v>0</v>
      </c>
      <c r="R853" s="15">
        <f t="shared" si="230"/>
        <v>0</v>
      </c>
      <c r="S853" s="15">
        <f t="shared" si="230"/>
        <v>0</v>
      </c>
      <c r="T853" s="15">
        <f t="shared" si="230"/>
        <v>3180000</v>
      </c>
      <c r="U853" s="15">
        <f t="shared" si="229"/>
        <v>2032069</v>
      </c>
      <c r="V853" s="2"/>
    </row>
    <row r="854" spans="1:22" ht="15" customHeight="1" x14ac:dyDescent="0.25">
      <c r="A854" s="146"/>
      <c r="B854" s="147"/>
      <c r="C854" s="115" t="s">
        <v>63</v>
      </c>
      <c r="D854" s="115">
        <f t="shared" ref="D854:M854" si="231">D771+D601+D342+D203+D474+D144</f>
        <v>1533000</v>
      </c>
      <c r="E854" s="115">
        <f t="shared" si="231"/>
        <v>0</v>
      </c>
      <c r="F854" s="115">
        <f t="shared" si="231"/>
        <v>0</v>
      </c>
      <c r="G854" s="115">
        <f t="shared" si="231"/>
        <v>0</v>
      </c>
      <c r="H854" s="115">
        <f t="shared" si="231"/>
        <v>0</v>
      </c>
      <c r="I854" s="115">
        <f t="shared" si="231"/>
        <v>0</v>
      </c>
      <c r="J854" s="115">
        <f t="shared" si="231"/>
        <v>0</v>
      </c>
      <c r="K854" s="115">
        <f t="shared" si="231"/>
        <v>0</v>
      </c>
      <c r="L854" s="115">
        <f t="shared" si="231"/>
        <v>0</v>
      </c>
      <c r="M854" s="115">
        <f t="shared" si="231"/>
        <v>1533000</v>
      </c>
      <c r="N854" s="115">
        <f t="shared" ref="N854:T854" si="232">N771+N601+N342+N203+N474+N144</f>
        <v>0</v>
      </c>
      <c r="O854" s="115">
        <f t="shared" si="232"/>
        <v>0</v>
      </c>
      <c r="P854" s="115">
        <f t="shared" si="232"/>
        <v>0</v>
      </c>
      <c r="Q854" s="115">
        <f t="shared" si="232"/>
        <v>0</v>
      </c>
      <c r="R854" s="115">
        <f t="shared" si="232"/>
        <v>0</v>
      </c>
      <c r="S854" s="115">
        <f t="shared" si="232"/>
        <v>0</v>
      </c>
      <c r="T854" s="115">
        <f t="shared" si="232"/>
        <v>1533000</v>
      </c>
      <c r="U854" s="115">
        <f>U771+U601+U342+U203+U474+U144</f>
        <v>1095000</v>
      </c>
      <c r="V854" s="2"/>
    </row>
    <row r="855" spans="1:22" ht="15" customHeight="1" x14ac:dyDescent="0.25">
      <c r="A855" s="146"/>
      <c r="B855" s="147"/>
      <c r="C855" s="115" t="s">
        <v>47</v>
      </c>
      <c r="D855" s="115">
        <f t="shared" ref="D855:M855" si="233">D809+D772+D733+D696+D669+D631+D602+D558+D520+D498+D475+D442+D407+D365+D343+D306+D276+D204+D188+D167+D145+D120</f>
        <v>6386300</v>
      </c>
      <c r="E855" s="115">
        <f t="shared" si="233"/>
        <v>0</v>
      </c>
      <c r="F855" s="115">
        <f t="shared" si="233"/>
        <v>0</v>
      </c>
      <c r="G855" s="115">
        <f t="shared" si="233"/>
        <v>0</v>
      </c>
      <c r="H855" s="115">
        <f t="shared" si="233"/>
        <v>0</v>
      </c>
      <c r="I855" s="115">
        <f t="shared" si="233"/>
        <v>0</v>
      </c>
      <c r="J855" s="115">
        <f t="shared" si="233"/>
        <v>0</v>
      </c>
      <c r="K855" s="115">
        <f t="shared" si="233"/>
        <v>0</v>
      </c>
      <c r="L855" s="115">
        <f t="shared" si="233"/>
        <v>0</v>
      </c>
      <c r="M855" s="15">
        <f t="shared" si="233"/>
        <v>6386300</v>
      </c>
      <c r="N855" s="15">
        <f t="shared" ref="N855:T855" si="234">N809+N772+N733+N696+N669+N631+N602+N558+N520+N498+N475+N442+N407+N365+N343+N306+N276+N204+N188+N167+N145+N120</f>
        <v>0</v>
      </c>
      <c r="O855" s="15">
        <f t="shared" si="234"/>
        <v>0</v>
      </c>
      <c r="P855" s="15">
        <f t="shared" si="234"/>
        <v>0</v>
      </c>
      <c r="Q855" s="15">
        <f t="shared" si="234"/>
        <v>0</v>
      </c>
      <c r="R855" s="15">
        <f t="shared" si="234"/>
        <v>0</v>
      </c>
      <c r="S855" s="15">
        <f t="shared" si="234"/>
        <v>0</v>
      </c>
      <c r="T855" s="15">
        <f t="shared" si="234"/>
        <v>6386300</v>
      </c>
      <c r="U855" s="15">
        <f>U809+U772+U733+U696+U669+U631+U602+U558+U520+U498+U475+U442+U407+U365+U343+U306+U276+U204+U188+U167+U145+U120</f>
        <v>2804886</v>
      </c>
      <c r="V855" s="2"/>
    </row>
    <row r="856" spans="1:22" ht="15" customHeight="1" x14ac:dyDescent="0.25">
      <c r="A856" s="146"/>
      <c r="B856" s="147"/>
      <c r="C856" s="115" t="s">
        <v>48</v>
      </c>
      <c r="D856" s="115">
        <f t="shared" ref="D856:M856" si="235">D810+D773+D734+D697+D670+D632+D603+D559+D521+D499+D476+D443+D408+D366+D344+D307+D277+D205+D189+D168+D146+D121</f>
        <v>648630</v>
      </c>
      <c r="E856" s="115">
        <f t="shared" si="235"/>
        <v>0</v>
      </c>
      <c r="F856" s="115">
        <f t="shared" si="235"/>
        <v>0</v>
      </c>
      <c r="G856" s="115">
        <f t="shared" si="235"/>
        <v>0</v>
      </c>
      <c r="H856" s="115">
        <f t="shared" si="235"/>
        <v>0</v>
      </c>
      <c r="I856" s="115">
        <f t="shared" si="235"/>
        <v>0</v>
      </c>
      <c r="J856" s="115">
        <f t="shared" si="235"/>
        <v>0</v>
      </c>
      <c r="K856" s="115">
        <f t="shared" si="235"/>
        <v>0</v>
      </c>
      <c r="L856" s="115">
        <f t="shared" si="235"/>
        <v>0</v>
      </c>
      <c r="M856" s="15">
        <f t="shared" si="235"/>
        <v>648630</v>
      </c>
      <c r="N856" s="15">
        <f t="shared" ref="N856:T856" si="236">N810+N773+N734+N697+N670+N632+N603+N559+N521+N499+N476+N443+N408+N366+N344+N307+N277+N205+N189+N168+N146+N121</f>
        <v>0</v>
      </c>
      <c r="O856" s="15">
        <f t="shared" si="236"/>
        <v>0</v>
      </c>
      <c r="P856" s="15">
        <f t="shared" si="236"/>
        <v>0</v>
      </c>
      <c r="Q856" s="15">
        <f t="shared" si="236"/>
        <v>0</v>
      </c>
      <c r="R856" s="15">
        <f t="shared" si="236"/>
        <v>0</v>
      </c>
      <c r="S856" s="15">
        <f t="shared" si="236"/>
        <v>0</v>
      </c>
      <c r="T856" s="15">
        <f t="shared" si="236"/>
        <v>648630</v>
      </c>
      <c r="U856" s="15">
        <f>U810+U773+U734+U697+U670+U632+U603+U559+U521+U499+U476+U443+U408+U366+U344+U307+U277+U205+U189+U168+U146+U121</f>
        <v>0</v>
      </c>
      <c r="V856" s="2"/>
    </row>
    <row r="857" spans="1:22" ht="15" customHeight="1" x14ac:dyDescent="0.25">
      <c r="A857" s="146"/>
      <c r="B857" s="147"/>
      <c r="C857" s="115" t="s">
        <v>49</v>
      </c>
      <c r="D857" s="118">
        <f t="shared" ref="D857:M857" si="237">D633+D604+D444+D206+D169+D147+D122+D431+D590+D658+D671+D345+D774+D560</f>
        <v>1336000</v>
      </c>
      <c r="E857" s="118">
        <f t="shared" si="237"/>
        <v>0</v>
      </c>
      <c r="F857" s="118">
        <f t="shared" si="237"/>
        <v>0</v>
      </c>
      <c r="G857" s="118">
        <f t="shared" si="237"/>
        <v>0</v>
      </c>
      <c r="H857" s="118">
        <f t="shared" si="237"/>
        <v>0</v>
      </c>
      <c r="I857" s="118">
        <f t="shared" si="237"/>
        <v>0</v>
      </c>
      <c r="J857" s="118">
        <f t="shared" si="237"/>
        <v>0</v>
      </c>
      <c r="K857" s="118">
        <f t="shared" si="237"/>
        <v>0</v>
      </c>
      <c r="L857" s="118">
        <f t="shared" si="237"/>
        <v>0</v>
      </c>
      <c r="M857" s="118">
        <f t="shared" si="237"/>
        <v>1336000</v>
      </c>
      <c r="N857" s="118">
        <f t="shared" ref="N857:T857" si="238">N633+N604+N444+N206+N169+N147+N122+N431+N590+N658+N671+N345+N774+N560</f>
        <v>0</v>
      </c>
      <c r="O857" s="118">
        <f t="shared" si="238"/>
        <v>0</v>
      </c>
      <c r="P857" s="118">
        <f t="shared" si="238"/>
        <v>0</v>
      </c>
      <c r="Q857" s="118">
        <f t="shared" si="238"/>
        <v>0</v>
      </c>
      <c r="R857" s="118">
        <f t="shared" si="238"/>
        <v>0</v>
      </c>
      <c r="S857" s="118">
        <f t="shared" si="238"/>
        <v>0</v>
      </c>
      <c r="T857" s="118">
        <f t="shared" si="238"/>
        <v>1336000</v>
      </c>
      <c r="U857" s="118">
        <f>U633+U604+U444+U206+U169+U147+U122+U431+U590+U658+U671+U345+U774+U560</f>
        <v>7056</v>
      </c>
      <c r="V857" s="2"/>
    </row>
    <row r="858" spans="1:22" ht="15" customHeight="1" x14ac:dyDescent="0.25">
      <c r="A858" s="146"/>
      <c r="B858" s="147"/>
      <c r="C858" s="115" t="s">
        <v>50</v>
      </c>
      <c r="D858" s="115">
        <f t="shared" ref="D858:M858" si="239">D811+D775+D735+D698+D672+D634+D561+D605+D522+D500+D477+D445+D409+D367+D346+D308+D278+D207+D190+D170+D148+D123</f>
        <v>775500</v>
      </c>
      <c r="E858" s="115">
        <f t="shared" si="239"/>
        <v>0</v>
      </c>
      <c r="F858" s="115">
        <f t="shared" si="239"/>
        <v>0</v>
      </c>
      <c r="G858" s="115">
        <f t="shared" si="239"/>
        <v>0</v>
      </c>
      <c r="H858" s="115">
        <f t="shared" si="239"/>
        <v>0</v>
      </c>
      <c r="I858" s="115">
        <f t="shared" si="239"/>
        <v>0</v>
      </c>
      <c r="J858" s="115">
        <f t="shared" si="239"/>
        <v>0</v>
      </c>
      <c r="K858" s="115">
        <f t="shared" si="239"/>
        <v>0</v>
      </c>
      <c r="L858" s="115">
        <f t="shared" si="239"/>
        <v>0</v>
      </c>
      <c r="M858" s="115">
        <f t="shared" si="239"/>
        <v>775500</v>
      </c>
      <c r="N858" s="115">
        <f t="shared" ref="N858:T858" si="240">N811+N775+N735+N698+N672+N634+N561+N605+N522+N500+N477+N445+N409+N367+N346+N308+N278+N207+N190+N170+N148+N123</f>
        <v>0</v>
      </c>
      <c r="O858" s="115">
        <f t="shared" si="240"/>
        <v>0</v>
      </c>
      <c r="P858" s="115">
        <f t="shared" si="240"/>
        <v>0</v>
      </c>
      <c r="Q858" s="115">
        <f t="shared" si="240"/>
        <v>0</v>
      </c>
      <c r="R858" s="115">
        <f t="shared" si="240"/>
        <v>0</v>
      </c>
      <c r="S858" s="115">
        <f t="shared" si="240"/>
        <v>0</v>
      </c>
      <c r="T858" s="115">
        <f t="shared" si="240"/>
        <v>775500</v>
      </c>
      <c r="U858" s="115">
        <f>U811+U775+U735+U698+U672+U634+U561+U605+U522+U500+U477+U445+U409+U367+U346+U308+U278+U207+U190+U170+U148+U123</f>
        <v>343000</v>
      </c>
      <c r="V858" s="2"/>
    </row>
    <row r="859" spans="1:22" ht="15" customHeight="1" x14ac:dyDescent="0.25">
      <c r="A859" s="146"/>
      <c r="B859" s="147"/>
      <c r="C859" s="115" t="s">
        <v>51</v>
      </c>
      <c r="D859" s="115">
        <f t="shared" ref="D859:M859" si="241">D149+D812+D776+D736+D724+D699+D673+D660+D635+D606+D592+D587+D562+D554+D549+D523+D501+D493+D478+D466+D446+D433+D410+D398+D393+D368+D347+D334+D309+D299+D279+D267+D262+D260+D258+D256+D254+D208+D191+D171+D124+D111</f>
        <v>1988400</v>
      </c>
      <c r="E859" s="115">
        <f t="shared" si="241"/>
        <v>804969</v>
      </c>
      <c r="F859" s="115">
        <f t="shared" si="241"/>
        <v>0</v>
      </c>
      <c r="G859" s="115">
        <f t="shared" si="241"/>
        <v>0</v>
      </c>
      <c r="H859" s="115">
        <f t="shared" si="241"/>
        <v>0</v>
      </c>
      <c r="I859" s="115">
        <f t="shared" si="241"/>
        <v>0</v>
      </c>
      <c r="J859" s="115">
        <f t="shared" si="241"/>
        <v>0</v>
      </c>
      <c r="K859" s="115">
        <f t="shared" si="241"/>
        <v>0</v>
      </c>
      <c r="L859" s="115">
        <f t="shared" si="241"/>
        <v>0</v>
      </c>
      <c r="M859" s="15">
        <f t="shared" si="241"/>
        <v>2793369</v>
      </c>
      <c r="N859" s="15">
        <f t="shared" ref="N859:T859" si="242">N149+N812+N776+N736+N724+N699+N673+N660+N635+N606+N592+N587+N562+N554+N549+N523+N501+N493+N478+N466+N446+N433+N410+N398+N393+N368+N347+N334+N309+N299+N279+N267+N262+N260+N258+N256+N254+N208+N191+N171+N124+N111</f>
        <v>215301</v>
      </c>
      <c r="O859" s="15">
        <f t="shared" si="242"/>
        <v>0</v>
      </c>
      <c r="P859" s="15">
        <f t="shared" si="242"/>
        <v>0</v>
      </c>
      <c r="Q859" s="15">
        <f t="shared" si="242"/>
        <v>0</v>
      </c>
      <c r="R859" s="15">
        <f t="shared" si="242"/>
        <v>0</v>
      </c>
      <c r="S859" s="15">
        <f t="shared" si="242"/>
        <v>0</v>
      </c>
      <c r="T859" s="15">
        <f t="shared" si="242"/>
        <v>3008670</v>
      </c>
      <c r="U859" s="15">
        <f>U149+U812+U776+U736+U724+U699+U673+U660+U635+U606+U592+U587+U562+U554+U549+U523+U501+U493+U478+U466+U446+U433+U410+U398+U393+U368+U347+U334+U309+U299+U279+U267+U262+U260+U258+U256+U254+U208+U191+U171+U124+U111</f>
        <v>1070190</v>
      </c>
      <c r="V859" s="2"/>
    </row>
    <row r="860" spans="1:22" ht="15" customHeight="1" x14ac:dyDescent="0.25">
      <c r="A860" s="146"/>
      <c r="B860" s="147"/>
      <c r="C860" s="115" t="s">
        <v>52</v>
      </c>
      <c r="D860" s="115">
        <f t="shared" ref="D860:M860" si="243">D792+D636+D348+D280+D231+D209+D125+D737</f>
        <v>1120000</v>
      </c>
      <c r="E860" s="115">
        <f t="shared" si="243"/>
        <v>0</v>
      </c>
      <c r="F860" s="115">
        <f t="shared" si="243"/>
        <v>0</v>
      </c>
      <c r="G860" s="115">
        <f t="shared" si="243"/>
        <v>0</v>
      </c>
      <c r="H860" s="115">
        <f t="shared" si="243"/>
        <v>0</v>
      </c>
      <c r="I860" s="115">
        <f t="shared" si="243"/>
        <v>0</v>
      </c>
      <c r="J860" s="115">
        <f t="shared" si="243"/>
        <v>0</v>
      </c>
      <c r="K860" s="115">
        <f t="shared" si="243"/>
        <v>0</v>
      </c>
      <c r="L860" s="115">
        <f t="shared" si="243"/>
        <v>0</v>
      </c>
      <c r="M860" s="16">
        <f t="shared" si="243"/>
        <v>1120000</v>
      </c>
      <c r="N860" s="16">
        <f t="shared" ref="N860:T860" si="244">N792+N636+N348+N280+N231+N209+N125+N737</f>
        <v>0</v>
      </c>
      <c r="O860" s="16">
        <f t="shared" si="244"/>
        <v>0</v>
      </c>
      <c r="P860" s="16">
        <f t="shared" si="244"/>
        <v>0</v>
      </c>
      <c r="Q860" s="16">
        <f t="shared" si="244"/>
        <v>0</v>
      </c>
      <c r="R860" s="16">
        <f t="shared" si="244"/>
        <v>0</v>
      </c>
      <c r="S860" s="16">
        <f t="shared" si="244"/>
        <v>0</v>
      </c>
      <c r="T860" s="16">
        <f t="shared" si="244"/>
        <v>1120000</v>
      </c>
      <c r="U860" s="16">
        <f>U792+U636+U348+U280+U231+U209+U125+U737</f>
        <v>680000</v>
      </c>
      <c r="V860" s="2"/>
    </row>
    <row r="861" spans="1:22" ht="15" customHeight="1" x14ac:dyDescent="0.25">
      <c r="A861" s="146"/>
      <c r="B861" s="147"/>
      <c r="C861" s="116" t="s">
        <v>41</v>
      </c>
      <c r="D861" s="117">
        <f t="shared" ref="D861:M861" si="245">D262+D260+D258+D256+D254+D393+D493+D549+D587+D828+D813+D804+D793+D777+D765+D762+D738+D725+D719+D707+D700+D692+D674+D661+D655+D637+D625+D621+D607+D593+D585+D563+D555+D547+D524+D515+D502+D491+D479+D467+D461+D447+D434+D428+D411+D399+D391+D389+D369+D349+D335+D330+D310+D300+D294+D281+D268+D252+D250+D248+D246+D244+D232+D210+D192+D172+D150+D126+D112</f>
        <v>215380852</v>
      </c>
      <c r="E861" s="117">
        <f t="shared" si="245"/>
        <v>0</v>
      </c>
      <c r="F861" s="117">
        <f t="shared" si="245"/>
        <v>0</v>
      </c>
      <c r="G861" s="117">
        <f t="shared" si="245"/>
        <v>0</v>
      </c>
      <c r="H861" s="117">
        <f t="shared" si="245"/>
        <v>0</v>
      </c>
      <c r="I861" s="117">
        <f t="shared" si="245"/>
        <v>0</v>
      </c>
      <c r="J861" s="117">
        <f t="shared" si="245"/>
        <v>0</v>
      </c>
      <c r="K861" s="117">
        <f t="shared" si="245"/>
        <v>0</v>
      </c>
      <c r="L861" s="117">
        <f t="shared" si="245"/>
        <v>0</v>
      </c>
      <c r="M861" s="117">
        <f t="shared" si="245"/>
        <v>215380852</v>
      </c>
      <c r="N861" s="117">
        <f t="shared" ref="N861:T861" si="246">N262+N260+N258+N256+N254+N393+N493+N549+N587+N828+N813+N804+N793+N777+N765+N762+N738+N725+N719+N707+N700+N692+N674+N661+N655+N637+N625+N621+N607+N593+N585+N563+N555+N547+N524+N515+N502+N491+N479+N467+N461+N447+N434+N428+N411+N399+N391+N389+N369+N349+N335+N330+N310+N300+N294+N281+N268+N252+N250+N248+N246+N244+N232+N210+N192+N172+N150+N126+N112</f>
        <v>0</v>
      </c>
      <c r="O861" s="117">
        <f t="shared" si="246"/>
        <v>-1276753</v>
      </c>
      <c r="P861" s="117">
        <f t="shared" si="246"/>
        <v>0</v>
      </c>
      <c r="Q861" s="117">
        <f t="shared" si="246"/>
        <v>0</v>
      </c>
      <c r="R861" s="117">
        <f t="shared" si="246"/>
        <v>0</v>
      </c>
      <c r="S861" s="117">
        <f t="shared" si="246"/>
        <v>0</v>
      </c>
      <c r="T861" s="117">
        <f t="shared" si="246"/>
        <v>214104099</v>
      </c>
      <c r="U861" s="117">
        <f>U262+U260+U258+U256+U254+U393+U493+U549+U587+U828+U813+U804+U793+U777+U765+U762+U738+U725+U719+U707+U700+U692+U674+U661+U655+U637+U625+U621+U607+U593+U585+U563+U555+U547+U524+U515+U502+U491+U479+U467+U461+U447+U434+U428+U411+U399+U391+U389+U369+U349+U335+U330+U310+U300+U294+U281+U268+U252+U250+U248+U246+U244+U232+U210+U192+U172+U150+U126+U112</f>
        <v>123671717</v>
      </c>
      <c r="V861" s="2"/>
    </row>
    <row r="862" spans="1:22" ht="15" customHeight="1" x14ac:dyDescent="0.25">
      <c r="A862" s="146"/>
      <c r="B862" s="147"/>
      <c r="C862" s="116" t="s">
        <v>42</v>
      </c>
      <c r="D862" s="116">
        <f t="shared" ref="D862:L862" si="247">D708+D829+D814+D805+D794+D778+D766+D763+D739+D726+D720+D701+D693+D675+D662+D656+D638+D626+D622+D608+D594+D588+D586+D564+D556+D550+D548+D525+D516+D503+D494+D492+D480+D468+D462+D448+D435+D429+D412+D400+D394+D392+D390+D370+D350+D336+D331+D311+D301+D295+D282+D269+D263+D261+D259+D257+D255+D253+D251+D249+D247+D245+D233+D211+D193+D173+D151+D127+D113</f>
        <v>32816915</v>
      </c>
      <c r="E862" s="116">
        <f t="shared" si="247"/>
        <v>0</v>
      </c>
      <c r="F862" s="116">
        <f t="shared" si="247"/>
        <v>0</v>
      </c>
      <c r="G862" s="116">
        <f t="shared" si="247"/>
        <v>0</v>
      </c>
      <c r="H862" s="116">
        <f t="shared" si="247"/>
        <v>0</v>
      </c>
      <c r="I862" s="116">
        <f t="shared" si="247"/>
        <v>0</v>
      </c>
      <c r="J862" s="116">
        <f t="shared" si="247"/>
        <v>0</v>
      </c>
      <c r="K862" s="116">
        <f t="shared" si="247"/>
        <v>0</v>
      </c>
      <c r="L862" s="116">
        <f t="shared" si="247"/>
        <v>0</v>
      </c>
      <c r="M862" s="116">
        <f t="shared" ref="M862:M884" si="248">D862+E862+F862+G862+H862+J862+I862+K862+L862</f>
        <v>32816915</v>
      </c>
      <c r="N862" s="117">
        <f t="shared" ref="N862:T862" si="249">N829+N814+N805+N794+N778+N766+N763+N739+N726+N720+N708+N701+N693+N675+N662+N656+N638+N626+N622+N608+N594+N588+N586+N564+N556+N550+N548+N525+N516+N503+N494+N492+N480+N468+N462+N448+N435+N429+N412+N400+N394+N392+N390+N370+N350+N336+N331+N311+N301+N295+N282+N269+N263+N261+N259+N257+N255+N253+N251+N249+N247+N245+N233+N211+N193+N173+N151+N127+N113</f>
        <v>0</v>
      </c>
      <c r="O862" s="117">
        <f t="shared" si="249"/>
        <v>-197897</v>
      </c>
      <c r="P862" s="117">
        <f t="shared" si="249"/>
        <v>0</v>
      </c>
      <c r="Q862" s="117">
        <f t="shared" si="249"/>
        <v>0</v>
      </c>
      <c r="R862" s="117">
        <f t="shared" si="249"/>
        <v>0</v>
      </c>
      <c r="S862" s="117">
        <f t="shared" si="249"/>
        <v>0</v>
      </c>
      <c r="T862" s="117">
        <f t="shared" si="249"/>
        <v>32619018</v>
      </c>
      <c r="U862" s="117">
        <f>U829+U814+U805+U794+U778+U766+U763+U739+U726+U720+U708+U701+U693+U675+U662+U656+U638+U626+U622+U608+U594+U588+U586+U564+U556+U550+U548+U525+U516+U503+U494+U492+U480+U468+U462+U448+U435+U429+U412+U400+U394+U392+U390+U370+U350+U336+U331+U311+U301+U295+U282+U269+U263+U261+U259+U257+U255+U253+U251+U249+U247+U245+U233+U211+U193+U173+U151+U127+U113</f>
        <v>18813701</v>
      </c>
      <c r="V862" s="2"/>
    </row>
    <row r="863" spans="1:22" ht="15" customHeight="1" x14ac:dyDescent="0.25">
      <c r="A863" s="146"/>
      <c r="B863" s="147"/>
      <c r="C863" s="115" t="s">
        <v>43</v>
      </c>
      <c r="D863" s="15">
        <f t="shared" ref="D863:M863" si="250">D702+D815+D795+D779+D767+D740+D727+D709+D676+D663+D639+D627+D609+D595+D565+D526+D504+D481+D469+D449+D436+D413+D401+D371+D351+D337+D312+D283+D302+D270+D234+D212+D174+D152+D128+D114+D194</f>
        <v>535000</v>
      </c>
      <c r="E863" s="15">
        <f t="shared" si="250"/>
        <v>-8000</v>
      </c>
      <c r="F863" s="15">
        <f t="shared" si="250"/>
        <v>0</v>
      </c>
      <c r="G863" s="15">
        <f t="shared" si="250"/>
        <v>0</v>
      </c>
      <c r="H863" s="15">
        <f t="shared" si="250"/>
        <v>0</v>
      </c>
      <c r="I863" s="15">
        <f t="shared" si="250"/>
        <v>0</v>
      </c>
      <c r="J863" s="15">
        <f t="shared" si="250"/>
        <v>0</v>
      </c>
      <c r="K863" s="15">
        <f t="shared" si="250"/>
        <v>0</v>
      </c>
      <c r="L863" s="15">
        <f t="shared" si="250"/>
        <v>0</v>
      </c>
      <c r="M863" s="15">
        <f t="shared" si="250"/>
        <v>527000</v>
      </c>
      <c r="N863" s="15">
        <f t="shared" ref="N863:T863" si="251">N702+N815+N795+N779+N767+N740+N727+N709+N676+N663+N639+N627+N609+N595+N565+N526+N504+N481+N469+N449+N436+N413+N401+N371+N351+N337+N312+N283+N302+N270+N234+N212+N174+N152+N128+N114+N194</f>
        <v>-10000</v>
      </c>
      <c r="O863" s="15">
        <f t="shared" si="251"/>
        <v>0</v>
      </c>
      <c r="P863" s="15">
        <f t="shared" si="251"/>
        <v>0</v>
      </c>
      <c r="Q863" s="15">
        <f t="shared" si="251"/>
        <v>0</v>
      </c>
      <c r="R863" s="15">
        <f t="shared" si="251"/>
        <v>0</v>
      </c>
      <c r="S863" s="15">
        <f t="shared" si="251"/>
        <v>0</v>
      </c>
      <c r="T863" s="15">
        <f t="shared" si="251"/>
        <v>517000</v>
      </c>
      <c r="U863" s="15">
        <f>U702+U815+U795+U779+U767+U740+U727+U709+U676+U663+U639+U627+U609+U595+U565+U526+U504+U481+U469+U449+U436+U413+U401+U371+U351+U337+U312+U283+U302+U270+U234+U212+U174+U152+U128+U114+U194</f>
        <v>33724</v>
      </c>
      <c r="V863" s="2"/>
    </row>
    <row r="864" spans="1:22" ht="15" customHeight="1" x14ac:dyDescent="0.25">
      <c r="A864" s="146"/>
      <c r="B864" s="147"/>
      <c r="C864" s="115" t="s">
        <v>53</v>
      </c>
      <c r="D864" s="115">
        <f t="shared" ref="D864:N864" si="252">D728+D703+D664+D596+D437+D402+D271+D115+D816+D796+D780+D741+D710+D677+D640+D610+D566+D527+D505+D482+D450+D414+D372+D352+D313+D284+D213+D195+D175+D153+D129+D235</f>
        <v>2531000</v>
      </c>
      <c r="E864" s="115">
        <f t="shared" si="252"/>
        <v>-51063</v>
      </c>
      <c r="F864" s="115">
        <f t="shared" si="252"/>
        <v>2288072</v>
      </c>
      <c r="G864" s="115">
        <f t="shared" si="252"/>
        <v>0</v>
      </c>
      <c r="H864" s="115">
        <f t="shared" si="252"/>
        <v>0</v>
      </c>
      <c r="I864" s="115">
        <f t="shared" si="252"/>
        <v>0</v>
      </c>
      <c r="J864" s="115">
        <f t="shared" si="252"/>
        <v>0</v>
      </c>
      <c r="K864" s="115">
        <f t="shared" si="252"/>
        <v>0</v>
      </c>
      <c r="L864" s="115">
        <f t="shared" si="252"/>
        <v>0</v>
      </c>
      <c r="M864" s="115">
        <f t="shared" si="252"/>
        <v>4768009</v>
      </c>
      <c r="N864" s="115">
        <f t="shared" si="252"/>
        <v>-602545</v>
      </c>
      <c r="O864" s="115">
        <f t="shared" ref="O864:T864" si="253">O728+O703+O664+O596+O437+O402+O271+O115+O816+O796+O780+O741+O710+O677+O640+O610+O566+O527+O505+O482+O450+O414+O372+O352+O313+O284+O213+O195+O175+O153+O129+O235</f>
        <v>59055</v>
      </c>
      <c r="P864" s="115">
        <f t="shared" si="253"/>
        <v>0</v>
      </c>
      <c r="Q864" s="115">
        <f t="shared" si="253"/>
        <v>0</v>
      </c>
      <c r="R864" s="115">
        <f t="shared" si="253"/>
        <v>0</v>
      </c>
      <c r="S864" s="115">
        <f t="shared" si="253"/>
        <v>0</v>
      </c>
      <c r="T864" s="118">
        <f t="shared" si="253"/>
        <v>4224519</v>
      </c>
      <c r="U864" s="115">
        <f>U728+U703+U664+U596+U437+U402+U271+U115+U816+U796+U780+U741+U710+U677+U640+U610+U566+U527+U505+U482+U450+U414+U372+U352+U313+U284+U213+U195+U175+U153+U129+U235</f>
        <v>1462008</v>
      </c>
      <c r="V864" s="2"/>
    </row>
    <row r="865" spans="1:22" ht="15" customHeight="1" x14ac:dyDescent="0.25">
      <c r="A865" s="146"/>
      <c r="B865" s="147"/>
      <c r="C865" s="115" t="s">
        <v>54</v>
      </c>
      <c r="D865" s="115">
        <f t="shared" ref="D865:L865" si="254">D781+D742+D353+D214+D176+D154+D130</f>
        <v>513672</v>
      </c>
      <c r="E865" s="115">
        <f t="shared" si="254"/>
        <v>0</v>
      </c>
      <c r="F865" s="115">
        <f t="shared" si="254"/>
        <v>0</v>
      </c>
      <c r="G865" s="115">
        <f t="shared" si="254"/>
        <v>0</v>
      </c>
      <c r="H865" s="115">
        <f t="shared" si="254"/>
        <v>0</v>
      </c>
      <c r="I865" s="115">
        <f t="shared" si="254"/>
        <v>0</v>
      </c>
      <c r="J865" s="115">
        <f t="shared" si="254"/>
        <v>0</v>
      </c>
      <c r="K865" s="115">
        <f t="shared" si="254"/>
        <v>0</v>
      </c>
      <c r="L865" s="115">
        <f t="shared" si="254"/>
        <v>0</v>
      </c>
      <c r="M865" s="115">
        <f>D865+E865+F865+G865+H865+J865+I865+K865+L865+M451+M506+M528+M567+M641+M678+M817</f>
        <v>513672</v>
      </c>
      <c r="N865" s="130">
        <f t="shared" ref="N865:T865" si="255">SUM(N130,N154,N176,N214,N353,N451,N506,N528,N567,N641,N678,N742,N781,N817)</f>
        <v>287174</v>
      </c>
      <c r="O865" s="130">
        <f t="shared" si="255"/>
        <v>19685</v>
      </c>
      <c r="P865" s="130">
        <f t="shared" si="255"/>
        <v>0</v>
      </c>
      <c r="Q865" s="130">
        <f t="shared" si="255"/>
        <v>0</v>
      </c>
      <c r="R865" s="130">
        <f t="shared" si="255"/>
        <v>0</v>
      </c>
      <c r="S865" s="130">
        <f t="shared" si="255"/>
        <v>0</v>
      </c>
      <c r="T865" s="131">
        <f t="shared" si="255"/>
        <v>820531</v>
      </c>
      <c r="U865" s="130">
        <f>SUM(U130,U154,U176,U214,U353,U451,U506,U528,U567,U641,U678,U742,U781,U817)</f>
        <v>627772</v>
      </c>
      <c r="V865" s="2"/>
    </row>
    <row r="866" spans="1:22" ht="15" customHeight="1" x14ac:dyDescent="0.25">
      <c r="A866" s="146"/>
      <c r="B866" s="147"/>
      <c r="C866" s="115" t="s">
        <v>55</v>
      </c>
      <c r="D866" s="115">
        <f t="shared" ref="D866:L866" si="256">D797+D782+D354+D236+D215+D177+D155+D131+D817+D743+D711+D678+D641+D611+D567+D528+D506+D483+D451+D415+D373+D314+D285</f>
        <v>756456</v>
      </c>
      <c r="E866" s="115">
        <f t="shared" si="256"/>
        <v>700</v>
      </c>
      <c r="F866" s="115">
        <f t="shared" si="256"/>
        <v>0</v>
      </c>
      <c r="G866" s="115">
        <f t="shared" si="256"/>
        <v>0</v>
      </c>
      <c r="H866" s="115">
        <f t="shared" si="256"/>
        <v>0</v>
      </c>
      <c r="I866" s="115">
        <f t="shared" si="256"/>
        <v>0</v>
      </c>
      <c r="J866" s="115">
        <f t="shared" si="256"/>
        <v>0</v>
      </c>
      <c r="K866" s="115">
        <f t="shared" si="256"/>
        <v>0</v>
      </c>
      <c r="L866" s="115">
        <f t="shared" si="256"/>
        <v>0</v>
      </c>
      <c r="M866" s="118">
        <f>D866+E866+F866+G866+H866+J866+I866+K866+L866</f>
        <v>757156</v>
      </c>
      <c r="N866" s="16">
        <f t="shared" ref="N866:T866" si="257">N797+N782+N354+N236+N215+N177+N155+N131+N743+N711+N611+N483+N415+N373+N314+N285</f>
        <v>21600</v>
      </c>
      <c r="O866" s="16">
        <f t="shared" si="257"/>
        <v>0</v>
      </c>
      <c r="P866" s="16">
        <f t="shared" si="257"/>
        <v>0</v>
      </c>
      <c r="Q866" s="16">
        <f t="shared" si="257"/>
        <v>0</v>
      </c>
      <c r="R866" s="16">
        <f t="shared" si="257"/>
        <v>0</v>
      </c>
      <c r="S866" s="16">
        <f t="shared" si="257"/>
        <v>0</v>
      </c>
      <c r="T866" s="16">
        <f t="shared" si="257"/>
        <v>778756</v>
      </c>
      <c r="U866" s="16">
        <f>U797+U782+U354+U236+U215+U177+U155+U131+U743+U711+U611+U483+U415+U373+U314+U285</f>
        <v>464799</v>
      </c>
      <c r="V866" s="2"/>
    </row>
    <row r="867" spans="1:22" ht="15" customHeight="1" x14ac:dyDescent="0.25">
      <c r="A867" s="146"/>
      <c r="B867" s="147"/>
      <c r="C867" s="115" t="s">
        <v>56</v>
      </c>
      <c r="D867" s="115">
        <f t="shared" ref="D867:L867" si="258">D744+D679+D612+D568+D529+D507+D452+D355+D286+D216+D178+D156+D132+D416</f>
        <v>5200000</v>
      </c>
      <c r="E867" s="115">
        <f t="shared" si="258"/>
        <v>0</v>
      </c>
      <c r="F867" s="115">
        <f t="shared" si="258"/>
        <v>0</v>
      </c>
      <c r="G867" s="115">
        <f t="shared" si="258"/>
        <v>0</v>
      </c>
      <c r="H867" s="115">
        <f t="shared" si="258"/>
        <v>0</v>
      </c>
      <c r="I867" s="115">
        <f t="shared" si="258"/>
        <v>0</v>
      </c>
      <c r="J867" s="115">
        <f t="shared" si="258"/>
        <v>0</v>
      </c>
      <c r="K867" s="115">
        <f t="shared" si="258"/>
        <v>0</v>
      </c>
      <c r="L867" s="115">
        <f t="shared" si="258"/>
        <v>0</v>
      </c>
      <c r="M867" s="118">
        <f t="shared" si="248"/>
        <v>5200000</v>
      </c>
      <c r="N867" s="118">
        <f t="shared" ref="N867:T867" si="259">N744+N679+N612+N568+N529+N507+N452+N355+N286+N216+N178+N156+N132+N416</f>
        <v>0</v>
      </c>
      <c r="O867" s="118">
        <f t="shared" si="259"/>
        <v>-221036</v>
      </c>
      <c r="P867" s="118">
        <f t="shared" si="259"/>
        <v>0</v>
      </c>
      <c r="Q867" s="118">
        <f t="shared" si="259"/>
        <v>0</v>
      </c>
      <c r="R867" s="118">
        <f t="shared" si="259"/>
        <v>0</v>
      </c>
      <c r="S867" s="118">
        <f t="shared" si="259"/>
        <v>0</v>
      </c>
      <c r="T867" s="118">
        <f t="shared" si="259"/>
        <v>4978964</v>
      </c>
      <c r="U867" s="118">
        <f>U744+U679+U612+U568+U529+U507+U452+U355+U286+U216+U178+U156+U132+U416</f>
        <v>2991532</v>
      </c>
      <c r="V867" s="2"/>
    </row>
    <row r="868" spans="1:22" ht="15" customHeight="1" x14ac:dyDescent="0.25">
      <c r="A868" s="146"/>
      <c r="B868" s="147"/>
      <c r="C868" s="115" t="s">
        <v>61</v>
      </c>
      <c r="D868" s="115">
        <f t="shared" ref="D868:L868" si="260">D217+D196+D157</f>
        <v>12221671</v>
      </c>
      <c r="E868" s="115">
        <f t="shared" si="260"/>
        <v>0</v>
      </c>
      <c r="F868" s="115">
        <f t="shared" si="260"/>
        <v>0</v>
      </c>
      <c r="G868" s="115">
        <f t="shared" si="260"/>
        <v>0</v>
      </c>
      <c r="H868" s="115">
        <f t="shared" si="260"/>
        <v>0</v>
      </c>
      <c r="I868" s="115">
        <f t="shared" si="260"/>
        <v>0</v>
      </c>
      <c r="J868" s="115">
        <f t="shared" si="260"/>
        <v>0</v>
      </c>
      <c r="K868" s="115">
        <f t="shared" si="260"/>
        <v>0</v>
      </c>
      <c r="L868" s="115">
        <f t="shared" si="260"/>
        <v>0</v>
      </c>
      <c r="M868" s="118">
        <f t="shared" si="248"/>
        <v>12221671</v>
      </c>
      <c r="N868" s="15">
        <f t="shared" ref="N868:T868" si="261">N217+N196+N157</f>
        <v>0</v>
      </c>
      <c r="O868" s="15">
        <f t="shared" si="261"/>
        <v>-159614</v>
      </c>
      <c r="P868" s="15">
        <f t="shared" si="261"/>
        <v>0</v>
      </c>
      <c r="Q868" s="15">
        <f t="shared" si="261"/>
        <v>0</v>
      </c>
      <c r="R868" s="15">
        <f t="shared" si="261"/>
        <v>0</v>
      </c>
      <c r="S868" s="15">
        <f t="shared" si="261"/>
        <v>0</v>
      </c>
      <c r="T868" s="15">
        <f t="shared" si="261"/>
        <v>12062057</v>
      </c>
      <c r="U868" s="15">
        <f>U217+U196+U157</f>
        <v>7399939</v>
      </c>
      <c r="V868" s="2"/>
    </row>
    <row r="869" spans="1:22" ht="15" customHeight="1" x14ac:dyDescent="0.25">
      <c r="A869" s="146"/>
      <c r="B869" s="147"/>
      <c r="C869" s="115" t="s">
        <v>62</v>
      </c>
      <c r="D869" s="15">
        <f t="shared" ref="D869:L869" si="262">D798+D783+D756+D745+D686+D650+D642+D613+D580+D569+D541+D530+D453+D417+D383+D356+D324+D237+D179+D158+D825</f>
        <v>4140000</v>
      </c>
      <c r="E869" s="15">
        <f t="shared" si="262"/>
        <v>0</v>
      </c>
      <c r="F869" s="15">
        <f t="shared" si="262"/>
        <v>0</v>
      </c>
      <c r="G869" s="15">
        <f t="shared" si="262"/>
        <v>0</v>
      </c>
      <c r="H869" s="15">
        <f t="shared" si="262"/>
        <v>0</v>
      </c>
      <c r="I869" s="15">
        <f t="shared" si="262"/>
        <v>0</v>
      </c>
      <c r="J869" s="15">
        <f t="shared" si="262"/>
        <v>0</v>
      </c>
      <c r="K869" s="15">
        <f t="shared" si="262"/>
        <v>0</v>
      </c>
      <c r="L869" s="15">
        <f t="shared" si="262"/>
        <v>0</v>
      </c>
      <c r="M869" s="16">
        <f t="shared" si="248"/>
        <v>4140000</v>
      </c>
      <c r="N869" s="16">
        <f t="shared" ref="N869:T869" si="263">N798+N783+N756+N745+N686+N650+N642+N613+N580+N569+N541+N530+N453+N417+N383+N356+N324+N237+N179+N158+N825</f>
        <v>0</v>
      </c>
      <c r="O869" s="16">
        <f t="shared" si="263"/>
        <v>0</v>
      </c>
      <c r="P869" s="16">
        <f t="shared" si="263"/>
        <v>0</v>
      </c>
      <c r="Q869" s="16">
        <f t="shared" si="263"/>
        <v>0</v>
      </c>
      <c r="R869" s="16">
        <f t="shared" si="263"/>
        <v>0</v>
      </c>
      <c r="S869" s="16">
        <f t="shared" si="263"/>
        <v>0</v>
      </c>
      <c r="T869" s="16">
        <f t="shared" si="263"/>
        <v>4140000</v>
      </c>
      <c r="U869" s="16">
        <f>U798+U783+U756+U745+U686+U650+U642+U613+U580+U569+U541+U530+U453+U417+U383+U356+U324+U237+U179+U158+U825</f>
        <v>2300500</v>
      </c>
      <c r="V869" s="2"/>
    </row>
    <row r="870" spans="1:22" ht="15" customHeight="1" x14ac:dyDescent="0.25">
      <c r="A870" s="146"/>
      <c r="B870" s="147"/>
      <c r="C870" s="115" t="s">
        <v>57</v>
      </c>
      <c r="D870" s="118">
        <f t="shared" ref="D870:L870" si="264">D818+D570+D799+D784+D757+D746+D712+D687+D680+D651+D643+D614+D581+D542+D508+D484+D454+D418+D384+D374+D357+D325+D315+D287+D238+D218+D180+D159+D133+D826+D531</f>
        <v>2381910</v>
      </c>
      <c r="E870" s="118">
        <f t="shared" si="264"/>
        <v>-317000</v>
      </c>
      <c r="F870" s="118">
        <f t="shared" si="264"/>
        <v>388307</v>
      </c>
      <c r="G870" s="118">
        <f t="shared" si="264"/>
        <v>0</v>
      </c>
      <c r="H870" s="118">
        <f t="shared" si="264"/>
        <v>0</v>
      </c>
      <c r="I870" s="118">
        <f t="shared" si="264"/>
        <v>0</v>
      </c>
      <c r="J870" s="118">
        <f t="shared" si="264"/>
        <v>0</v>
      </c>
      <c r="K870" s="118">
        <f t="shared" si="264"/>
        <v>0</v>
      </c>
      <c r="L870" s="118">
        <f t="shared" si="264"/>
        <v>0</v>
      </c>
      <c r="M870" s="118">
        <f t="shared" si="248"/>
        <v>2453217</v>
      </c>
      <c r="N870" s="118">
        <f t="shared" ref="N870:T870" si="265">N818+N570+N799+N784+N757+N746+N712+N687+N680+N651+N643+N614+N581+N542+N508+N484+N454+N418+N384+N374+N357+N325+N315+N287+N238+N218+N180+N159+N133+N826+N531</f>
        <v>152000</v>
      </c>
      <c r="O870" s="118">
        <f t="shared" si="265"/>
        <v>19685</v>
      </c>
      <c r="P870" s="118">
        <f t="shared" si="265"/>
        <v>0</v>
      </c>
      <c r="Q870" s="118">
        <f t="shared" si="265"/>
        <v>0</v>
      </c>
      <c r="R870" s="118">
        <f t="shared" si="265"/>
        <v>0</v>
      </c>
      <c r="S870" s="118">
        <f t="shared" si="265"/>
        <v>0</v>
      </c>
      <c r="T870" s="118">
        <f t="shared" si="265"/>
        <v>2624902</v>
      </c>
      <c r="U870" s="118">
        <f>U818+U570+U799+U784+U757+U746+U712+U687+U680+U651+U643+U614+U581+U542+U508+U484+U454+U418+U384+U374+U357+U325+U315+U287+U238+U218+U180+U159+U133+U826+U531</f>
        <v>2242618</v>
      </c>
      <c r="V870" s="2"/>
    </row>
    <row r="871" spans="1:22" ht="15" customHeight="1" x14ac:dyDescent="0.25">
      <c r="A871" s="146"/>
      <c r="B871" s="147"/>
      <c r="C871" s="115" t="s">
        <v>64</v>
      </c>
      <c r="D871" s="115">
        <f>D800+D688+D385+D239+D219+D543+D758</f>
        <v>81000</v>
      </c>
      <c r="E871" s="115">
        <f t="shared" ref="E871:M871" si="266">E800+E688+E385+E239+E219+E543+E758</f>
        <v>0</v>
      </c>
      <c r="F871" s="115">
        <f t="shared" si="266"/>
        <v>0</v>
      </c>
      <c r="G871" s="115">
        <f t="shared" si="266"/>
        <v>0</v>
      </c>
      <c r="H871" s="115">
        <f t="shared" si="266"/>
        <v>0</v>
      </c>
      <c r="I871" s="115">
        <f t="shared" si="266"/>
        <v>0</v>
      </c>
      <c r="J871" s="115">
        <f t="shared" si="266"/>
        <v>0</v>
      </c>
      <c r="K871" s="115">
        <f t="shared" si="266"/>
        <v>0</v>
      </c>
      <c r="L871" s="115">
        <f t="shared" si="266"/>
        <v>0</v>
      </c>
      <c r="M871" s="115">
        <f t="shared" si="266"/>
        <v>81000</v>
      </c>
      <c r="N871" s="115">
        <f>N800+N688+N385+N239+N219+N543+N758+N326</f>
        <v>8000</v>
      </c>
      <c r="O871" s="115">
        <f t="shared" ref="O871:U871" si="267">O800+O688+O385+O239+O219+O543+O758+O326</f>
        <v>0</v>
      </c>
      <c r="P871" s="115">
        <f t="shared" si="267"/>
        <v>0</v>
      </c>
      <c r="Q871" s="115">
        <f t="shared" si="267"/>
        <v>0</v>
      </c>
      <c r="R871" s="115">
        <f t="shared" si="267"/>
        <v>0</v>
      </c>
      <c r="S871" s="115">
        <f t="shared" si="267"/>
        <v>0</v>
      </c>
      <c r="T871" s="115">
        <f t="shared" si="267"/>
        <v>89000</v>
      </c>
      <c r="U871" s="115">
        <f t="shared" si="267"/>
        <v>70000</v>
      </c>
      <c r="V871" s="2"/>
    </row>
    <row r="872" spans="1:22" ht="15" customHeight="1" x14ac:dyDescent="0.25">
      <c r="A872" s="146"/>
      <c r="B872" s="147"/>
      <c r="C872" s="115" t="s">
        <v>44</v>
      </c>
      <c r="D872" s="115">
        <f t="shared" ref="D872:L872" si="268">D729+D819+D785+D747+D713+D681+D665+D644+D615+D571+D532+D509+D485+D455+D438+D419+D375+D358+D316+D288+D272+D220+D197+D181+D160+D134+D116+D597+D470+D403+D338</f>
        <v>1484800</v>
      </c>
      <c r="E872" s="115">
        <f t="shared" si="268"/>
        <v>0</v>
      </c>
      <c r="F872" s="115">
        <f t="shared" si="268"/>
        <v>0</v>
      </c>
      <c r="G872" s="115">
        <f t="shared" si="268"/>
        <v>0</v>
      </c>
      <c r="H872" s="115">
        <f t="shared" si="268"/>
        <v>0</v>
      </c>
      <c r="I872" s="115">
        <f t="shared" si="268"/>
        <v>0</v>
      </c>
      <c r="J872" s="115">
        <f t="shared" si="268"/>
        <v>0</v>
      </c>
      <c r="K872" s="115">
        <f t="shared" si="268"/>
        <v>0</v>
      </c>
      <c r="L872" s="115">
        <f t="shared" si="268"/>
        <v>0</v>
      </c>
      <c r="M872" s="118">
        <f t="shared" si="248"/>
        <v>1484800</v>
      </c>
      <c r="N872" s="118">
        <f t="shared" ref="N872:T872" si="269">N729+N819+N785+N747+N713+N681+N665+N644+N615+N571+N532+N509+N485+N455+N438+N419+N375+N358+N316+N288+N272+N220+N197+N181+N160+N134+N116+N597+N470+N403+N338</f>
        <v>0</v>
      </c>
      <c r="O872" s="118">
        <f t="shared" si="269"/>
        <v>-150000</v>
      </c>
      <c r="P872" s="118">
        <f t="shared" si="269"/>
        <v>0</v>
      </c>
      <c r="Q872" s="118">
        <f t="shared" si="269"/>
        <v>0</v>
      </c>
      <c r="R872" s="118">
        <f t="shared" si="269"/>
        <v>0</v>
      </c>
      <c r="S872" s="118">
        <f t="shared" si="269"/>
        <v>0</v>
      </c>
      <c r="T872" s="118">
        <f t="shared" si="269"/>
        <v>1334800</v>
      </c>
      <c r="U872" s="118">
        <f>U729+U819+U785+U747+U713+U681+U665+U644+U615+U571+U532+U509+U485+U455+U438+U419+U375+U358+U316+U288+U272+U220+U197+U181+U160+U134+U116+U597+U470+U403+U338</f>
        <v>677700</v>
      </c>
      <c r="V872" s="2"/>
    </row>
    <row r="873" spans="1:22" ht="15" customHeight="1" x14ac:dyDescent="0.25">
      <c r="A873" s="146"/>
      <c r="B873" s="147"/>
      <c r="C873" s="115" t="s">
        <v>58</v>
      </c>
      <c r="D873" s="115">
        <f t="shared" ref="D873:L873" si="270">D820+D801+D786+D759+D748+D714+D689+D682+D652+D645+D616+D572+D544+D533+D510+D486+D456+D420+D386+D376+D359+D327+D317+D289+D240+D221+D198+D182+D161+D135+D582</f>
        <v>7070830</v>
      </c>
      <c r="E873" s="115">
        <f t="shared" si="270"/>
        <v>-20637</v>
      </c>
      <c r="F873" s="115">
        <f t="shared" si="270"/>
        <v>0</v>
      </c>
      <c r="G873" s="115">
        <f t="shared" si="270"/>
        <v>0</v>
      </c>
      <c r="H873" s="115">
        <f t="shared" si="270"/>
        <v>0</v>
      </c>
      <c r="I873" s="115">
        <f t="shared" si="270"/>
        <v>0</v>
      </c>
      <c r="J873" s="115">
        <f t="shared" si="270"/>
        <v>0</v>
      </c>
      <c r="K873" s="115">
        <f t="shared" si="270"/>
        <v>0</v>
      </c>
      <c r="L873" s="115">
        <f t="shared" si="270"/>
        <v>0</v>
      </c>
      <c r="M873" s="118">
        <f t="shared" si="248"/>
        <v>7050193</v>
      </c>
      <c r="N873" s="118">
        <f>N820+N801+N786+N759+N748+N714+N689+N682+N652+N645+N616+N572+N544+N533+N510+N486+N456+N420+N386+N376+N359+N327+N317+N289+N240+N221+N198+N182+N161+N135+N582</f>
        <v>143771</v>
      </c>
      <c r="O873" s="118">
        <f t="shared" ref="O873:T873" si="271">O820+O801+O786+O759+O748+O714+O689+O682+O652+O645+O616+O572+O544+O533+O510+O486+O456+O420+O386+O376+O359+O327+O317+O289+O240+O221+O198+O182+O161+O135+O582</f>
        <v>-700000</v>
      </c>
      <c r="P873" s="118">
        <f t="shared" si="271"/>
        <v>0</v>
      </c>
      <c r="Q873" s="118">
        <f t="shared" si="271"/>
        <v>0</v>
      </c>
      <c r="R873" s="118">
        <f t="shared" si="271"/>
        <v>0</v>
      </c>
      <c r="S873" s="118">
        <f t="shared" si="271"/>
        <v>0</v>
      </c>
      <c r="T873" s="118">
        <f t="shared" si="271"/>
        <v>6493964</v>
      </c>
      <c r="U873" s="118">
        <f>U820+U801+U786+U759+U748+U714+U689+U682+U652+U645+U616+U572+U544+U533+U510+U486+U456+U420+U386+U376+U359+U327+U317+U289+U240+U221+U198+U182+U161+U135+U582</f>
        <v>5635754</v>
      </c>
      <c r="V873" s="2"/>
    </row>
    <row r="874" spans="1:22" ht="15" customHeight="1" x14ac:dyDescent="0.25">
      <c r="A874" s="146"/>
      <c r="B874" s="147"/>
      <c r="C874" s="115" t="s">
        <v>59</v>
      </c>
      <c r="D874" s="115">
        <f t="shared" ref="D874:L874" si="272">D821+D787+D749+D715+D646+D617+D573+D534+D511+D487+D457+D421+D377+D360+D290+D222+D183+D162+D136</f>
        <v>354000</v>
      </c>
      <c r="E874" s="115">
        <f t="shared" si="272"/>
        <v>0</v>
      </c>
      <c r="F874" s="115">
        <f t="shared" si="272"/>
        <v>0</v>
      </c>
      <c r="G874" s="115">
        <f t="shared" si="272"/>
        <v>0</v>
      </c>
      <c r="H874" s="115">
        <f t="shared" si="272"/>
        <v>0</v>
      </c>
      <c r="I874" s="115">
        <f t="shared" si="272"/>
        <v>0</v>
      </c>
      <c r="J874" s="115">
        <f t="shared" si="272"/>
        <v>0</v>
      </c>
      <c r="K874" s="115">
        <f t="shared" si="272"/>
        <v>0</v>
      </c>
      <c r="L874" s="115">
        <f t="shared" si="272"/>
        <v>0</v>
      </c>
      <c r="M874" s="118">
        <f t="shared" si="248"/>
        <v>354000</v>
      </c>
      <c r="N874" s="16">
        <f t="shared" ref="N874:T874" si="273">N821+N787+N749+N715+N646+N617+N573+N534+N511+N487+N457+N421+N377+N360+N290+N222+N183+N162+N136</f>
        <v>0</v>
      </c>
      <c r="O874" s="16">
        <f t="shared" si="273"/>
        <v>0</v>
      </c>
      <c r="P874" s="16">
        <f t="shared" si="273"/>
        <v>0</v>
      </c>
      <c r="Q874" s="16">
        <f t="shared" si="273"/>
        <v>0</v>
      </c>
      <c r="R874" s="16">
        <f t="shared" si="273"/>
        <v>0</v>
      </c>
      <c r="S874" s="16">
        <f t="shared" si="273"/>
        <v>0</v>
      </c>
      <c r="T874" s="16">
        <f t="shared" si="273"/>
        <v>354000</v>
      </c>
      <c r="U874" s="16">
        <f>U821+U787+U749+U715+U646+U617+U573+U534+U511+U487+U457+U421+U377+U360+U290+U222+U183+U162+U136</f>
        <v>150938</v>
      </c>
      <c r="V874" s="2"/>
    </row>
    <row r="875" spans="1:22" ht="15" customHeight="1" x14ac:dyDescent="0.25">
      <c r="A875" s="146"/>
      <c r="B875" s="147"/>
      <c r="C875" s="115" t="s">
        <v>45</v>
      </c>
      <c r="D875" s="16">
        <f t="shared" ref="D875:L875" si="274">D827+D704+D666+D822+D802+D788+D768+D760+D750+D730+D716+D690+D683+D653+D647+D628+D618+D598+D583+D574+D545+D535+D512+D488+D471+D458+D439+D422+D404+D387+D378+D361+D339+D328+D318+D303+D291+D273+D241+D223+D199+D184+D163+D137+D117</f>
        <v>8538233</v>
      </c>
      <c r="E875" s="16">
        <f t="shared" si="274"/>
        <v>0</v>
      </c>
      <c r="F875" s="16">
        <f t="shared" si="274"/>
        <v>722621</v>
      </c>
      <c r="G875" s="16">
        <f t="shared" si="274"/>
        <v>0</v>
      </c>
      <c r="H875" s="16">
        <f t="shared" si="274"/>
        <v>0</v>
      </c>
      <c r="I875" s="16">
        <f t="shared" si="274"/>
        <v>0</v>
      </c>
      <c r="J875" s="16">
        <f t="shared" si="274"/>
        <v>0</v>
      </c>
      <c r="K875" s="16">
        <f t="shared" si="274"/>
        <v>0</v>
      </c>
      <c r="L875" s="16">
        <f t="shared" si="274"/>
        <v>0</v>
      </c>
      <c r="M875" s="16">
        <f t="shared" si="248"/>
        <v>9260854</v>
      </c>
      <c r="N875" s="16">
        <f t="shared" ref="N875:T875" si="275">N827+N704+N666+N822+N802+N788+N768+N760+N750+N730+N716+N690+N683+N653+N647+N628+N618+N598+N583+N574+N545+N535+N512+N488+N471+N458+N439+N422+N404+N387+N378+N361+N339+N328+N318+N303+N291+N273+N241+N223+N199+N184+N163+N137+N117</f>
        <v>0</v>
      </c>
      <c r="O875" s="16">
        <f t="shared" si="275"/>
        <v>-305701</v>
      </c>
      <c r="P875" s="16">
        <f t="shared" si="275"/>
        <v>0</v>
      </c>
      <c r="Q875" s="16">
        <f t="shared" si="275"/>
        <v>0</v>
      </c>
      <c r="R875" s="16">
        <f t="shared" si="275"/>
        <v>0</v>
      </c>
      <c r="S875" s="16">
        <f t="shared" si="275"/>
        <v>0</v>
      </c>
      <c r="T875" s="16">
        <f t="shared" si="275"/>
        <v>8955153</v>
      </c>
      <c r="U875" s="16">
        <f>U827+U704+U666+U822+U802+U788+U768+U760+U750+U730+U716+U690+U683+U653+U647+U628+U618+U598+U583+U574+U545+U535+U512+U488+U471+U458+U439+U422+U404+U387+U378+U361+U339+U328+U318+U303+U291+U273+U241+U223+U199+U184+U163+U137+U117</f>
        <v>5138917</v>
      </c>
      <c r="V875" s="2"/>
    </row>
    <row r="876" spans="1:22" ht="15" customHeight="1" x14ac:dyDescent="0.25">
      <c r="A876" s="146"/>
      <c r="B876" s="147"/>
      <c r="C876" s="115" t="s">
        <v>146</v>
      </c>
      <c r="D876" s="115">
        <f t="shared" ref="D876:U876" si="276">D200</f>
        <v>0</v>
      </c>
      <c r="E876" s="115">
        <f t="shared" si="276"/>
        <v>396000</v>
      </c>
      <c r="F876" s="115">
        <f t="shared" si="276"/>
        <v>0</v>
      </c>
      <c r="G876" s="115">
        <f t="shared" si="276"/>
        <v>0</v>
      </c>
      <c r="H876" s="115">
        <f t="shared" si="276"/>
        <v>0</v>
      </c>
      <c r="I876" s="115">
        <f t="shared" si="276"/>
        <v>0</v>
      </c>
      <c r="J876" s="115">
        <f t="shared" si="276"/>
        <v>0</v>
      </c>
      <c r="K876" s="115">
        <f t="shared" ref="K876:L876" si="277">K200</f>
        <v>0</v>
      </c>
      <c r="L876" s="115">
        <f t="shared" si="277"/>
        <v>0</v>
      </c>
      <c r="M876" s="118">
        <f t="shared" si="248"/>
        <v>396000</v>
      </c>
      <c r="N876" s="118">
        <f t="shared" ref="N876:T876" si="278">N200</f>
        <v>0</v>
      </c>
      <c r="O876" s="118">
        <f t="shared" si="278"/>
        <v>0</v>
      </c>
      <c r="P876" s="118">
        <f t="shared" si="278"/>
        <v>0</v>
      </c>
      <c r="Q876" s="118">
        <f t="shared" si="278"/>
        <v>0</v>
      </c>
      <c r="R876" s="118">
        <f t="shared" si="278"/>
        <v>0</v>
      </c>
      <c r="S876" s="118">
        <f t="shared" si="278"/>
        <v>0</v>
      </c>
      <c r="T876" s="118">
        <f t="shared" si="278"/>
        <v>396000</v>
      </c>
      <c r="U876" s="118">
        <f t="shared" si="276"/>
        <v>396000</v>
      </c>
      <c r="V876" s="2"/>
    </row>
    <row r="877" spans="1:22" ht="15" customHeight="1" x14ac:dyDescent="0.25">
      <c r="A877" s="146"/>
      <c r="B877" s="147"/>
      <c r="C877" s="115" t="s">
        <v>60</v>
      </c>
      <c r="D877" s="115">
        <f t="shared" ref="D877:L877" si="279">D823+D789+D751+D717+D684+D648+D619+D575+D536+D513+D489+D459+D423+D362+D319+D292+D242+D224+D185+D164+D138</f>
        <v>579678</v>
      </c>
      <c r="E877" s="115">
        <f t="shared" si="279"/>
        <v>0</v>
      </c>
      <c r="F877" s="115">
        <f t="shared" si="279"/>
        <v>0</v>
      </c>
      <c r="G877" s="115">
        <f t="shared" si="279"/>
        <v>0</v>
      </c>
      <c r="H877" s="115">
        <f t="shared" si="279"/>
        <v>0</v>
      </c>
      <c r="I877" s="115">
        <f t="shared" si="279"/>
        <v>0</v>
      </c>
      <c r="J877" s="115">
        <f t="shared" si="279"/>
        <v>0</v>
      </c>
      <c r="K877" s="115">
        <f t="shared" si="279"/>
        <v>0</v>
      </c>
      <c r="L877" s="115">
        <f t="shared" si="279"/>
        <v>0</v>
      </c>
      <c r="M877" s="118">
        <f t="shared" si="248"/>
        <v>579678</v>
      </c>
      <c r="N877" s="15">
        <f t="shared" ref="N877:T877" si="280">N823+N789+N751+N717+N684+N648+N619+N575+N536+N513+N489+N459+N423+N362+N319+N292+N242+N224+N185+N164+N138</f>
        <v>0</v>
      </c>
      <c r="O877" s="15">
        <f t="shared" si="280"/>
        <v>0</v>
      </c>
      <c r="P877" s="15">
        <f t="shared" si="280"/>
        <v>0</v>
      </c>
      <c r="Q877" s="15">
        <f t="shared" si="280"/>
        <v>0</v>
      </c>
      <c r="R877" s="15">
        <f t="shared" si="280"/>
        <v>0</v>
      </c>
      <c r="S877" s="15">
        <f t="shared" si="280"/>
        <v>0</v>
      </c>
      <c r="T877" s="15">
        <f t="shared" si="280"/>
        <v>579678</v>
      </c>
      <c r="U877" s="15">
        <f>U823+U789+U751+U717+U684+U648+U619+U575+U536+U513+U489+U459+U423+U362+U319+U292+U242+U224+U185+U164+U138</f>
        <v>330412</v>
      </c>
      <c r="V877" s="2"/>
    </row>
    <row r="878" spans="1:22" ht="15" customHeight="1" x14ac:dyDescent="0.25">
      <c r="A878" s="146"/>
      <c r="B878" s="147"/>
      <c r="C878" s="116" t="s">
        <v>46</v>
      </c>
      <c r="D878" s="116">
        <f t="shared" ref="D878:L878" si="281">D826+D825+D827+D705+D824+D803+D790+D769+D761+D752+D731+D718+D691+D685+D667+D654+D649+D629+D620+D599+D576+D546+D537+D584+D514+D490+D472+D460+D440+D424+D405+D388+D379+D363+D340+D329+D320+D304+D293+D274+D243+D225+D201+D186+D165+D139+D118</f>
        <v>46388250</v>
      </c>
      <c r="E878" s="116">
        <f t="shared" si="281"/>
        <v>0</v>
      </c>
      <c r="F878" s="116">
        <f t="shared" si="281"/>
        <v>3399000</v>
      </c>
      <c r="G878" s="116">
        <f t="shared" si="281"/>
        <v>0</v>
      </c>
      <c r="H878" s="116">
        <f t="shared" si="281"/>
        <v>0</v>
      </c>
      <c r="I878" s="116">
        <f t="shared" si="281"/>
        <v>0</v>
      </c>
      <c r="J878" s="116">
        <f t="shared" si="281"/>
        <v>0</v>
      </c>
      <c r="K878" s="116">
        <f t="shared" si="281"/>
        <v>0</v>
      </c>
      <c r="L878" s="116">
        <f t="shared" si="281"/>
        <v>0</v>
      </c>
      <c r="M878" s="116">
        <f t="shared" si="248"/>
        <v>49787250</v>
      </c>
      <c r="N878" s="116">
        <f t="shared" ref="N878:T878" si="282">N826+N825+N827+N705+N824+N803+N790+N769+N761+N752+N731+N718+N691+N685+N667+N654+N649+N629+N620+N599+N576+N546+N537+N584+N514+N490+N472+N460+N440+N424+N405+N388+N379+N363+N340+N329+N320+N304+N293+N274+N243+N225+N201+N186+N165+N139+N118</f>
        <v>0</v>
      </c>
      <c r="O878" s="116">
        <f t="shared" si="282"/>
        <v>-1437926</v>
      </c>
      <c r="P878" s="116">
        <f t="shared" si="282"/>
        <v>0</v>
      </c>
      <c r="Q878" s="116">
        <f t="shared" si="282"/>
        <v>0</v>
      </c>
      <c r="R878" s="116">
        <f t="shared" si="282"/>
        <v>0</v>
      </c>
      <c r="S878" s="116">
        <f t="shared" si="282"/>
        <v>0</v>
      </c>
      <c r="T878" s="116">
        <f t="shared" si="282"/>
        <v>48349324</v>
      </c>
      <c r="U878" s="116">
        <f>U826+U825+U827+U705+U824+U803+U790+U769+U761+U752+U731+U718+U691+U685+U667+U654+U649+U629+U620+U599+U576+U546+U537+U584+U514+U490+U472+U460+U440+U424+U405+U388+U379+U363+U340+U329+U320+U304+U293+U274+U243+U225+U201+U186+U165+U139+U118</f>
        <v>29922613</v>
      </c>
      <c r="V878" s="2"/>
    </row>
    <row r="879" spans="1:22" ht="15" customHeight="1" x14ac:dyDescent="0.25">
      <c r="A879" s="146"/>
      <c r="B879" s="147"/>
      <c r="C879" s="115" t="s">
        <v>67</v>
      </c>
      <c r="D879" s="115">
        <f>D807+D722+D624+D552+D518+D496+D464+D396+D297+D265</f>
        <v>0</v>
      </c>
      <c r="E879" s="115">
        <f>E807+E722+E624+E552+E518+E496+E464+E396+E297+E265</f>
        <v>0</v>
      </c>
      <c r="F879" s="115">
        <f t="shared" ref="F879:U879" si="283">F807+F722+F624+F552+F518+F496+F464+F396+F297+F265</f>
        <v>0</v>
      </c>
      <c r="G879" s="115">
        <f t="shared" si="283"/>
        <v>0</v>
      </c>
      <c r="H879" s="115">
        <f t="shared" si="283"/>
        <v>0</v>
      </c>
      <c r="I879" s="115">
        <f t="shared" si="283"/>
        <v>0</v>
      </c>
      <c r="J879" s="115">
        <f t="shared" si="283"/>
        <v>0</v>
      </c>
      <c r="K879" s="115">
        <f t="shared" ref="K879:L879" si="284">K807+K722+K624+K552+K518+K496+K464+K396+K297+K265</f>
        <v>0</v>
      </c>
      <c r="L879" s="115">
        <f t="shared" si="284"/>
        <v>0</v>
      </c>
      <c r="M879" s="115">
        <f t="shared" si="248"/>
        <v>0</v>
      </c>
      <c r="N879" s="15">
        <f t="shared" ref="N879:T879" si="285">N807+N722+N624+N552+N518+N496+N464+N396+N297+N265</f>
        <v>0</v>
      </c>
      <c r="O879" s="15">
        <f t="shared" si="285"/>
        <v>0</v>
      </c>
      <c r="P879" s="15">
        <f t="shared" si="285"/>
        <v>0</v>
      </c>
      <c r="Q879" s="15">
        <f t="shared" si="285"/>
        <v>0</v>
      </c>
      <c r="R879" s="15">
        <f t="shared" si="285"/>
        <v>0</v>
      </c>
      <c r="S879" s="15">
        <f t="shared" si="285"/>
        <v>0</v>
      </c>
      <c r="T879" s="15">
        <f t="shared" si="285"/>
        <v>0</v>
      </c>
      <c r="U879" s="15">
        <f t="shared" si="283"/>
        <v>0</v>
      </c>
      <c r="V879" s="2"/>
    </row>
    <row r="880" spans="1:22" ht="15" customHeight="1" x14ac:dyDescent="0.25">
      <c r="A880" s="146"/>
      <c r="B880" s="147"/>
      <c r="C880" s="115" t="s">
        <v>144</v>
      </c>
      <c r="D880" s="115">
        <f t="shared" ref="D880:U880" si="286">SUM(D226)</f>
        <v>0</v>
      </c>
      <c r="E880" s="115">
        <f t="shared" si="286"/>
        <v>0</v>
      </c>
      <c r="F880" s="115">
        <f t="shared" si="286"/>
        <v>0</v>
      </c>
      <c r="G880" s="115">
        <f t="shared" si="286"/>
        <v>0</v>
      </c>
      <c r="H880" s="115">
        <f t="shared" si="286"/>
        <v>0</v>
      </c>
      <c r="I880" s="115">
        <f t="shared" ref="I880" si="287">SUM(I226)</f>
        <v>0</v>
      </c>
      <c r="J880" s="115">
        <f t="shared" si="286"/>
        <v>0</v>
      </c>
      <c r="K880" s="115">
        <f t="shared" ref="K880:L880" si="288">SUM(K226)</f>
        <v>0</v>
      </c>
      <c r="L880" s="115">
        <f t="shared" si="288"/>
        <v>0</v>
      </c>
      <c r="M880" s="115">
        <f t="shared" si="248"/>
        <v>0</v>
      </c>
      <c r="N880" s="115">
        <f t="shared" ref="N880:T880" si="289">SUM(N226)</f>
        <v>0</v>
      </c>
      <c r="O880" s="115">
        <f t="shared" si="289"/>
        <v>0</v>
      </c>
      <c r="P880" s="115">
        <f t="shared" si="289"/>
        <v>0</v>
      </c>
      <c r="Q880" s="115">
        <f t="shared" si="289"/>
        <v>0</v>
      </c>
      <c r="R880" s="115">
        <f t="shared" si="289"/>
        <v>0</v>
      </c>
      <c r="S880" s="115">
        <f t="shared" si="289"/>
        <v>0</v>
      </c>
      <c r="T880" s="115">
        <f t="shared" si="289"/>
        <v>0</v>
      </c>
      <c r="U880" s="115">
        <f t="shared" si="286"/>
        <v>0</v>
      </c>
      <c r="V880" s="2"/>
    </row>
    <row r="881" spans="1:22" ht="15" customHeight="1" x14ac:dyDescent="0.25">
      <c r="A881" s="146"/>
      <c r="B881" s="147"/>
      <c r="C881" s="115" t="s">
        <v>112</v>
      </c>
      <c r="D881" s="115">
        <f t="shared" ref="D881:J881" si="290">D753+D577+D538+D425+D380+D321+D227</f>
        <v>354331</v>
      </c>
      <c r="E881" s="115">
        <f t="shared" si="290"/>
        <v>0</v>
      </c>
      <c r="F881" s="115">
        <f t="shared" si="290"/>
        <v>0</v>
      </c>
      <c r="G881" s="115">
        <f t="shared" si="290"/>
        <v>0</v>
      </c>
      <c r="H881" s="115">
        <f t="shared" si="290"/>
        <v>0</v>
      </c>
      <c r="I881" s="115">
        <f t="shared" si="290"/>
        <v>0</v>
      </c>
      <c r="J881" s="115">
        <f t="shared" si="290"/>
        <v>0</v>
      </c>
      <c r="K881" s="115">
        <f t="shared" ref="K881:L881" si="291">K753+K577+K538+K425+K380+K321+K227</f>
        <v>0</v>
      </c>
      <c r="L881" s="115">
        <f t="shared" si="291"/>
        <v>0</v>
      </c>
      <c r="M881" s="115">
        <f t="shared" si="248"/>
        <v>354331</v>
      </c>
      <c r="N881" s="115">
        <f t="shared" ref="N881:T881" si="292">N753+N577+N538+N425+N380+N321+N227+N140</f>
        <v>0</v>
      </c>
      <c r="O881" s="115">
        <f t="shared" si="292"/>
        <v>0</v>
      </c>
      <c r="P881" s="115">
        <f t="shared" si="292"/>
        <v>0</v>
      </c>
      <c r="Q881" s="115">
        <f t="shared" si="292"/>
        <v>0</v>
      </c>
      <c r="R881" s="115">
        <f t="shared" si="292"/>
        <v>0</v>
      </c>
      <c r="S881" s="115">
        <f t="shared" si="292"/>
        <v>0</v>
      </c>
      <c r="T881" s="115">
        <f t="shared" si="292"/>
        <v>354331</v>
      </c>
      <c r="U881" s="115">
        <f>U753+U577+U538+U425+U380+U321+U227+U140</f>
        <v>277952</v>
      </c>
      <c r="V881" s="2"/>
    </row>
    <row r="882" spans="1:22" ht="15" customHeight="1" x14ac:dyDescent="0.25">
      <c r="A882" s="146"/>
      <c r="B882" s="147"/>
      <c r="C882" s="115" t="s">
        <v>113</v>
      </c>
      <c r="D882" s="115">
        <f t="shared" ref="D882:J882" si="293">D754+D578+D539+D426+D381+D322+D228</f>
        <v>95669</v>
      </c>
      <c r="E882" s="115">
        <f t="shared" si="293"/>
        <v>0</v>
      </c>
      <c r="F882" s="115">
        <f t="shared" si="293"/>
        <v>0</v>
      </c>
      <c r="G882" s="115">
        <f t="shared" si="293"/>
        <v>0</v>
      </c>
      <c r="H882" s="115">
        <f t="shared" si="293"/>
        <v>0</v>
      </c>
      <c r="I882" s="115">
        <f t="shared" si="293"/>
        <v>0</v>
      </c>
      <c r="J882" s="115">
        <f t="shared" si="293"/>
        <v>0</v>
      </c>
      <c r="K882" s="115">
        <f t="shared" ref="K882:L882" si="294">K754+K578+K539+K426+K381+K322+K228</f>
        <v>0</v>
      </c>
      <c r="L882" s="115">
        <f t="shared" si="294"/>
        <v>0</v>
      </c>
      <c r="M882" s="115">
        <f t="shared" si="248"/>
        <v>95669</v>
      </c>
      <c r="N882" s="115">
        <f t="shared" ref="N882:T882" si="295">N754+N578+N539+N426+N381+N322+N228+N141</f>
        <v>0</v>
      </c>
      <c r="O882" s="115">
        <f t="shared" si="295"/>
        <v>0</v>
      </c>
      <c r="P882" s="115">
        <f t="shared" si="295"/>
        <v>0</v>
      </c>
      <c r="Q882" s="115">
        <f t="shared" si="295"/>
        <v>0</v>
      </c>
      <c r="R882" s="115">
        <f t="shared" si="295"/>
        <v>0</v>
      </c>
      <c r="S882" s="115">
        <f t="shared" si="295"/>
        <v>0</v>
      </c>
      <c r="T882" s="115">
        <f t="shared" si="295"/>
        <v>95669</v>
      </c>
      <c r="U882" s="115">
        <f>U754+U578+U539+U426+U381+U322+U228+U141</f>
        <v>75047</v>
      </c>
      <c r="V882" s="2"/>
    </row>
    <row r="883" spans="1:22" ht="15" customHeight="1" x14ac:dyDescent="0.25">
      <c r="A883" s="146"/>
      <c r="B883" s="147"/>
      <c r="C883" s="116" t="s">
        <v>114</v>
      </c>
      <c r="D883" s="116">
        <f t="shared" ref="D883" si="296">D754+D753+D578+D577+D539+D538+D426+D425+D381+D380+D322+D321+D228+D227+D226</f>
        <v>450000</v>
      </c>
      <c r="E883" s="116">
        <f>E754+E753+E578+E577+E539+E538+E426+E425+E381+E380+E322+E321+E228+E227+E226</f>
        <v>0</v>
      </c>
      <c r="F883" s="116">
        <f t="shared" ref="F883:J883" si="297">F754+F753+F578+F577+F539+F538+F426+F425+F381+F380+F322+F321+F228+F227+F226</f>
        <v>0</v>
      </c>
      <c r="G883" s="116">
        <f t="shared" si="297"/>
        <v>0</v>
      </c>
      <c r="H883" s="116">
        <f t="shared" si="297"/>
        <v>0</v>
      </c>
      <c r="I883" s="116">
        <f t="shared" si="297"/>
        <v>0</v>
      </c>
      <c r="J883" s="116">
        <f t="shared" si="297"/>
        <v>0</v>
      </c>
      <c r="K883" s="116">
        <f t="shared" ref="K883:L883" si="298">K754+K753+K578+K577+K539+K538+K426+K425+K381+K380+K322+K321+K228+K227+K226</f>
        <v>0</v>
      </c>
      <c r="L883" s="116">
        <f t="shared" si="298"/>
        <v>0</v>
      </c>
      <c r="M883" s="116">
        <f t="shared" si="248"/>
        <v>450000</v>
      </c>
      <c r="N883" s="117">
        <f>N754+N753+N578+N577+N539+N538+N426+N425+N381+N380+N322+N321+N228+N227+N226+N140+N141</f>
        <v>0</v>
      </c>
      <c r="O883" s="117">
        <f t="shared" ref="O883:S883" si="299">O754+O753+O578+O577+O539+O538+O426+O425+O381+O380+O322+O321+O228+O227+O226</f>
        <v>0</v>
      </c>
      <c r="P883" s="117">
        <f t="shared" si="299"/>
        <v>0</v>
      </c>
      <c r="Q883" s="117">
        <f t="shared" si="299"/>
        <v>0</v>
      </c>
      <c r="R883" s="117">
        <f t="shared" si="299"/>
        <v>0</v>
      </c>
      <c r="S883" s="117">
        <f t="shared" si="299"/>
        <v>0</v>
      </c>
      <c r="T883" s="117">
        <f>T754+T753+T578+T577+T539+T538+T426+T425+T381+T380+T322+T321+T228+T227+T226+T140+T141</f>
        <v>450000</v>
      </c>
      <c r="U883" s="117">
        <f>U754+U753+U578+U577+U539+U538+U426+U425+U381+U380+U322+U321+U228+U227+U226+U142</f>
        <v>352999</v>
      </c>
      <c r="V883" s="2"/>
    </row>
    <row r="884" spans="1:22" ht="15" customHeight="1" x14ac:dyDescent="0.25">
      <c r="A884" s="146"/>
      <c r="B884" s="147"/>
      <c r="C884" s="119" t="s">
        <v>141</v>
      </c>
      <c r="D884" s="119">
        <f>D830+D806+D764+D721+D694+D657+D623+D589+D551+D517+D495+D463+D430+D395+D332+D296+D264</f>
        <v>295036017</v>
      </c>
      <c r="E884" s="119">
        <f t="shared" ref="E884:J884" si="300">E830+E806+E764+E721+E694+E657+E623+E589+E551+E517+E495+E463+E430+E395+E332+E296+E264</f>
        <v>0</v>
      </c>
      <c r="F884" s="119">
        <f t="shared" si="300"/>
        <v>3399000</v>
      </c>
      <c r="G884" s="119">
        <f t="shared" si="300"/>
        <v>0</v>
      </c>
      <c r="H884" s="119">
        <f t="shared" si="300"/>
        <v>0</v>
      </c>
      <c r="I884" s="119">
        <f t="shared" si="300"/>
        <v>0</v>
      </c>
      <c r="J884" s="119">
        <f t="shared" si="300"/>
        <v>0</v>
      </c>
      <c r="K884" s="119">
        <f t="shared" ref="K884:L884" si="301">K830+K806+K764+K721+K694+K657+K623+K589+K551+K517+K495+K463+K430+K395+K332+K296+K264</f>
        <v>0</v>
      </c>
      <c r="L884" s="119">
        <f t="shared" si="301"/>
        <v>0</v>
      </c>
      <c r="M884" s="119">
        <f t="shared" si="248"/>
        <v>298435017</v>
      </c>
      <c r="N884" s="120">
        <f t="shared" ref="N884:T884" si="302">N830+N806+N764+N721+N694+N657+N623+N589+N551+N517+N495+N463+N430+N395+N332+N296+N264</f>
        <v>0</v>
      </c>
      <c r="O884" s="120">
        <f t="shared" si="302"/>
        <v>-2912576</v>
      </c>
      <c r="P884" s="120">
        <f t="shared" si="302"/>
        <v>0</v>
      </c>
      <c r="Q884" s="120">
        <f t="shared" si="302"/>
        <v>0</v>
      </c>
      <c r="R884" s="120">
        <f t="shared" si="302"/>
        <v>0</v>
      </c>
      <c r="S884" s="120">
        <f t="shared" si="302"/>
        <v>0</v>
      </c>
      <c r="T884" s="120">
        <f t="shared" si="302"/>
        <v>295522441</v>
      </c>
      <c r="U884" s="120">
        <f>U830+U806+U764+U721+U694+U657+U623+U589+U551+U517+U495+U463+U430+U395+U332+U296+U264</f>
        <v>172761030</v>
      </c>
      <c r="V884" s="2"/>
    </row>
    <row r="885" spans="1:22" x14ac:dyDescent="0.25">
      <c r="B885" s="1"/>
      <c r="C885" s="2"/>
      <c r="V885" s="2"/>
    </row>
    <row r="886" spans="1:22" x14ac:dyDescent="0.25">
      <c r="M886" s="2" t="s">
        <v>159</v>
      </c>
    </row>
    <row r="888" spans="1:22" x14ac:dyDescent="0.25">
      <c r="M888" s="2" t="s">
        <v>160</v>
      </c>
      <c r="Q888" s="2">
        <v>0</v>
      </c>
    </row>
    <row r="889" spans="1:22" x14ac:dyDescent="0.25">
      <c r="M889" s="2" t="s">
        <v>161</v>
      </c>
      <c r="Q889" s="2">
        <v>0</v>
      </c>
    </row>
    <row r="890" spans="1:22" x14ac:dyDescent="0.25">
      <c r="M890" s="2" t="s">
        <v>162</v>
      </c>
      <c r="Q890" s="2">
        <f>SUM(O8)</f>
        <v>-2912576</v>
      </c>
    </row>
    <row r="891" spans="1:22" x14ac:dyDescent="0.25">
      <c r="M891" s="2" t="s">
        <v>163</v>
      </c>
      <c r="Q891" s="2">
        <v>0</v>
      </c>
    </row>
    <row r="892" spans="1:22" x14ac:dyDescent="0.25">
      <c r="M892" s="2" t="s">
        <v>164</v>
      </c>
      <c r="Q892" s="2">
        <v>0</v>
      </c>
    </row>
    <row r="893" spans="1:22" x14ac:dyDescent="0.25">
      <c r="M893" s="2" t="s">
        <v>165</v>
      </c>
      <c r="Q893" s="2">
        <v>0</v>
      </c>
    </row>
    <row r="894" spans="1:22" x14ac:dyDescent="0.25">
      <c r="M894" s="2" t="s">
        <v>166</v>
      </c>
      <c r="Q894" s="2">
        <v>0</v>
      </c>
    </row>
    <row r="895" spans="1:22" x14ac:dyDescent="0.25">
      <c r="M895" s="2" t="s">
        <v>167</v>
      </c>
      <c r="Q895" s="2">
        <v>0</v>
      </c>
    </row>
    <row r="896" spans="1:22" x14ac:dyDescent="0.25">
      <c r="M896" s="2" t="s">
        <v>168</v>
      </c>
      <c r="Q896" s="2">
        <v>0</v>
      </c>
    </row>
    <row r="897" spans="13:17" x14ac:dyDescent="0.25">
      <c r="M897" s="2" t="s">
        <v>169</v>
      </c>
      <c r="Q897" s="2">
        <v>0</v>
      </c>
    </row>
    <row r="898" spans="13:17" x14ac:dyDescent="0.25">
      <c r="M898" s="2" t="s">
        <v>170</v>
      </c>
      <c r="Q898" s="2">
        <f>SUM(Q888:Q897)</f>
        <v>-2912576</v>
      </c>
    </row>
    <row r="902" spans="13:17" x14ac:dyDescent="0.25">
      <c r="M902" s="2" t="s">
        <v>171</v>
      </c>
    </row>
    <row r="904" spans="13:17" x14ac:dyDescent="0.25">
      <c r="M904" s="2" t="s">
        <v>172</v>
      </c>
      <c r="Q904" s="2">
        <v>0</v>
      </c>
    </row>
    <row r="905" spans="13:17" x14ac:dyDescent="0.25">
      <c r="M905" s="2" t="s">
        <v>173</v>
      </c>
      <c r="Q905" s="2">
        <v>0</v>
      </c>
    </row>
    <row r="906" spans="13:17" x14ac:dyDescent="0.25">
      <c r="M906" s="2" t="s">
        <v>174</v>
      </c>
      <c r="Q906" s="2">
        <f>SUM(O777,O210)</f>
        <v>-1276753</v>
      </c>
    </row>
    <row r="907" spans="13:17" x14ac:dyDescent="0.25">
      <c r="M907" s="2" t="s">
        <v>175</v>
      </c>
      <c r="Q907" s="2">
        <f>SUM(O778,O211)</f>
        <v>-197897</v>
      </c>
    </row>
    <row r="908" spans="13:17" x14ac:dyDescent="0.25">
      <c r="M908" s="2" t="s">
        <v>176</v>
      </c>
      <c r="Q908" s="2">
        <f>SUM(O685,O620,O490,O379,O293,O201,O186)</f>
        <v>-1437926</v>
      </c>
    </row>
    <row r="909" spans="13:17" x14ac:dyDescent="0.25">
      <c r="M909" s="2" t="s">
        <v>177</v>
      </c>
      <c r="Q909" s="2">
        <v>0</v>
      </c>
    </row>
    <row r="910" spans="13:17" x14ac:dyDescent="0.25">
      <c r="M910" s="2" t="s">
        <v>178</v>
      </c>
      <c r="Q910" s="2">
        <v>0</v>
      </c>
    </row>
    <row r="911" spans="13:17" x14ac:dyDescent="0.25">
      <c r="M911" s="2" t="s">
        <v>179</v>
      </c>
      <c r="Q911" s="2">
        <v>0</v>
      </c>
    </row>
    <row r="912" spans="13:17" x14ac:dyDescent="0.25">
      <c r="M912" s="2" t="s">
        <v>170</v>
      </c>
      <c r="Q912" s="2">
        <f>SUM(Q904:Q911)</f>
        <v>-2912576</v>
      </c>
    </row>
    <row r="914" spans="13:17" x14ac:dyDescent="0.25">
      <c r="M914" s="2" t="s">
        <v>180</v>
      </c>
    </row>
    <row r="916" spans="13:17" x14ac:dyDescent="0.25">
      <c r="M916" s="2" t="s">
        <v>160</v>
      </c>
      <c r="Q916" s="2">
        <v>0</v>
      </c>
    </row>
    <row r="917" spans="13:17" x14ac:dyDescent="0.25">
      <c r="M917" s="2" t="s">
        <v>162</v>
      </c>
      <c r="Q917" s="2">
        <v>0</v>
      </c>
    </row>
    <row r="918" spans="13:17" x14ac:dyDescent="0.25">
      <c r="M918" s="2" t="s">
        <v>181</v>
      </c>
      <c r="Q918" s="2">
        <v>0</v>
      </c>
    </row>
    <row r="919" spans="13:17" x14ac:dyDescent="0.25">
      <c r="M919" s="2" t="s">
        <v>182</v>
      </c>
      <c r="Q919" s="2">
        <v>0</v>
      </c>
    </row>
    <row r="920" spans="13:17" x14ac:dyDescent="0.25">
      <c r="M920" s="2" t="s">
        <v>183</v>
      </c>
      <c r="Q920" s="2">
        <v>0</v>
      </c>
    </row>
    <row r="921" spans="13:17" x14ac:dyDescent="0.25">
      <c r="M921" s="2" t="s">
        <v>184</v>
      </c>
      <c r="Q921" s="2">
        <v>0</v>
      </c>
    </row>
    <row r="922" spans="13:17" x14ac:dyDescent="0.25">
      <c r="M922" s="2" t="s">
        <v>167</v>
      </c>
      <c r="Q922" s="2">
        <v>0</v>
      </c>
    </row>
    <row r="923" spans="13:17" x14ac:dyDescent="0.25">
      <c r="M923" s="2" t="s">
        <v>168</v>
      </c>
      <c r="Q923" s="2">
        <v>0</v>
      </c>
    </row>
    <row r="924" spans="13:17" x14ac:dyDescent="0.25">
      <c r="M924" s="2" t="s">
        <v>170</v>
      </c>
      <c r="Q924" s="2">
        <v>0</v>
      </c>
    </row>
    <row r="928" spans="13:17" x14ac:dyDescent="0.25">
      <c r="M928" s="2" t="s">
        <v>185</v>
      </c>
    </row>
    <row r="930" spans="13:17" x14ac:dyDescent="0.25">
      <c r="M930" s="2" t="s">
        <v>172</v>
      </c>
      <c r="Q930" s="2">
        <v>0</v>
      </c>
    </row>
    <row r="931" spans="13:17" x14ac:dyDescent="0.25">
      <c r="M931" s="2" t="s">
        <v>173</v>
      </c>
      <c r="Q931" s="2">
        <v>0</v>
      </c>
    </row>
    <row r="932" spans="13:17" x14ac:dyDescent="0.25">
      <c r="M932" s="2" t="s">
        <v>174</v>
      </c>
      <c r="Q932" s="2">
        <v>0</v>
      </c>
    </row>
    <row r="933" spans="13:17" x14ac:dyDescent="0.25">
      <c r="M933" s="2" t="s">
        <v>175</v>
      </c>
      <c r="Q933" s="2">
        <v>0</v>
      </c>
    </row>
    <row r="934" spans="13:17" x14ac:dyDescent="0.25">
      <c r="M934" s="2" t="s">
        <v>176</v>
      </c>
      <c r="Q934" s="2">
        <f>SUM(N139,N165,N186,N201,N225,N243)</f>
        <v>0</v>
      </c>
    </row>
    <row r="935" spans="13:17" x14ac:dyDescent="0.25">
      <c r="M935" s="2" t="s">
        <v>186</v>
      </c>
      <c r="Q935" s="2">
        <v>0</v>
      </c>
    </row>
    <row r="936" spans="13:17" x14ac:dyDescent="0.25">
      <c r="M936" s="2" t="s">
        <v>187</v>
      </c>
      <c r="Q936" s="2">
        <v>0</v>
      </c>
    </row>
    <row r="937" spans="13:17" x14ac:dyDescent="0.25">
      <c r="M937" s="2" t="s">
        <v>179</v>
      </c>
      <c r="Q937" s="2">
        <v>0</v>
      </c>
    </row>
    <row r="938" spans="13:17" x14ac:dyDescent="0.25">
      <c r="M938" s="2" t="s">
        <v>170</v>
      </c>
      <c r="Q938" s="2">
        <v>0</v>
      </c>
    </row>
    <row r="941" spans="13:17" x14ac:dyDescent="0.25">
      <c r="M941" s="185" t="s">
        <v>188</v>
      </c>
      <c r="N941" s="185"/>
      <c r="O941" s="185"/>
      <c r="P941" s="185"/>
      <c r="Q941" s="185"/>
    </row>
    <row r="942" spans="13:17" x14ac:dyDescent="0.25">
      <c r="M942" s="185"/>
      <c r="N942" s="185"/>
      <c r="O942" s="185"/>
      <c r="P942" s="185"/>
      <c r="Q942" s="185"/>
    </row>
    <row r="943" spans="13:17" x14ac:dyDescent="0.25">
      <c r="M943" s="185"/>
      <c r="N943" s="185"/>
      <c r="O943" s="185"/>
      <c r="P943" s="185"/>
      <c r="Q943" s="185"/>
    </row>
    <row r="944" spans="13:17" x14ac:dyDescent="0.25">
      <c r="M944" s="185" t="s">
        <v>160</v>
      </c>
      <c r="N944" s="185"/>
      <c r="O944" s="185"/>
      <c r="P944" s="185"/>
      <c r="Q944" s="185">
        <v>0</v>
      </c>
    </row>
    <row r="945" spans="13:17" x14ac:dyDescent="0.25">
      <c r="M945" s="185" t="s">
        <v>161</v>
      </c>
      <c r="N945" s="185"/>
      <c r="O945" s="185"/>
      <c r="P945" s="185"/>
      <c r="Q945" s="185">
        <v>0</v>
      </c>
    </row>
    <row r="946" spans="13:17" x14ac:dyDescent="0.25">
      <c r="M946" s="185" t="s">
        <v>162</v>
      </c>
      <c r="N946" s="185"/>
      <c r="O946" s="185"/>
      <c r="P946" s="185"/>
      <c r="Q946" s="185">
        <f>SUM(Q890)</f>
        <v>-2912576</v>
      </c>
    </row>
    <row r="947" spans="13:17" x14ac:dyDescent="0.25">
      <c r="M947" s="185" t="s">
        <v>189</v>
      </c>
      <c r="N947" s="185"/>
      <c r="O947" s="185"/>
      <c r="P947" s="185"/>
      <c r="Q947" s="185">
        <v>0</v>
      </c>
    </row>
    <row r="948" spans="13:17" x14ac:dyDescent="0.25">
      <c r="M948" s="185" t="s">
        <v>190</v>
      </c>
      <c r="N948" s="185"/>
      <c r="O948" s="185"/>
      <c r="P948" s="185"/>
      <c r="Q948" s="185">
        <v>0</v>
      </c>
    </row>
    <row r="949" spans="13:17" x14ac:dyDescent="0.25">
      <c r="M949" s="185" t="s">
        <v>191</v>
      </c>
      <c r="N949" s="185"/>
      <c r="O949" s="185"/>
      <c r="P949" s="185"/>
      <c r="Q949" s="185">
        <v>0</v>
      </c>
    </row>
    <row r="950" spans="13:17" x14ac:dyDescent="0.25">
      <c r="M950" s="185" t="s">
        <v>184</v>
      </c>
      <c r="N950" s="185"/>
      <c r="O950" s="185"/>
      <c r="P950" s="185"/>
      <c r="Q950" s="185">
        <v>0</v>
      </c>
    </row>
    <row r="951" spans="13:17" x14ac:dyDescent="0.25">
      <c r="M951" s="185" t="s">
        <v>167</v>
      </c>
      <c r="N951" s="185"/>
      <c r="O951" s="185"/>
      <c r="P951" s="185"/>
      <c r="Q951" s="185">
        <v>0</v>
      </c>
    </row>
    <row r="952" spans="13:17" x14ac:dyDescent="0.25">
      <c r="M952" s="185" t="s">
        <v>168</v>
      </c>
      <c r="N952" s="185"/>
      <c r="O952" s="185"/>
      <c r="P952" s="185"/>
      <c r="Q952" s="185">
        <v>0</v>
      </c>
    </row>
    <row r="953" spans="13:17" x14ac:dyDescent="0.25">
      <c r="M953" s="185" t="s">
        <v>169</v>
      </c>
      <c r="N953" s="185"/>
      <c r="O953" s="185"/>
      <c r="P953" s="185"/>
      <c r="Q953" s="185">
        <v>0</v>
      </c>
    </row>
    <row r="954" spans="13:17" x14ac:dyDescent="0.25">
      <c r="M954" s="185" t="s">
        <v>170</v>
      </c>
      <c r="N954" s="185"/>
      <c r="O954" s="185"/>
      <c r="P954" s="185"/>
      <c r="Q954" s="185">
        <f>SUM(Q944:Q953)</f>
        <v>-2912576</v>
      </c>
    </row>
    <row r="955" spans="13:17" x14ac:dyDescent="0.25">
      <c r="M955" s="185"/>
      <c r="N955" s="185"/>
      <c r="O955" s="185"/>
      <c r="P955" s="185"/>
      <c r="Q955" s="185"/>
    </row>
    <row r="956" spans="13:17" x14ac:dyDescent="0.25">
      <c r="M956" s="185"/>
      <c r="N956" s="185"/>
      <c r="O956" s="185"/>
      <c r="P956" s="185"/>
      <c r="Q956" s="185"/>
    </row>
    <row r="957" spans="13:17" x14ac:dyDescent="0.25">
      <c r="M957" s="185"/>
      <c r="N957" s="185"/>
      <c r="O957" s="185"/>
      <c r="P957" s="185"/>
      <c r="Q957" s="185"/>
    </row>
    <row r="958" spans="13:17" x14ac:dyDescent="0.25">
      <c r="M958" s="185" t="s">
        <v>192</v>
      </c>
      <c r="N958" s="185"/>
      <c r="O958" s="185"/>
      <c r="P958" s="185"/>
      <c r="Q958" s="185"/>
    </row>
    <row r="959" spans="13:17" x14ac:dyDescent="0.25">
      <c r="M959" s="185"/>
      <c r="N959" s="185"/>
      <c r="O959" s="185"/>
      <c r="P959" s="185"/>
      <c r="Q959" s="185"/>
    </row>
    <row r="960" spans="13:17" x14ac:dyDescent="0.25">
      <c r="M960" s="185" t="s">
        <v>172</v>
      </c>
      <c r="N960" s="185"/>
      <c r="O960" s="185"/>
      <c r="P960" s="185"/>
      <c r="Q960" s="185">
        <v>0</v>
      </c>
    </row>
    <row r="961" spans="13:17" x14ac:dyDescent="0.25">
      <c r="M961" s="185" t="s">
        <v>173</v>
      </c>
      <c r="N961" s="185"/>
      <c r="O961" s="185"/>
      <c r="P961" s="185"/>
      <c r="Q961" s="185">
        <v>0</v>
      </c>
    </row>
    <row r="962" spans="13:17" x14ac:dyDescent="0.25">
      <c r="M962" s="185" t="s">
        <v>174</v>
      </c>
      <c r="N962" s="185"/>
      <c r="O962" s="185"/>
      <c r="P962" s="185"/>
      <c r="Q962" s="185">
        <f>SUM(Q906)</f>
        <v>-1276753</v>
      </c>
    </row>
    <row r="963" spans="13:17" x14ac:dyDescent="0.25">
      <c r="M963" s="185" t="s">
        <v>175</v>
      </c>
      <c r="N963" s="185"/>
      <c r="O963" s="185"/>
      <c r="P963" s="185"/>
      <c r="Q963" s="185">
        <f>SUM(Q907)</f>
        <v>-197897</v>
      </c>
    </row>
    <row r="964" spans="13:17" x14ac:dyDescent="0.25">
      <c r="M964" s="185" t="s">
        <v>176</v>
      </c>
      <c r="N964" s="185"/>
      <c r="O964" s="185"/>
      <c r="P964" s="185"/>
      <c r="Q964" s="185">
        <f>SUM(Q908)</f>
        <v>-1437926</v>
      </c>
    </row>
    <row r="965" spans="13:17" x14ac:dyDescent="0.25">
      <c r="M965" s="185" t="s">
        <v>186</v>
      </c>
      <c r="N965" s="185"/>
      <c r="O965" s="185"/>
      <c r="P965" s="185"/>
      <c r="Q965" s="185">
        <v>0</v>
      </c>
    </row>
    <row r="966" spans="13:17" x14ac:dyDescent="0.25">
      <c r="M966" s="185" t="s">
        <v>187</v>
      </c>
      <c r="N966" s="185"/>
      <c r="O966" s="185"/>
      <c r="P966" s="185"/>
      <c r="Q966" s="185">
        <v>0</v>
      </c>
    </row>
    <row r="967" spans="13:17" x14ac:dyDescent="0.25">
      <c r="M967" s="185" t="s">
        <v>179</v>
      </c>
      <c r="N967" s="185"/>
      <c r="O967" s="185"/>
      <c r="P967" s="185"/>
      <c r="Q967" s="185">
        <v>0</v>
      </c>
    </row>
    <row r="968" spans="13:17" x14ac:dyDescent="0.25">
      <c r="M968" s="185" t="s">
        <v>170</v>
      </c>
      <c r="N968" s="185"/>
      <c r="O968" s="185"/>
      <c r="P968" s="185"/>
      <c r="Q968" s="185">
        <f>SUM(Q960:Q967)</f>
        <v>-2912576</v>
      </c>
    </row>
  </sheetData>
  <autoFilter ref="A4:W831"/>
  <mergeCells count="205">
    <mergeCell ref="A5:A25"/>
    <mergeCell ref="B5:B8"/>
    <mergeCell ref="B10:B11"/>
    <mergeCell ref="B12:B14"/>
    <mergeCell ref="B15:B17"/>
    <mergeCell ref="B18:B22"/>
    <mergeCell ref="B23:B25"/>
    <mergeCell ref="A1:V1"/>
    <mergeCell ref="A3:A4"/>
    <mergeCell ref="B3:B4"/>
    <mergeCell ref="C3:C4"/>
    <mergeCell ref="D3:D4"/>
    <mergeCell ref="M3:M4"/>
    <mergeCell ref="U3:U4"/>
    <mergeCell ref="V3:V4"/>
    <mergeCell ref="E3:L3"/>
    <mergeCell ref="T3:T4"/>
    <mergeCell ref="N3:Q3"/>
    <mergeCell ref="A43:A49"/>
    <mergeCell ref="B43:B45"/>
    <mergeCell ref="B47:B49"/>
    <mergeCell ref="A50:A52"/>
    <mergeCell ref="B50:B51"/>
    <mergeCell ref="A53:A55"/>
    <mergeCell ref="B53:B54"/>
    <mergeCell ref="A26:A28"/>
    <mergeCell ref="B26:B27"/>
    <mergeCell ref="A29:A35"/>
    <mergeCell ref="B29:B31"/>
    <mergeCell ref="A36:A42"/>
    <mergeCell ref="B36:B38"/>
    <mergeCell ref="B41:B42"/>
    <mergeCell ref="B33:B35"/>
    <mergeCell ref="A71:A73"/>
    <mergeCell ref="B71:B72"/>
    <mergeCell ref="B74:B75"/>
    <mergeCell ref="A79:A84"/>
    <mergeCell ref="B79:B80"/>
    <mergeCell ref="B82:B84"/>
    <mergeCell ref="A56:A58"/>
    <mergeCell ref="B56:B57"/>
    <mergeCell ref="A59:A65"/>
    <mergeCell ref="B59:B61"/>
    <mergeCell ref="B63:B65"/>
    <mergeCell ref="A66:A70"/>
    <mergeCell ref="B66:B68"/>
    <mergeCell ref="A74:A78"/>
    <mergeCell ref="B77:B78"/>
    <mergeCell ref="A85:A87"/>
    <mergeCell ref="B85:B86"/>
    <mergeCell ref="A88:A96"/>
    <mergeCell ref="B88:B90"/>
    <mergeCell ref="B94:B96"/>
    <mergeCell ref="A97:A104"/>
    <mergeCell ref="B97:B98"/>
    <mergeCell ref="B99:B101"/>
    <mergeCell ref="B102:B104"/>
    <mergeCell ref="B91:B93"/>
    <mergeCell ref="B230:B243"/>
    <mergeCell ref="A244:A245"/>
    <mergeCell ref="B244:B245"/>
    <mergeCell ref="A246:A247"/>
    <mergeCell ref="B246:B247"/>
    <mergeCell ref="A248:A249"/>
    <mergeCell ref="B248:B249"/>
    <mergeCell ref="A105:A108"/>
    <mergeCell ref="B105:B106"/>
    <mergeCell ref="A109:C109"/>
    <mergeCell ref="A110:A243"/>
    <mergeCell ref="B110:B118"/>
    <mergeCell ref="B143:B165"/>
    <mergeCell ref="B166:B186"/>
    <mergeCell ref="B187:B201"/>
    <mergeCell ref="B202:B229"/>
    <mergeCell ref="B119:B142"/>
    <mergeCell ref="A256:A257"/>
    <mergeCell ref="B256:B257"/>
    <mergeCell ref="A258:A259"/>
    <mergeCell ref="B258:B259"/>
    <mergeCell ref="A260:A261"/>
    <mergeCell ref="B260:B261"/>
    <mergeCell ref="A250:A251"/>
    <mergeCell ref="B250:B251"/>
    <mergeCell ref="A252:A253"/>
    <mergeCell ref="B252:B253"/>
    <mergeCell ref="A254:A255"/>
    <mergeCell ref="B254:B255"/>
    <mergeCell ref="A294:A295"/>
    <mergeCell ref="B294:B295"/>
    <mergeCell ref="A296:C296"/>
    <mergeCell ref="A297:A329"/>
    <mergeCell ref="B298:B304"/>
    <mergeCell ref="B305:B323"/>
    <mergeCell ref="B324:B329"/>
    <mergeCell ref="A262:A263"/>
    <mergeCell ref="B262:B263"/>
    <mergeCell ref="A264:C264"/>
    <mergeCell ref="A265:A293"/>
    <mergeCell ref="B266:B274"/>
    <mergeCell ref="B275:B293"/>
    <mergeCell ref="A389:A390"/>
    <mergeCell ref="B389:B390"/>
    <mergeCell ref="A391:A392"/>
    <mergeCell ref="B391:B392"/>
    <mergeCell ref="A393:A394"/>
    <mergeCell ref="B393:B394"/>
    <mergeCell ref="A330:A331"/>
    <mergeCell ref="B330:B331"/>
    <mergeCell ref="A332:C332"/>
    <mergeCell ref="A333:A388"/>
    <mergeCell ref="B333:B340"/>
    <mergeCell ref="B341:B363"/>
    <mergeCell ref="B364:B382"/>
    <mergeCell ref="B383:B388"/>
    <mergeCell ref="A430:C430"/>
    <mergeCell ref="A431:A460"/>
    <mergeCell ref="B431:B440"/>
    <mergeCell ref="B441:B460"/>
    <mergeCell ref="A461:A462"/>
    <mergeCell ref="B461:B462"/>
    <mergeCell ref="A395:C395"/>
    <mergeCell ref="A396:A427"/>
    <mergeCell ref="B397:B405"/>
    <mergeCell ref="B406:B427"/>
    <mergeCell ref="A428:A429"/>
    <mergeCell ref="B428:B429"/>
    <mergeCell ref="A493:A494"/>
    <mergeCell ref="B493:B494"/>
    <mergeCell ref="A495:C495"/>
    <mergeCell ref="A496:A514"/>
    <mergeCell ref="B497:B514"/>
    <mergeCell ref="A515:A516"/>
    <mergeCell ref="B515:B516"/>
    <mergeCell ref="A463:C463"/>
    <mergeCell ref="A464:A490"/>
    <mergeCell ref="B465:B472"/>
    <mergeCell ref="B473:B490"/>
    <mergeCell ref="A491:A492"/>
    <mergeCell ref="B491:B492"/>
    <mergeCell ref="A549:A550"/>
    <mergeCell ref="B549:B550"/>
    <mergeCell ref="A551:C551"/>
    <mergeCell ref="A552:A584"/>
    <mergeCell ref="B553:B556"/>
    <mergeCell ref="B557:B579"/>
    <mergeCell ref="B580:B584"/>
    <mergeCell ref="A517:C517"/>
    <mergeCell ref="A518:A546"/>
    <mergeCell ref="B519:B540"/>
    <mergeCell ref="B541:B546"/>
    <mergeCell ref="A547:A548"/>
    <mergeCell ref="B547:B548"/>
    <mergeCell ref="A621:A622"/>
    <mergeCell ref="B621:B622"/>
    <mergeCell ref="A623:C623"/>
    <mergeCell ref="A624:A654"/>
    <mergeCell ref="B625:B629"/>
    <mergeCell ref="B630:B649"/>
    <mergeCell ref="B650:B654"/>
    <mergeCell ref="A585:A586"/>
    <mergeCell ref="B585:B586"/>
    <mergeCell ref="A587:A588"/>
    <mergeCell ref="B587:B588"/>
    <mergeCell ref="A589:C589"/>
    <mergeCell ref="A590:A620"/>
    <mergeCell ref="B590:B599"/>
    <mergeCell ref="B600:B620"/>
    <mergeCell ref="A692:A693"/>
    <mergeCell ref="B692:B693"/>
    <mergeCell ref="A694:C694"/>
    <mergeCell ref="A695:A718"/>
    <mergeCell ref="B695:B705"/>
    <mergeCell ref="B706:B718"/>
    <mergeCell ref="A655:A656"/>
    <mergeCell ref="B655:B656"/>
    <mergeCell ref="A657:C657"/>
    <mergeCell ref="A658:A691"/>
    <mergeCell ref="B658:B667"/>
    <mergeCell ref="B668:B685"/>
    <mergeCell ref="B686:B691"/>
    <mergeCell ref="A762:A763"/>
    <mergeCell ref="B762:B763"/>
    <mergeCell ref="A764:C764"/>
    <mergeCell ref="A765:A803"/>
    <mergeCell ref="B765:B769"/>
    <mergeCell ref="B770:B790"/>
    <mergeCell ref="B791:B803"/>
    <mergeCell ref="A719:A720"/>
    <mergeCell ref="B719:B720"/>
    <mergeCell ref="A721:C721"/>
    <mergeCell ref="A722:A761"/>
    <mergeCell ref="B723:B731"/>
    <mergeCell ref="B732:B755"/>
    <mergeCell ref="B756:B761"/>
    <mergeCell ref="A828:A829"/>
    <mergeCell ref="B828:B829"/>
    <mergeCell ref="A830:C830"/>
    <mergeCell ref="A831:C831"/>
    <mergeCell ref="A837:B884"/>
    <mergeCell ref="A804:A805"/>
    <mergeCell ref="B804:B805"/>
    <mergeCell ref="A806:C806"/>
    <mergeCell ref="A807:A827"/>
    <mergeCell ref="B808:B824"/>
    <mergeCell ref="B825:B827"/>
  </mergeCells>
  <pageMargins left="0.70866141732283472" right="0.70866141732283472" top="0.39370078740157483" bottom="0" header="0" footer="0"/>
  <pageSetup paperSize="9" scale="43" orientation="portrait" r:id="rId1"/>
  <rowBreaks count="9" manualBreakCount="9">
    <brk id="109" max="16383" man="1"/>
    <brk id="229" max="16383" man="1"/>
    <brk id="332" max="16383" man="1"/>
    <brk id="430" max="16383" man="1"/>
    <brk id="517" max="16383" man="1"/>
    <brk id="623" max="16383" man="1"/>
    <brk id="721" max="16383" man="1"/>
    <brk id="831" max="16383" man="1"/>
    <brk id="8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2021.08.31</vt:lpstr>
      <vt:lpstr>'2021.08.31'!Nyomtatási_cím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2021-09-03T21:19:07Z</dcterms:modified>
</cp:coreProperties>
</file>