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ANITA-SZILVI\ELŐIRÁNYZATOK_\KKTÖT ELŐIR MÓD 2008-2021\2021\Előirányzat módosítás (1A)\2021.09. előterjesztés\"/>
    </mc:Choice>
  </mc:AlternateContent>
  <xr:revisionPtr revIDLastSave="0" documentId="13_ncr:1_{BF187FF2-632F-47CE-80D9-A1A5F1AF26AA}" xr6:coauthVersionLast="47" xr6:coauthVersionMax="47" xr10:uidLastSave="{00000000-0000-0000-0000-000000000000}"/>
  <bookViews>
    <workbookView xWindow="-120" yWindow="-120" windowWidth="21840" windowHeight="13140" tabRatio="713" firstSheet="13" activeTab="13" xr2:uid="{00000000-000D-0000-FFFF-FFFF00000000}"/>
  </bookViews>
  <sheets>
    <sheet name="2019.03.31." sheetId="6" state="hidden" r:id="rId1"/>
    <sheet name="2019.04.30" sheetId="7" state="hidden" r:id="rId2"/>
    <sheet name="2019.05.31" sheetId="8" state="hidden" r:id="rId3"/>
    <sheet name="Előterjesztés 06.20." sheetId="9" state="hidden" r:id="rId4"/>
    <sheet name="2019.06.30" sheetId="11" state="hidden" r:id="rId5"/>
    <sheet name="2019.07.31." sheetId="12" state="hidden" r:id="rId6"/>
    <sheet name="2019.08.31." sheetId="13" state="hidden" r:id="rId7"/>
    <sheet name="Előterjesztés 2019.09.26." sheetId="14" state="hidden" r:id="rId8"/>
    <sheet name="2019.09.30." sheetId="15" state="hidden" r:id="rId9"/>
    <sheet name="2019.10.31." sheetId="16" state="hidden" r:id="rId10"/>
    <sheet name="Előterjesztés 12.12." sheetId="17" state="hidden" r:id="rId11"/>
    <sheet name="2019.11.30." sheetId="18" state="hidden" r:id="rId12"/>
    <sheet name="2019.12.31." sheetId="19" state="hidden" r:id="rId13"/>
    <sheet name="2021" sheetId="20" r:id="rId14"/>
  </sheets>
  <definedNames>
    <definedName name="_xlnm._FilterDatabase" localSheetId="0" hidden="1">'2019.03.31.'!$A$5:$K$71</definedName>
    <definedName name="_xlnm._FilterDatabase" localSheetId="1" hidden="1">'2019.04.30'!$A$5:$L$72</definedName>
    <definedName name="_xlnm._FilterDatabase" localSheetId="2" hidden="1">'2019.05.31'!$A$5:$L$5</definedName>
    <definedName name="_xlnm._FilterDatabase" localSheetId="4" hidden="1">'2019.06.30'!$A$5:$L$77</definedName>
    <definedName name="_xlnm._FilterDatabase" localSheetId="5" hidden="1">'2019.07.31.'!$A$5:$L$87</definedName>
    <definedName name="_xlnm._FilterDatabase" localSheetId="8" hidden="1">'2019.09.30.'!$A$5:$M$95</definedName>
    <definedName name="_xlnm._FilterDatabase" localSheetId="11" hidden="1">'2019.11.30.'!$A$5:$M$5</definedName>
    <definedName name="_xlnm._FilterDatabase" localSheetId="12" hidden="1">'2019.12.31.'!$A$5:$R$99</definedName>
    <definedName name="_xlnm._FilterDatabase" localSheetId="13" hidden="1">'2021'!$A$5:$T$114</definedName>
    <definedName name="_xlnm._FilterDatabase" localSheetId="3" hidden="1">'Előterjesztés 06.20.'!$A$5:$K$75</definedName>
    <definedName name="_xlnm._FilterDatabase" localSheetId="10" hidden="1">'Előterjesztés 12.12.'!$A$5:$O$97</definedName>
    <definedName name="_xlnm._FilterDatabase" localSheetId="7" hidden="1">'Előterjesztés 2019.09.26.'!$A$5:$M$91</definedName>
    <definedName name="_xlnm.Print_Titles" localSheetId="1">'2019.04.30'!$4:$5</definedName>
    <definedName name="_xlnm.Print_Area" localSheetId="5">'2019.07.31.'!$A$1:$L$134</definedName>
    <definedName name="_xlnm.Print_Area" localSheetId="6">'2019.08.31.'!$A$1:$L$138</definedName>
    <definedName name="_xlnm.Print_Area" localSheetId="8">'2019.09.30.'!$A$1:$L$145</definedName>
    <definedName name="_xlnm.Print_Area" localSheetId="9">'2019.10.31.'!$A$1:$L$144</definedName>
    <definedName name="_xlnm.Print_Area" localSheetId="11">'2019.11.30.'!$A$1:$L$147</definedName>
    <definedName name="_xlnm.Print_Area" localSheetId="12">'2019.12.31.'!$A$1:$Q$235</definedName>
    <definedName name="_xlnm.Print_Area" localSheetId="13">'2021'!$A$1:$S$246</definedName>
    <definedName name="_xlnm.Print_Area" localSheetId="3">'Előterjesztés 06.20.'!$A$1:$J$123</definedName>
    <definedName name="_xlnm.Print_Area" localSheetId="10">'Előterjesztés 12.12.'!$A$1:$N$230</definedName>
  </definedNames>
  <calcPr calcId="181029"/>
</workbook>
</file>

<file path=xl/calcChain.xml><?xml version="1.0" encoding="utf-8"?>
<calcChain xmlns="http://schemas.openxmlformats.org/spreadsheetml/2006/main">
  <c r="N170" i="20" l="1"/>
  <c r="N227" i="20" s="1"/>
  <c r="O121" i="20"/>
  <c r="O122" i="20"/>
  <c r="O124" i="20"/>
  <c r="O125" i="20"/>
  <c r="O126" i="20"/>
  <c r="O127" i="20"/>
  <c r="O128" i="20"/>
  <c r="O129" i="20"/>
  <c r="O130" i="20"/>
  <c r="O131" i="20"/>
  <c r="O132" i="20"/>
  <c r="O133" i="20"/>
  <c r="O134" i="20"/>
  <c r="O135" i="20"/>
  <c r="O136" i="20"/>
  <c r="O137" i="20"/>
  <c r="O138" i="20"/>
  <c r="O139" i="20"/>
  <c r="O140" i="20"/>
  <c r="O141" i="20"/>
  <c r="O142" i="20"/>
  <c r="O143" i="20"/>
  <c r="O144" i="20"/>
  <c r="O145" i="20"/>
  <c r="O146" i="20"/>
  <c r="O147" i="20"/>
  <c r="O148" i="20"/>
  <c r="O149" i="20"/>
  <c r="O150" i="20"/>
  <c r="O151" i="20"/>
  <c r="O152" i="20"/>
  <c r="O153" i="20"/>
  <c r="O154" i="20"/>
  <c r="O155" i="20"/>
  <c r="O156" i="20"/>
  <c r="O157" i="20"/>
  <c r="O158" i="20"/>
  <c r="O159" i="20"/>
  <c r="O160" i="20"/>
  <c r="O161" i="20"/>
  <c r="O162" i="20"/>
  <c r="Q9" i="20"/>
  <c r="O113" i="20"/>
  <c r="O114" i="20" s="1"/>
  <c r="O110" i="20"/>
  <c r="O105" i="20"/>
  <c r="O93" i="20"/>
  <c r="O90" i="20"/>
  <c r="O84" i="20"/>
  <c r="O73" i="20"/>
  <c r="O69" i="20"/>
  <c r="O66" i="20"/>
  <c r="O61" i="20"/>
  <c r="O46" i="20"/>
  <c r="O43" i="20"/>
  <c r="O33" i="20"/>
  <c r="N183" i="20"/>
  <c r="N238" i="20" s="1"/>
  <c r="N175" i="20"/>
  <c r="N231" i="20" s="1"/>
  <c r="L30" i="20" l="1"/>
  <c r="N169" i="20" s="1"/>
  <c r="N225" i="20" l="1"/>
  <c r="N233" i="20" s="1"/>
  <c r="N177" i="20"/>
  <c r="K74" i="20"/>
  <c r="K71" i="20"/>
  <c r="K80" i="20"/>
  <c r="R47" i="20"/>
  <c r="R30" i="20"/>
  <c r="K135" i="20" l="1"/>
  <c r="L135" i="20"/>
  <c r="M135" i="20"/>
  <c r="N135" i="20"/>
  <c r="P135" i="20"/>
  <c r="R135" i="20"/>
  <c r="K136" i="20"/>
  <c r="L136" i="20"/>
  <c r="M136" i="20"/>
  <c r="N136" i="20"/>
  <c r="P136" i="20"/>
  <c r="R136" i="20"/>
  <c r="K121" i="20"/>
  <c r="L121" i="20"/>
  <c r="M121" i="20"/>
  <c r="N121" i="20"/>
  <c r="P121" i="20"/>
  <c r="K122" i="20"/>
  <c r="L122" i="20"/>
  <c r="M122" i="20"/>
  <c r="N122" i="20"/>
  <c r="P122" i="20"/>
  <c r="K124" i="20"/>
  <c r="L124" i="20"/>
  <c r="M124" i="20"/>
  <c r="N124" i="20"/>
  <c r="P124" i="20"/>
  <c r="K125" i="20"/>
  <c r="L125" i="20"/>
  <c r="M125" i="20"/>
  <c r="N125" i="20"/>
  <c r="P125" i="20"/>
  <c r="K126" i="20"/>
  <c r="L126" i="20"/>
  <c r="M126" i="20"/>
  <c r="N126" i="20"/>
  <c r="P126" i="20"/>
  <c r="K127" i="20"/>
  <c r="L127" i="20"/>
  <c r="M127" i="20"/>
  <c r="N127" i="20"/>
  <c r="P127" i="20"/>
  <c r="K128" i="20"/>
  <c r="L128" i="20"/>
  <c r="M128" i="20"/>
  <c r="N128" i="20"/>
  <c r="P128" i="20"/>
  <c r="K129" i="20"/>
  <c r="L129" i="20"/>
  <c r="M129" i="20"/>
  <c r="N129" i="20"/>
  <c r="P129" i="20"/>
  <c r="K131" i="20"/>
  <c r="L131" i="20"/>
  <c r="M131" i="20"/>
  <c r="N131" i="20"/>
  <c r="P131" i="20"/>
  <c r="K132" i="20"/>
  <c r="L132" i="20"/>
  <c r="M132" i="20"/>
  <c r="N132" i="20"/>
  <c r="P132" i="20"/>
  <c r="K133" i="20"/>
  <c r="L133" i="20"/>
  <c r="M133" i="20"/>
  <c r="N133" i="20"/>
  <c r="P133" i="20"/>
  <c r="K134" i="20"/>
  <c r="N212" i="20" s="1"/>
  <c r="N241" i="20" s="1"/>
  <c r="L134" i="20"/>
  <c r="M134" i="20"/>
  <c r="N134" i="20"/>
  <c r="P134" i="20"/>
  <c r="K137" i="20"/>
  <c r="L137" i="20"/>
  <c r="M137" i="20"/>
  <c r="N137" i="20"/>
  <c r="P137" i="20"/>
  <c r="K138" i="20"/>
  <c r="L138" i="20"/>
  <c r="M138" i="20"/>
  <c r="N138" i="20"/>
  <c r="P138" i="20"/>
  <c r="K139" i="20"/>
  <c r="L139" i="20"/>
  <c r="M139" i="20"/>
  <c r="N139" i="20"/>
  <c r="P139" i="20"/>
  <c r="K140" i="20"/>
  <c r="L140" i="20"/>
  <c r="M140" i="20"/>
  <c r="N140" i="20"/>
  <c r="P140" i="20"/>
  <c r="K141" i="20"/>
  <c r="L141" i="20"/>
  <c r="M141" i="20"/>
  <c r="N141" i="20"/>
  <c r="P141" i="20"/>
  <c r="K142" i="20"/>
  <c r="L142" i="20"/>
  <c r="M142" i="20"/>
  <c r="N142" i="20"/>
  <c r="P142" i="20"/>
  <c r="K143" i="20"/>
  <c r="L143" i="20"/>
  <c r="M143" i="20"/>
  <c r="N143" i="20"/>
  <c r="P143" i="20"/>
  <c r="K144" i="20"/>
  <c r="L144" i="20"/>
  <c r="M144" i="20"/>
  <c r="N144" i="20"/>
  <c r="P144" i="20"/>
  <c r="K145" i="20"/>
  <c r="L145" i="20"/>
  <c r="M145" i="20"/>
  <c r="N145" i="20"/>
  <c r="P145" i="20"/>
  <c r="K146" i="20"/>
  <c r="L146" i="20"/>
  <c r="M146" i="20"/>
  <c r="N146" i="20"/>
  <c r="P146" i="20"/>
  <c r="K148" i="20"/>
  <c r="L148" i="20"/>
  <c r="M148" i="20"/>
  <c r="N148" i="20"/>
  <c r="P148" i="20"/>
  <c r="K149" i="20"/>
  <c r="L149" i="20"/>
  <c r="M149" i="20"/>
  <c r="N149" i="20"/>
  <c r="P149" i="20"/>
  <c r="K150" i="20"/>
  <c r="L150" i="20"/>
  <c r="M150" i="20"/>
  <c r="N150" i="20"/>
  <c r="P150" i="20"/>
  <c r="K151" i="20"/>
  <c r="L151" i="20"/>
  <c r="M151" i="20"/>
  <c r="N151" i="20"/>
  <c r="P151" i="20"/>
  <c r="K152" i="20"/>
  <c r="L152" i="20"/>
  <c r="M152" i="20"/>
  <c r="N152" i="20"/>
  <c r="P152" i="20"/>
  <c r="K153" i="20"/>
  <c r="L153" i="20"/>
  <c r="M153" i="20"/>
  <c r="N153" i="20"/>
  <c r="P153" i="20"/>
  <c r="K154" i="20"/>
  <c r="L154" i="20"/>
  <c r="M154" i="20"/>
  <c r="N154" i="20"/>
  <c r="P154" i="20"/>
  <c r="K155" i="20"/>
  <c r="L155" i="20"/>
  <c r="M155" i="20"/>
  <c r="N155" i="20"/>
  <c r="P155" i="20"/>
  <c r="K156" i="20"/>
  <c r="L156" i="20"/>
  <c r="M156" i="20"/>
  <c r="N156" i="20"/>
  <c r="P156" i="20"/>
  <c r="K157" i="20"/>
  <c r="L157" i="20"/>
  <c r="M157" i="20"/>
  <c r="N157" i="20"/>
  <c r="P157" i="20"/>
  <c r="K158" i="20"/>
  <c r="L158" i="20"/>
  <c r="M158" i="20"/>
  <c r="N158" i="20"/>
  <c r="P158" i="20"/>
  <c r="K159" i="20"/>
  <c r="L159" i="20"/>
  <c r="M159" i="20"/>
  <c r="N159" i="20"/>
  <c r="P159" i="20"/>
  <c r="K160" i="20"/>
  <c r="L160" i="20"/>
  <c r="M160" i="20"/>
  <c r="N160" i="20"/>
  <c r="P160" i="20"/>
  <c r="K161" i="20"/>
  <c r="L161" i="20"/>
  <c r="M161" i="20"/>
  <c r="N161" i="20"/>
  <c r="P161" i="20"/>
  <c r="K113" i="20"/>
  <c r="L113" i="20"/>
  <c r="M113" i="20"/>
  <c r="N113" i="20"/>
  <c r="P113" i="20"/>
  <c r="K110" i="20"/>
  <c r="L110" i="20"/>
  <c r="M110" i="20"/>
  <c r="N110" i="20"/>
  <c r="P110" i="20"/>
  <c r="K105" i="20"/>
  <c r="L105" i="20"/>
  <c r="M105" i="20"/>
  <c r="N105" i="20"/>
  <c r="P105" i="20"/>
  <c r="K93" i="20"/>
  <c r="L93" i="20"/>
  <c r="M93" i="20"/>
  <c r="N93" i="20"/>
  <c r="P93" i="20"/>
  <c r="K90" i="20"/>
  <c r="L90" i="20"/>
  <c r="M90" i="20"/>
  <c r="N90" i="20"/>
  <c r="P90" i="20"/>
  <c r="K84" i="20"/>
  <c r="L84" i="20"/>
  <c r="M84" i="20"/>
  <c r="N84" i="20"/>
  <c r="P84" i="20"/>
  <c r="K73" i="20"/>
  <c r="N211" i="20" s="1"/>
  <c r="L73" i="20"/>
  <c r="M73" i="20"/>
  <c r="N73" i="20"/>
  <c r="P73" i="20"/>
  <c r="K69" i="20"/>
  <c r="L69" i="20"/>
  <c r="M69" i="20"/>
  <c r="N69" i="20"/>
  <c r="P69" i="20"/>
  <c r="K66" i="20"/>
  <c r="L66" i="20"/>
  <c r="M66" i="20"/>
  <c r="N66" i="20"/>
  <c r="P66" i="20"/>
  <c r="K61" i="20"/>
  <c r="L61" i="20"/>
  <c r="M61" i="20"/>
  <c r="N61" i="20"/>
  <c r="P61" i="20"/>
  <c r="K46" i="20"/>
  <c r="L46" i="20"/>
  <c r="M46" i="20"/>
  <c r="N46" i="20"/>
  <c r="P46" i="20"/>
  <c r="K43" i="20"/>
  <c r="L43" i="20"/>
  <c r="M43" i="20"/>
  <c r="N43" i="20"/>
  <c r="P43" i="20"/>
  <c r="K33" i="20"/>
  <c r="K130" i="20" s="1"/>
  <c r="L33" i="20"/>
  <c r="L130" i="20" s="1"/>
  <c r="M33" i="20"/>
  <c r="M130" i="20" s="1"/>
  <c r="N33" i="20"/>
  <c r="P33" i="20"/>
  <c r="P130" i="20" s="1"/>
  <c r="D44" i="20"/>
  <c r="D9" i="20"/>
  <c r="L114" i="20" l="1"/>
  <c r="L162" i="20" s="1"/>
  <c r="N147" i="20"/>
  <c r="M147" i="20"/>
  <c r="M114" i="20"/>
  <c r="M162" i="20" s="1"/>
  <c r="L147" i="20"/>
  <c r="P147" i="20"/>
  <c r="N114" i="20"/>
  <c r="N162" i="20" s="1"/>
  <c r="N187" i="20"/>
  <c r="N191" i="20" s="1"/>
  <c r="N217" i="20"/>
  <c r="N240" i="20"/>
  <c r="N213" i="20"/>
  <c r="P114" i="20"/>
  <c r="N130" i="20"/>
  <c r="K114" i="20"/>
  <c r="K147" i="20"/>
  <c r="R132" i="20"/>
  <c r="P162" i="20" l="1"/>
  <c r="Q114" i="20"/>
  <c r="N242" i="20"/>
  <c r="N246" i="20" s="1"/>
  <c r="K162" i="20"/>
  <c r="D144" i="20"/>
  <c r="E142" i="20"/>
  <c r="F142" i="20"/>
  <c r="G142" i="20"/>
  <c r="H142" i="20"/>
  <c r="I142" i="20"/>
  <c r="R142" i="20"/>
  <c r="D142" i="20"/>
  <c r="D129" i="20"/>
  <c r="E129" i="20"/>
  <c r="F129" i="20"/>
  <c r="G129" i="20"/>
  <c r="H129" i="20"/>
  <c r="I129" i="20"/>
  <c r="R129" i="20"/>
  <c r="I128" i="20" l="1"/>
  <c r="H128" i="20"/>
  <c r="G128" i="20"/>
  <c r="F128" i="20"/>
  <c r="E128" i="20"/>
  <c r="D128" i="20"/>
  <c r="R128" i="20"/>
  <c r="R113" i="20" l="1"/>
  <c r="F105" i="20" l="1"/>
  <c r="G105" i="20"/>
  <c r="H105" i="20"/>
  <c r="I105" i="20"/>
  <c r="R105" i="20"/>
  <c r="E105" i="20"/>
  <c r="J28" i="20" l="1"/>
  <c r="Q28" i="20" s="1"/>
  <c r="E61" i="20"/>
  <c r="F61" i="20"/>
  <c r="G61" i="20"/>
  <c r="H61" i="20"/>
  <c r="I61" i="20"/>
  <c r="R61" i="20"/>
  <c r="E66" i="20"/>
  <c r="F66" i="20"/>
  <c r="G66" i="20"/>
  <c r="H66" i="20"/>
  <c r="I66" i="20"/>
  <c r="R66" i="20"/>
  <c r="E69" i="20"/>
  <c r="F69" i="20"/>
  <c r="G69" i="20"/>
  <c r="H69" i="20"/>
  <c r="I69" i="20"/>
  <c r="R69" i="20"/>
  <c r="D69" i="20"/>
  <c r="D66" i="20"/>
  <c r="D61" i="20"/>
  <c r="E43" i="20"/>
  <c r="F43" i="20"/>
  <c r="G43" i="20"/>
  <c r="H43" i="20"/>
  <c r="I43" i="20"/>
  <c r="R43" i="20"/>
  <c r="E46" i="20"/>
  <c r="F46" i="20"/>
  <c r="G46" i="20"/>
  <c r="H46" i="20"/>
  <c r="I46" i="20"/>
  <c r="R46" i="20"/>
  <c r="D46" i="20"/>
  <c r="D43" i="20"/>
  <c r="E84" i="20"/>
  <c r="F84" i="20"/>
  <c r="G84" i="20"/>
  <c r="H84" i="20"/>
  <c r="I84" i="20"/>
  <c r="R84" i="20"/>
  <c r="J85" i="20"/>
  <c r="Q85" i="20" s="1"/>
  <c r="E90" i="20"/>
  <c r="F90" i="20"/>
  <c r="G90" i="20"/>
  <c r="H90" i="20"/>
  <c r="I90" i="20"/>
  <c r="R90" i="20"/>
  <c r="E93" i="20"/>
  <c r="F93" i="20"/>
  <c r="G93" i="20"/>
  <c r="H93" i="20"/>
  <c r="I93" i="20"/>
  <c r="R93" i="20"/>
  <c r="J95" i="20"/>
  <c r="Q95" i="20" s="1"/>
  <c r="S95" i="20" s="1"/>
  <c r="J94" i="20"/>
  <c r="Q94" i="20" s="1"/>
  <c r="S94" i="20" s="1"/>
  <c r="J74" i="20"/>
  <c r="Q74" i="20" s="1"/>
  <c r="E73" i="20"/>
  <c r="F73" i="20"/>
  <c r="G73" i="20"/>
  <c r="H73" i="20"/>
  <c r="I73" i="20"/>
  <c r="R73" i="20"/>
  <c r="J32" i="20"/>
  <c r="Q32" i="20" s="1"/>
  <c r="S32" i="20" s="1"/>
  <c r="J31" i="20"/>
  <c r="Q31" i="20" s="1"/>
  <c r="S31" i="20" s="1"/>
  <c r="J30" i="20"/>
  <c r="Q30" i="20" s="1"/>
  <c r="S30" i="20" s="1"/>
  <c r="J29" i="20"/>
  <c r="Q29" i="20" s="1"/>
  <c r="S29" i="20" s="1"/>
  <c r="J27" i="20"/>
  <c r="Q27" i="20" s="1"/>
  <c r="S27" i="20" s="1"/>
  <c r="J26" i="20"/>
  <c r="Q26" i="20" s="1"/>
  <c r="S26" i="20" s="1"/>
  <c r="J25" i="20"/>
  <c r="Q25" i="20" s="1"/>
  <c r="J24" i="20"/>
  <c r="Q24" i="20" s="1"/>
  <c r="S24" i="20" s="1"/>
  <c r="J23" i="20"/>
  <c r="Q23" i="20" s="1"/>
  <c r="S23" i="20" s="1"/>
  <c r="J22" i="20"/>
  <c r="Q22" i="20" s="1"/>
  <c r="J21" i="20"/>
  <c r="Q21" i="20" s="1"/>
  <c r="J20" i="20"/>
  <c r="Q20" i="20" s="1"/>
  <c r="S20" i="20" s="1"/>
  <c r="J19" i="20"/>
  <c r="Q19" i="20" s="1"/>
  <c r="S19" i="20" s="1"/>
  <c r="J18" i="20"/>
  <c r="Q18" i="20" s="1"/>
  <c r="S18" i="20" s="1"/>
  <c r="J17" i="20"/>
  <c r="Q17" i="20" s="1"/>
  <c r="S17" i="20" s="1"/>
  <c r="J16" i="20"/>
  <c r="Q16" i="20" s="1"/>
  <c r="S16" i="20" s="1"/>
  <c r="J15" i="20"/>
  <c r="Q15" i="20" s="1"/>
  <c r="S15" i="20" s="1"/>
  <c r="J14" i="20"/>
  <c r="Q14" i="20" s="1"/>
  <c r="S14" i="20" s="1"/>
  <c r="J13" i="20"/>
  <c r="Q13" i="20" s="1"/>
  <c r="S13" i="20" s="1"/>
  <c r="J12" i="20"/>
  <c r="Q12" i="20" s="1"/>
  <c r="S12" i="20" s="1"/>
  <c r="J11" i="20"/>
  <c r="Q11" i="20" s="1"/>
  <c r="S11" i="20" s="1"/>
  <c r="J10" i="20"/>
  <c r="Q10" i="20" s="1"/>
  <c r="S10" i="20" s="1"/>
  <c r="J9" i="20"/>
  <c r="J8" i="20"/>
  <c r="Q8" i="20" s="1"/>
  <c r="S8" i="20" s="1"/>
  <c r="J7" i="20"/>
  <c r="Q7" i="20" s="1"/>
  <c r="J6" i="20"/>
  <c r="Q6" i="20" s="1"/>
  <c r="J70" i="20"/>
  <c r="Q70" i="20" s="1"/>
  <c r="S70" i="20" s="1"/>
  <c r="J68" i="20"/>
  <c r="Q68" i="20" s="1"/>
  <c r="S68" i="20" s="1"/>
  <c r="J67" i="20"/>
  <c r="Q67" i="20" s="1"/>
  <c r="S67" i="20" s="1"/>
  <c r="J65" i="20"/>
  <c r="Q65" i="20" s="1"/>
  <c r="S65" i="20" s="1"/>
  <c r="J64" i="20"/>
  <c r="Q64" i="20" s="1"/>
  <c r="S64" i="20" s="1"/>
  <c r="J63" i="20"/>
  <c r="Q63" i="20" s="1"/>
  <c r="J62" i="20"/>
  <c r="Q62" i="20" s="1"/>
  <c r="S62" i="20" s="1"/>
  <c r="J60" i="20"/>
  <c r="Q60" i="20" s="1"/>
  <c r="S60" i="20" s="1"/>
  <c r="J59" i="20"/>
  <c r="Q59" i="20" s="1"/>
  <c r="S59" i="20" s="1"/>
  <c r="J58" i="20"/>
  <c r="Q58" i="20" s="1"/>
  <c r="S58" i="20" s="1"/>
  <c r="J57" i="20"/>
  <c r="Q57" i="20" s="1"/>
  <c r="S57" i="20" s="1"/>
  <c r="J56" i="20"/>
  <c r="Q56" i="20" s="1"/>
  <c r="S56" i="20" s="1"/>
  <c r="J55" i="20"/>
  <c r="Q55" i="20" s="1"/>
  <c r="S55" i="20" s="1"/>
  <c r="J54" i="20"/>
  <c r="Q54" i="20" s="1"/>
  <c r="S54" i="20" s="1"/>
  <c r="J53" i="20"/>
  <c r="Q53" i="20" s="1"/>
  <c r="S53" i="20" s="1"/>
  <c r="J52" i="20"/>
  <c r="Q52" i="20" s="1"/>
  <c r="J51" i="20"/>
  <c r="Q51" i="20" s="1"/>
  <c r="J50" i="20"/>
  <c r="Q50" i="20" s="1"/>
  <c r="J49" i="20"/>
  <c r="Q49" i="20" s="1"/>
  <c r="S49" i="20" s="1"/>
  <c r="J48" i="20"/>
  <c r="Q48" i="20" s="1"/>
  <c r="S48" i="20" s="1"/>
  <c r="J47" i="20"/>
  <c r="Q47" i="20" s="1"/>
  <c r="J45" i="20"/>
  <c r="Q45" i="20" s="1"/>
  <c r="S45" i="20" s="1"/>
  <c r="J44" i="20"/>
  <c r="Q44" i="20" s="1"/>
  <c r="S44" i="20" s="1"/>
  <c r="J42" i="20"/>
  <c r="Q42" i="20" s="1"/>
  <c r="S42" i="20" s="1"/>
  <c r="J41" i="20"/>
  <c r="Q41" i="20" s="1"/>
  <c r="J40" i="20"/>
  <c r="Q40" i="20" s="1"/>
  <c r="S40" i="20" s="1"/>
  <c r="J39" i="20"/>
  <c r="Q39" i="20" s="1"/>
  <c r="J38" i="20"/>
  <c r="Q38" i="20" s="1"/>
  <c r="S38" i="20" s="1"/>
  <c r="J37" i="20"/>
  <c r="Q37" i="20" s="1"/>
  <c r="S37" i="20" s="1"/>
  <c r="J36" i="20"/>
  <c r="Q36" i="20" s="1"/>
  <c r="J35" i="20"/>
  <c r="Q35" i="20" s="1"/>
  <c r="J34" i="20"/>
  <c r="Q34" i="20" s="1"/>
  <c r="J72" i="20"/>
  <c r="Q72" i="20" s="1"/>
  <c r="J71" i="20"/>
  <c r="Q71" i="20" s="1"/>
  <c r="J83" i="20"/>
  <c r="Q83" i="20" s="1"/>
  <c r="J82" i="20"/>
  <c r="Q82" i="20" s="1"/>
  <c r="J81" i="20"/>
  <c r="Q81" i="20" s="1"/>
  <c r="J80" i="20"/>
  <c r="Q80" i="20" s="1"/>
  <c r="J79" i="20"/>
  <c r="Q79" i="20" s="1"/>
  <c r="J78" i="20"/>
  <c r="Q78" i="20" s="1"/>
  <c r="S78" i="20" s="1"/>
  <c r="J77" i="20"/>
  <c r="Q77" i="20" s="1"/>
  <c r="J76" i="20"/>
  <c r="J75" i="20"/>
  <c r="J89" i="20"/>
  <c r="Q89" i="20" s="1"/>
  <c r="J88" i="20"/>
  <c r="Q88" i="20" s="1"/>
  <c r="J87" i="20"/>
  <c r="Q87" i="20" s="1"/>
  <c r="S87" i="20" s="1"/>
  <c r="J86" i="20"/>
  <c r="Q86" i="20" s="1"/>
  <c r="J92" i="20"/>
  <c r="Q92" i="20" s="1"/>
  <c r="J91" i="20"/>
  <c r="Q91" i="20" s="1"/>
  <c r="J99" i="20"/>
  <c r="Q99" i="20" s="1"/>
  <c r="S99" i="20" s="1"/>
  <c r="J98" i="20"/>
  <c r="Q98" i="20" s="1"/>
  <c r="S98" i="20" s="1"/>
  <c r="J97" i="20"/>
  <c r="Q97" i="20" s="1"/>
  <c r="S97" i="20" s="1"/>
  <c r="J96" i="20"/>
  <c r="Q96" i="20" s="1"/>
  <c r="S96" i="20" s="1"/>
  <c r="J102" i="20"/>
  <c r="Q102" i="20" s="1"/>
  <c r="S102" i="20" s="1"/>
  <c r="J101" i="20"/>
  <c r="Q101" i="20" s="1"/>
  <c r="S101" i="20" s="1"/>
  <c r="J104" i="20"/>
  <c r="Q104" i="20" s="1"/>
  <c r="S104" i="20" s="1"/>
  <c r="J103" i="20"/>
  <c r="Q103" i="20" s="1"/>
  <c r="S103" i="20" s="1"/>
  <c r="J109" i="20"/>
  <c r="Q109" i="20" s="1"/>
  <c r="S109" i="20" s="1"/>
  <c r="J108" i="20"/>
  <c r="Q108" i="20" s="1"/>
  <c r="S108" i="20" s="1"/>
  <c r="J107" i="20"/>
  <c r="Q107" i="20" s="1"/>
  <c r="S107" i="20" s="1"/>
  <c r="J106" i="20"/>
  <c r="Q106" i="20" s="1"/>
  <c r="S106" i="20" s="1"/>
  <c r="J111" i="20"/>
  <c r="Q111" i="20" s="1"/>
  <c r="S111" i="20" s="1"/>
  <c r="J112" i="20"/>
  <c r="Q112" i="20" s="1"/>
  <c r="S112" i="20" s="1"/>
  <c r="E113" i="20"/>
  <c r="F113" i="20"/>
  <c r="G113" i="20"/>
  <c r="H113" i="20"/>
  <c r="I113" i="20"/>
  <c r="S71" i="20" l="1"/>
  <c r="Q131" i="20"/>
  <c r="J136" i="20"/>
  <c r="Q76" i="20"/>
  <c r="S76" i="20" s="1"/>
  <c r="Q138" i="20"/>
  <c r="S36" i="20"/>
  <c r="S63" i="20"/>
  <c r="Q153" i="20"/>
  <c r="S21" i="20"/>
  <c r="Q122" i="20"/>
  <c r="Q127" i="20"/>
  <c r="S25" i="20"/>
  <c r="Q125" i="20"/>
  <c r="S85" i="20"/>
  <c r="Q148" i="20"/>
  <c r="Q159" i="20"/>
  <c r="S92" i="20"/>
  <c r="Q158" i="20"/>
  <c r="Q155" i="20"/>
  <c r="Q156" i="20"/>
  <c r="S89" i="20"/>
  <c r="S82" i="20"/>
  <c r="Q144" i="20"/>
  <c r="Q136" i="20"/>
  <c r="S34" i="20"/>
  <c r="Q151" i="20"/>
  <c r="S52" i="20"/>
  <c r="Q150" i="20"/>
  <c r="Q126" i="20"/>
  <c r="S6" i="20"/>
  <c r="S22" i="20"/>
  <c r="Q128" i="20"/>
  <c r="Q134" i="20"/>
  <c r="S74" i="20"/>
  <c r="S80" i="20"/>
  <c r="S50" i="20"/>
  <c r="Q160" i="20"/>
  <c r="S91" i="20"/>
  <c r="Q157" i="20"/>
  <c r="Q154" i="20"/>
  <c r="S88" i="20"/>
  <c r="Q139" i="20"/>
  <c r="S77" i="20"/>
  <c r="Q142" i="20"/>
  <c r="S81" i="20"/>
  <c r="S72" i="20"/>
  <c r="Q132" i="20"/>
  <c r="Q133" i="20"/>
  <c r="Q145" i="20"/>
  <c r="S41" i="20"/>
  <c r="S47" i="20"/>
  <c r="Q161" i="20"/>
  <c r="S51" i="20"/>
  <c r="Q149" i="20"/>
  <c r="Q121" i="20"/>
  <c r="S9" i="20"/>
  <c r="S86" i="20"/>
  <c r="Q152" i="20"/>
  <c r="J135" i="20"/>
  <c r="Q75" i="20"/>
  <c r="S79" i="20"/>
  <c r="Q140" i="20"/>
  <c r="S83" i="20"/>
  <c r="Q146" i="20"/>
  <c r="S35" i="20"/>
  <c r="Q137" i="20"/>
  <c r="S39" i="20"/>
  <c r="Q143" i="20"/>
  <c r="Q124" i="20"/>
  <c r="S7" i="20"/>
  <c r="Q129" i="20"/>
  <c r="S28" i="20"/>
  <c r="J142" i="20"/>
  <c r="J128" i="20"/>
  <c r="J129" i="20"/>
  <c r="H147" i="20"/>
  <c r="F147" i="20"/>
  <c r="R147" i="20"/>
  <c r="I147" i="20"/>
  <c r="G147" i="20"/>
  <c r="E147" i="20"/>
  <c r="J73" i="20"/>
  <c r="Q73" i="20" s="1"/>
  <c r="S73" i="20" s="1"/>
  <c r="J61" i="20"/>
  <c r="Q61" i="20" s="1"/>
  <c r="S61" i="20" s="1"/>
  <c r="J93" i="20"/>
  <c r="Q93" i="20" s="1"/>
  <c r="S93" i="20" s="1"/>
  <c r="J113" i="20"/>
  <c r="Q113" i="20" s="1"/>
  <c r="S113" i="20" s="1"/>
  <c r="J90" i="20"/>
  <c r="Q90" i="20" s="1"/>
  <c r="S90" i="20" s="1"/>
  <c r="J66" i="20"/>
  <c r="Q66" i="20" s="1"/>
  <c r="S66" i="20" s="1"/>
  <c r="J69" i="20"/>
  <c r="Q69" i="20" s="1"/>
  <c r="S69" i="20" s="1"/>
  <c r="J84" i="20"/>
  <c r="Q84" i="20" s="1"/>
  <c r="S84" i="20" s="1"/>
  <c r="J46" i="20"/>
  <c r="Q46" i="20" s="1"/>
  <c r="S46" i="20" s="1"/>
  <c r="J43" i="20"/>
  <c r="Q43" i="20" s="1"/>
  <c r="S43" i="20" s="1"/>
  <c r="D113" i="20"/>
  <c r="E110" i="20"/>
  <c r="E114" i="20" s="1"/>
  <c r="F110" i="20"/>
  <c r="F114" i="20" s="1"/>
  <c r="G110" i="20"/>
  <c r="G114" i="20" s="1"/>
  <c r="H110" i="20"/>
  <c r="H114" i="20" s="1"/>
  <c r="I110" i="20"/>
  <c r="I114" i="20" s="1"/>
  <c r="J110" i="20"/>
  <c r="Q110" i="20" s="1"/>
  <c r="R110" i="20"/>
  <c r="R114" i="20" s="1"/>
  <c r="D110" i="20"/>
  <c r="D93" i="20"/>
  <c r="D90" i="20"/>
  <c r="D84" i="20"/>
  <c r="D73" i="20"/>
  <c r="R161" i="20"/>
  <c r="I161" i="20"/>
  <c r="H161" i="20"/>
  <c r="G161" i="20"/>
  <c r="F161" i="20"/>
  <c r="E161" i="20"/>
  <c r="D161" i="20"/>
  <c r="R160" i="20"/>
  <c r="I160" i="20"/>
  <c r="H160" i="20"/>
  <c r="G160" i="20"/>
  <c r="F160" i="20"/>
  <c r="E160" i="20"/>
  <c r="D160" i="20"/>
  <c r="R159" i="20"/>
  <c r="I159" i="20"/>
  <c r="H159" i="20"/>
  <c r="G159" i="20"/>
  <c r="F159" i="20"/>
  <c r="E159" i="20"/>
  <c r="D159" i="20"/>
  <c r="R158" i="20"/>
  <c r="I158" i="20"/>
  <c r="H158" i="20"/>
  <c r="G158" i="20"/>
  <c r="F158" i="20"/>
  <c r="E158" i="20"/>
  <c r="D158" i="20"/>
  <c r="R157" i="20"/>
  <c r="I157" i="20"/>
  <c r="H157" i="20"/>
  <c r="G157" i="20"/>
  <c r="F157" i="20"/>
  <c r="E157" i="20"/>
  <c r="D157" i="20"/>
  <c r="R156" i="20"/>
  <c r="I156" i="20"/>
  <c r="H156" i="20"/>
  <c r="G156" i="20"/>
  <c r="F156" i="20"/>
  <c r="E156" i="20"/>
  <c r="D156" i="20"/>
  <c r="R155" i="20"/>
  <c r="I155" i="20"/>
  <c r="H155" i="20"/>
  <c r="G155" i="20"/>
  <c r="F155" i="20"/>
  <c r="E155" i="20"/>
  <c r="D155" i="20"/>
  <c r="R154" i="20"/>
  <c r="I154" i="20"/>
  <c r="H154" i="20"/>
  <c r="G154" i="20"/>
  <c r="F154" i="20"/>
  <c r="E154" i="20"/>
  <c r="D154" i="20"/>
  <c r="R153" i="20"/>
  <c r="I153" i="20"/>
  <c r="H153" i="20"/>
  <c r="G153" i="20"/>
  <c r="F153" i="20"/>
  <c r="E153" i="20"/>
  <c r="D153" i="20"/>
  <c r="R152" i="20"/>
  <c r="I152" i="20"/>
  <c r="H152" i="20"/>
  <c r="G152" i="20"/>
  <c r="F152" i="20"/>
  <c r="E152" i="20"/>
  <c r="D152" i="20"/>
  <c r="R151" i="20"/>
  <c r="I151" i="20"/>
  <c r="H151" i="20"/>
  <c r="G151" i="20"/>
  <c r="F151" i="20"/>
  <c r="E151" i="20"/>
  <c r="D151" i="20"/>
  <c r="R150" i="20"/>
  <c r="I150" i="20"/>
  <c r="H150" i="20"/>
  <c r="G150" i="20"/>
  <c r="F150" i="20"/>
  <c r="E150" i="20"/>
  <c r="D150" i="20"/>
  <c r="R149" i="20"/>
  <c r="I149" i="20"/>
  <c r="H149" i="20"/>
  <c r="G149" i="20"/>
  <c r="F149" i="20"/>
  <c r="E149" i="20"/>
  <c r="D149" i="20"/>
  <c r="R148" i="20"/>
  <c r="I148" i="20"/>
  <c r="H148" i="20"/>
  <c r="G148" i="20"/>
  <c r="F148" i="20"/>
  <c r="E148" i="20"/>
  <c r="D148" i="20"/>
  <c r="R146" i="20"/>
  <c r="I146" i="20"/>
  <c r="H146" i="20"/>
  <c r="G146" i="20"/>
  <c r="F146" i="20"/>
  <c r="E146" i="20"/>
  <c r="D146" i="20"/>
  <c r="R145" i="20"/>
  <c r="I145" i="20"/>
  <c r="H145" i="20"/>
  <c r="G145" i="20"/>
  <c r="F145" i="20"/>
  <c r="E145" i="20"/>
  <c r="D145" i="20"/>
  <c r="R144" i="20"/>
  <c r="I144" i="20"/>
  <c r="H144" i="20"/>
  <c r="G144" i="20"/>
  <c r="F144" i="20"/>
  <c r="E144" i="20"/>
  <c r="R143" i="20"/>
  <c r="I143" i="20"/>
  <c r="H143" i="20"/>
  <c r="G143" i="20"/>
  <c r="F143" i="20"/>
  <c r="E143" i="20"/>
  <c r="D143" i="20"/>
  <c r="R141" i="20"/>
  <c r="I141" i="20"/>
  <c r="H141" i="20"/>
  <c r="G141" i="20"/>
  <c r="F141" i="20"/>
  <c r="R140" i="20"/>
  <c r="I140" i="20"/>
  <c r="H140" i="20"/>
  <c r="G140" i="20"/>
  <c r="F140" i="20"/>
  <c r="E140" i="20"/>
  <c r="D140" i="20"/>
  <c r="R139" i="20"/>
  <c r="I139" i="20"/>
  <c r="H139" i="20"/>
  <c r="G139" i="20"/>
  <c r="F139" i="20"/>
  <c r="E139" i="20"/>
  <c r="D139" i="20"/>
  <c r="R138" i="20"/>
  <c r="I138" i="20"/>
  <c r="H138" i="20"/>
  <c r="G138" i="20"/>
  <c r="F138" i="20"/>
  <c r="E138" i="20"/>
  <c r="D138" i="20"/>
  <c r="R137" i="20"/>
  <c r="I137" i="20"/>
  <c r="H137" i="20"/>
  <c r="G137" i="20"/>
  <c r="F137" i="20"/>
  <c r="E137" i="20"/>
  <c r="D137" i="20"/>
  <c r="I136" i="20"/>
  <c r="H136" i="20"/>
  <c r="G136" i="20"/>
  <c r="F136" i="20"/>
  <c r="E136" i="20"/>
  <c r="D136" i="20"/>
  <c r="I135" i="20"/>
  <c r="H135" i="20"/>
  <c r="G135" i="20"/>
  <c r="F135" i="20"/>
  <c r="E135" i="20"/>
  <c r="D135" i="20"/>
  <c r="R134" i="20"/>
  <c r="I134" i="20"/>
  <c r="H134" i="20"/>
  <c r="G134" i="20"/>
  <c r="F134" i="20"/>
  <c r="E134" i="20"/>
  <c r="D134" i="20"/>
  <c r="R133" i="20"/>
  <c r="I133" i="20"/>
  <c r="H133" i="20"/>
  <c r="G133" i="20"/>
  <c r="F133" i="20"/>
  <c r="E133" i="20"/>
  <c r="D133" i="20"/>
  <c r="I132" i="20"/>
  <c r="H132" i="20"/>
  <c r="G132" i="20"/>
  <c r="F132" i="20"/>
  <c r="E132" i="20"/>
  <c r="D132" i="20"/>
  <c r="R131" i="20"/>
  <c r="I131" i="20"/>
  <c r="H131" i="20"/>
  <c r="G131" i="20"/>
  <c r="F131" i="20"/>
  <c r="E131" i="20"/>
  <c r="D131" i="20"/>
  <c r="R127" i="20"/>
  <c r="I127" i="20"/>
  <c r="G127" i="20"/>
  <c r="F127" i="20"/>
  <c r="E127" i="20"/>
  <c r="D127" i="20"/>
  <c r="R126" i="20"/>
  <c r="I126" i="20"/>
  <c r="G126" i="20"/>
  <c r="F126" i="20"/>
  <c r="E126" i="20"/>
  <c r="D126" i="20"/>
  <c r="R125" i="20"/>
  <c r="I125" i="20"/>
  <c r="H125" i="20"/>
  <c r="G125" i="20"/>
  <c r="F125" i="20"/>
  <c r="E125" i="20"/>
  <c r="D125" i="20"/>
  <c r="R124" i="20"/>
  <c r="I124" i="20"/>
  <c r="H124" i="20"/>
  <c r="G124" i="20"/>
  <c r="F124" i="20"/>
  <c r="E124" i="20"/>
  <c r="D124" i="20"/>
  <c r="R122" i="20"/>
  <c r="I122" i="20"/>
  <c r="H122" i="20"/>
  <c r="G122" i="20"/>
  <c r="F122" i="20"/>
  <c r="E122" i="20"/>
  <c r="D122" i="20"/>
  <c r="R121" i="20"/>
  <c r="I121" i="20"/>
  <c r="H121" i="20"/>
  <c r="G121" i="20"/>
  <c r="F121" i="20"/>
  <c r="E121" i="20"/>
  <c r="D121" i="20"/>
  <c r="J148" i="20"/>
  <c r="J132" i="20"/>
  <c r="J160" i="20"/>
  <c r="J138" i="20"/>
  <c r="R33" i="20"/>
  <c r="I33" i="20"/>
  <c r="I130" i="20" s="1"/>
  <c r="G33" i="20"/>
  <c r="G130" i="20" s="1"/>
  <c r="F33" i="20"/>
  <c r="F130" i="20" s="1"/>
  <c r="E33" i="20"/>
  <c r="E130" i="20" s="1"/>
  <c r="D33" i="20"/>
  <c r="D130" i="20" s="1"/>
  <c r="J124" i="20"/>
  <c r="S110" i="20" l="1"/>
  <c r="S75" i="20"/>
  <c r="Q135" i="20"/>
  <c r="R130" i="20"/>
  <c r="J100" i="20"/>
  <c r="D105" i="20"/>
  <c r="D147" i="20" s="1"/>
  <c r="E162" i="20"/>
  <c r="G162" i="20"/>
  <c r="H162" i="20"/>
  <c r="F162" i="20"/>
  <c r="R162" i="20"/>
  <c r="D141" i="20"/>
  <c r="I162" i="20"/>
  <c r="J153" i="20"/>
  <c r="J131" i="20"/>
  <c r="J157" i="20"/>
  <c r="J139" i="20"/>
  <c r="J134" i="20"/>
  <c r="J140" i="20"/>
  <c r="J152" i="20"/>
  <c r="J154" i="20"/>
  <c r="J156" i="20"/>
  <c r="J158" i="20"/>
  <c r="J133" i="20"/>
  <c r="J137" i="20"/>
  <c r="J155" i="20"/>
  <c r="J159" i="20"/>
  <c r="J145" i="20"/>
  <c r="J126" i="20"/>
  <c r="J122" i="20"/>
  <c r="J151" i="20"/>
  <c r="H126" i="20"/>
  <c r="H33" i="20"/>
  <c r="H130" i="20" s="1"/>
  <c r="J150" i="20"/>
  <c r="J144" i="20"/>
  <c r="J146" i="20"/>
  <c r="J125" i="20"/>
  <c r="H127" i="20"/>
  <c r="J127" i="20"/>
  <c r="J143" i="20"/>
  <c r="J149" i="20"/>
  <c r="E141" i="20"/>
  <c r="F174" i="19"/>
  <c r="J105" i="20" l="1"/>
  <c r="Q100" i="20"/>
  <c r="J147" i="20"/>
  <c r="D114" i="20"/>
  <c r="D162" i="20" s="1"/>
  <c r="J141" i="20"/>
  <c r="J161" i="20"/>
  <c r="J121" i="20"/>
  <c r="J33" i="20"/>
  <c r="Q33" i="20" s="1"/>
  <c r="N44" i="19"/>
  <c r="F170" i="19" s="1"/>
  <c r="N31" i="19"/>
  <c r="F155" i="19" s="1"/>
  <c r="M106" i="19"/>
  <c r="M107" i="19"/>
  <c r="M108" i="19"/>
  <c r="M109" i="19"/>
  <c r="M110" i="19"/>
  <c r="M111" i="19"/>
  <c r="M112" i="19"/>
  <c r="M113" i="19"/>
  <c r="M114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99" i="19"/>
  <c r="M147" i="19" s="1"/>
  <c r="M32" i="19"/>
  <c r="M115" i="19" s="1"/>
  <c r="S100" i="20" l="1"/>
  <c r="Q141" i="20"/>
  <c r="Q130" i="20"/>
  <c r="S33" i="20"/>
  <c r="J114" i="20"/>
  <c r="Q105" i="20"/>
  <c r="J130" i="20"/>
  <c r="I6" i="19"/>
  <c r="F162" i="19" s="1"/>
  <c r="S105" i="20" l="1"/>
  <c r="Q147" i="20"/>
  <c r="J162" i="20"/>
  <c r="F129" i="19"/>
  <c r="G129" i="19"/>
  <c r="H129" i="19"/>
  <c r="I129" i="19"/>
  <c r="J129" i="19"/>
  <c r="K129" i="19"/>
  <c r="L129" i="19"/>
  <c r="N129" i="19"/>
  <c r="E129" i="19"/>
  <c r="Q162" i="20" l="1"/>
  <c r="S114" i="20"/>
  <c r="E121" i="19"/>
  <c r="E120" i="19"/>
  <c r="E132" i="19" l="1"/>
  <c r="F198" i="19" l="1"/>
  <c r="F159" i="19"/>
  <c r="F158" i="19"/>
  <c r="F157" i="19"/>
  <c r="F156" i="19"/>
  <c r="F37" i="19"/>
  <c r="F201" i="19" s="1"/>
  <c r="L106" i="19"/>
  <c r="L107" i="19"/>
  <c r="L108" i="19"/>
  <c r="L109" i="19"/>
  <c r="L110" i="19"/>
  <c r="L111" i="19"/>
  <c r="L112" i="19"/>
  <c r="L113" i="19"/>
  <c r="L114" i="19"/>
  <c r="L116" i="19"/>
  <c r="L117" i="19"/>
  <c r="L118" i="19"/>
  <c r="L119" i="19"/>
  <c r="L120" i="19"/>
  <c r="L121" i="19"/>
  <c r="L122" i="19"/>
  <c r="L123" i="19"/>
  <c r="L124" i="19"/>
  <c r="L125" i="19"/>
  <c r="L126" i="19"/>
  <c r="L127" i="19"/>
  <c r="L128" i="19"/>
  <c r="L130" i="19"/>
  <c r="L131" i="19"/>
  <c r="L132" i="19"/>
  <c r="L133" i="19"/>
  <c r="L134" i="19"/>
  <c r="L135" i="19"/>
  <c r="L136" i="19"/>
  <c r="L137" i="19"/>
  <c r="L138" i="19"/>
  <c r="L139" i="19"/>
  <c r="L140" i="19"/>
  <c r="L141" i="19"/>
  <c r="L142" i="19"/>
  <c r="L143" i="19"/>
  <c r="L144" i="19"/>
  <c r="L145" i="19"/>
  <c r="L146" i="19"/>
  <c r="L99" i="19"/>
  <c r="L147" i="19" s="1"/>
  <c r="L32" i="19"/>
  <c r="L115" i="19" s="1"/>
  <c r="F176" i="19" l="1"/>
  <c r="F202" i="19"/>
  <c r="F173" i="19"/>
  <c r="F172" i="19"/>
  <c r="F171" i="19"/>
  <c r="F160" i="19"/>
  <c r="F183" i="19"/>
  <c r="F233" i="19" l="1"/>
  <c r="F232" i="19"/>
  <c r="F231" i="19"/>
  <c r="F219" i="19"/>
  <c r="F217" i="19"/>
  <c r="F216" i="19"/>
  <c r="F215" i="19"/>
  <c r="F214" i="19"/>
  <c r="F212" i="19"/>
  <c r="F211" i="19"/>
  <c r="F227" i="19"/>
  <c r="F191" i="19"/>
  <c r="F230" i="19" l="1"/>
  <c r="F218" i="19"/>
  <c r="G132" i="19"/>
  <c r="H132" i="19"/>
  <c r="I132" i="19"/>
  <c r="J132" i="19"/>
  <c r="K132" i="19"/>
  <c r="N132" i="19"/>
  <c r="P132" i="19"/>
  <c r="P120" i="19"/>
  <c r="J106" i="19"/>
  <c r="K106" i="19"/>
  <c r="N106" i="19"/>
  <c r="J107" i="19"/>
  <c r="K107" i="19"/>
  <c r="N107" i="19"/>
  <c r="J108" i="19"/>
  <c r="N108" i="19"/>
  <c r="J109" i="19"/>
  <c r="K109" i="19"/>
  <c r="N109" i="19"/>
  <c r="J110" i="19"/>
  <c r="K110" i="19"/>
  <c r="N110" i="19"/>
  <c r="J111" i="19"/>
  <c r="K111" i="19"/>
  <c r="N111" i="19"/>
  <c r="J112" i="19"/>
  <c r="K112" i="19"/>
  <c r="N112" i="19"/>
  <c r="J113" i="19"/>
  <c r="K113" i="19"/>
  <c r="N113" i="19"/>
  <c r="J114" i="19"/>
  <c r="K114" i="19"/>
  <c r="N114" i="19"/>
  <c r="J116" i="19"/>
  <c r="K116" i="19"/>
  <c r="N116" i="19"/>
  <c r="J117" i="19"/>
  <c r="K117" i="19"/>
  <c r="N117" i="19"/>
  <c r="J118" i="19"/>
  <c r="K118" i="19"/>
  <c r="N118" i="19"/>
  <c r="J119" i="19"/>
  <c r="K119" i="19"/>
  <c r="N119" i="19"/>
  <c r="J120" i="19"/>
  <c r="K120" i="19"/>
  <c r="N120" i="19"/>
  <c r="J121" i="19"/>
  <c r="K121" i="19"/>
  <c r="N121" i="19"/>
  <c r="J122" i="19"/>
  <c r="K122" i="19"/>
  <c r="N122" i="19"/>
  <c r="J123" i="19"/>
  <c r="K123" i="19"/>
  <c r="N123" i="19"/>
  <c r="J124" i="19"/>
  <c r="K124" i="19"/>
  <c r="N124" i="19"/>
  <c r="J125" i="19"/>
  <c r="K125" i="19"/>
  <c r="N125" i="19"/>
  <c r="J126" i="19"/>
  <c r="K126" i="19"/>
  <c r="N126" i="19"/>
  <c r="J127" i="19"/>
  <c r="K127" i="19"/>
  <c r="N127" i="19"/>
  <c r="J128" i="19"/>
  <c r="K128" i="19"/>
  <c r="N128" i="19"/>
  <c r="J130" i="19"/>
  <c r="K130" i="19"/>
  <c r="N130" i="19"/>
  <c r="J131" i="19"/>
  <c r="K131" i="19"/>
  <c r="N131" i="19"/>
  <c r="J133" i="19"/>
  <c r="K133" i="19"/>
  <c r="N133" i="19"/>
  <c r="J134" i="19"/>
  <c r="K134" i="19"/>
  <c r="N134" i="19"/>
  <c r="J135" i="19"/>
  <c r="K135" i="19"/>
  <c r="N135" i="19"/>
  <c r="J136" i="19"/>
  <c r="K136" i="19"/>
  <c r="N136" i="19"/>
  <c r="J137" i="19"/>
  <c r="K137" i="19"/>
  <c r="N137" i="19"/>
  <c r="J138" i="19"/>
  <c r="K138" i="19"/>
  <c r="N138" i="19"/>
  <c r="J139" i="19"/>
  <c r="K139" i="19"/>
  <c r="N139" i="19"/>
  <c r="J140" i="19"/>
  <c r="K140" i="19"/>
  <c r="N140" i="19"/>
  <c r="J141" i="19"/>
  <c r="K141" i="19"/>
  <c r="N141" i="19"/>
  <c r="J142" i="19"/>
  <c r="K142" i="19"/>
  <c r="N142" i="19"/>
  <c r="J143" i="19"/>
  <c r="K143" i="19"/>
  <c r="N143" i="19"/>
  <c r="J144" i="19"/>
  <c r="K144" i="19"/>
  <c r="N144" i="19"/>
  <c r="J145" i="19"/>
  <c r="K145" i="19"/>
  <c r="N145" i="19"/>
  <c r="J146" i="19"/>
  <c r="K146" i="19"/>
  <c r="O34" i="19"/>
  <c r="O35" i="19"/>
  <c r="O36" i="19"/>
  <c r="O38" i="19"/>
  <c r="O39" i="19"/>
  <c r="O40" i="19"/>
  <c r="O41" i="19"/>
  <c r="O42" i="19"/>
  <c r="O43" i="19"/>
  <c r="O45" i="19"/>
  <c r="O46" i="19"/>
  <c r="O47" i="19"/>
  <c r="O48" i="19"/>
  <c r="O49" i="19"/>
  <c r="O50" i="19"/>
  <c r="O51" i="19"/>
  <c r="O52" i="19"/>
  <c r="O53" i="19"/>
  <c r="O54" i="19"/>
  <c r="O55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6" i="19"/>
  <c r="O77" i="19"/>
  <c r="O78" i="19"/>
  <c r="O79" i="19"/>
  <c r="O80" i="19"/>
  <c r="O81" i="19"/>
  <c r="O82" i="19"/>
  <c r="O83" i="19"/>
  <c r="O84" i="19"/>
  <c r="O85" i="19"/>
  <c r="O86" i="19"/>
  <c r="O87" i="19"/>
  <c r="O88" i="19"/>
  <c r="O89" i="19"/>
  <c r="O90" i="19"/>
  <c r="O91" i="19"/>
  <c r="O92" i="19"/>
  <c r="O93" i="19"/>
  <c r="O94" i="19"/>
  <c r="O95" i="19"/>
  <c r="O96" i="19"/>
  <c r="O97" i="19"/>
  <c r="O98" i="19"/>
  <c r="O33" i="19"/>
  <c r="O7" i="19"/>
  <c r="O8" i="19"/>
  <c r="O9" i="19"/>
  <c r="O10" i="19"/>
  <c r="O11" i="19"/>
  <c r="O12" i="19"/>
  <c r="O13" i="19"/>
  <c r="O14" i="19"/>
  <c r="O15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6" i="19"/>
  <c r="F132" i="19"/>
  <c r="K32" i="19"/>
  <c r="K115" i="19" s="1"/>
  <c r="N32" i="19"/>
  <c r="N115" i="19" s="1"/>
  <c r="K99" i="19"/>
  <c r="K147" i="19" s="1"/>
  <c r="N99" i="19"/>
  <c r="N147" i="19" s="1"/>
  <c r="J99" i="19"/>
  <c r="J147" i="19" s="1"/>
  <c r="J32" i="19"/>
  <c r="J115" i="19" s="1"/>
  <c r="O44" i="19" l="1"/>
  <c r="O37" i="19"/>
  <c r="Q37" i="19" s="1"/>
  <c r="N146" i="19"/>
  <c r="D122" i="19"/>
  <c r="E122" i="19"/>
  <c r="F122" i="19"/>
  <c r="G122" i="19"/>
  <c r="H122" i="19"/>
  <c r="I122" i="19"/>
  <c r="P122" i="19"/>
  <c r="Q34" i="19"/>
  <c r="D106" i="19"/>
  <c r="E106" i="19"/>
  <c r="F106" i="19"/>
  <c r="G106" i="19"/>
  <c r="H106" i="19"/>
  <c r="I106" i="19"/>
  <c r="P106" i="19"/>
  <c r="Q23" i="19"/>
  <c r="E119" i="19"/>
  <c r="E144" i="19"/>
  <c r="E140" i="19"/>
  <c r="E138" i="19"/>
  <c r="E126" i="19"/>
  <c r="E124" i="19"/>
  <c r="E117" i="19"/>
  <c r="E142" i="19"/>
  <c r="E136" i="19"/>
  <c r="E146" i="19"/>
  <c r="E130" i="19"/>
  <c r="E128" i="19"/>
  <c r="E99" i="19"/>
  <c r="E147" i="19" s="1"/>
  <c r="E112" i="19"/>
  <c r="E114" i="19"/>
  <c r="P146" i="19"/>
  <c r="I146" i="19"/>
  <c r="H146" i="19"/>
  <c r="G146" i="19"/>
  <c r="F146" i="19"/>
  <c r="D146" i="19"/>
  <c r="P145" i="19"/>
  <c r="I145" i="19"/>
  <c r="H145" i="19"/>
  <c r="G145" i="19"/>
  <c r="F145" i="19"/>
  <c r="E145" i="19"/>
  <c r="D145" i="19"/>
  <c r="P144" i="19"/>
  <c r="I144" i="19"/>
  <c r="H144" i="19"/>
  <c r="G144" i="19"/>
  <c r="F144" i="19"/>
  <c r="D144" i="19"/>
  <c r="P143" i="19"/>
  <c r="I143" i="19"/>
  <c r="H143" i="19"/>
  <c r="G143" i="19"/>
  <c r="F143" i="19"/>
  <c r="E143" i="19"/>
  <c r="D143" i="19"/>
  <c r="P142" i="19"/>
  <c r="I142" i="19"/>
  <c r="H142" i="19"/>
  <c r="G142" i="19"/>
  <c r="F142" i="19"/>
  <c r="D142" i="19"/>
  <c r="P141" i="19"/>
  <c r="I141" i="19"/>
  <c r="H141" i="19"/>
  <c r="G141" i="19"/>
  <c r="F141" i="19"/>
  <c r="E141" i="19"/>
  <c r="D141" i="19"/>
  <c r="P140" i="19"/>
  <c r="I140" i="19"/>
  <c r="H140" i="19"/>
  <c r="G140" i="19"/>
  <c r="F140" i="19"/>
  <c r="D140" i="19"/>
  <c r="P139" i="19"/>
  <c r="I139" i="19"/>
  <c r="H139" i="19"/>
  <c r="G139" i="19"/>
  <c r="F139" i="19"/>
  <c r="E139" i="19"/>
  <c r="D139" i="19"/>
  <c r="P138" i="19"/>
  <c r="I138" i="19"/>
  <c r="H138" i="19"/>
  <c r="G138" i="19"/>
  <c r="F138" i="19"/>
  <c r="D138" i="19"/>
  <c r="P137" i="19"/>
  <c r="I137" i="19"/>
  <c r="H137" i="19"/>
  <c r="G137" i="19"/>
  <c r="F137" i="19"/>
  <c r="E137" i="19"/>
  <c r="D137" i="19"/>
  <c r="P136" i="19"/>
  <c r="I136" i="19"/>
  <c r="H136" i="19"/>
  <c r="G136" i="19"/>
  <c r="F136" i="19"/>
  <c r="D136" i="19"/>
  <c r="P135" i="19"/>
  <c r="I135" i="19"/>
  <c r="H135" i="19"/>
  <c r="G135" i="19"/>
  <c r="F135" i="19"/>
  <c r="E135" i="19"/>
  <c r="D135" i="19"/>
  <c r="P134" i="19"/>
  <c r="I134" i="19"/>
  <c r="H134" i="19"/>
  <c r="G134" i="19"/>
  <c r="F134" i="19"/>
  <c r="D134" i="19"/>
  <c r="P133" i="19"/>
  <c r="I133" i="19"/>
  <c r="H133" i="19"/>
  <c r="G133" i="19"/>
  <c r="F133" i="19"/>
  <c r="E133" i="19"/>
  <c r="D133" i="19"/>
  <c r="D132" i="19"/>
  <c r="P131" i="19"/>
  <c r="I131" i="19"/>
  <c r="H131" i="19"/>
  <c r="G131" i="19"/>
  <c r="F131" i="19"/>
  <c r="E131" i="19"/>
  <c r="D131" i="19"/>
  <c r="P130" i="19"/>
  <c r="I130" i="19"/>
  <c r="H130" i="19"/>
  <c r="G130" i="19"/>
  <c r="F130" i="19"/>
  <c r="D130" i="19"/>
  <c r="P129" i="19"/>
  <c r="D129" i="19"/>
  <c r="P128" i="19"/>
  <c r="I128" i="19"/>
  <c r="H128" i="19"/>
  <c r="G128" i="19"/>
  <c r="F128" i="19"/>
  <c r="D128" i="19"/>
  <c r="P127" i="19"/>
  <c r="I127" i="19"/>
  <c r="H127" i="19"/>
  <c r="G127" i="19"/>
  <c r="F127" i="19"/>
  <c r="E127" i="19"/>
  <c r="D127" i="19"/>
  <c r="P126" i="19"/>
  <c r="I126" i="19"/>
  <c r="H126" i="19"/>
  <c r="G126" i="19"/>
  <c r="F126" i="19"/>
  <c r="D126" i="19"/>
  <c r="P125" i="19"/>
  <c r="I125" i="19"/>
  <c r="H125" i="19"/>
  <c r="G125" i="19"/>
  <c r="F125" i="19"/>
  <c r="E125" i="19"/>
  <c r="D125" i="19"/>
  <c r="P124" i="19"/>
  <c r="I124" i="19"/>
  <c r="H124" i="19"/>
  <c r="G124" i="19"/>
  <c r="F124" i="19"/>
  <c r="D124" i="19"/>
  <c r="P123" i="19"/>
  <c r="I123" i="19"/>
  <c r="H123" i="19"/>
  <c r="G123" i="19"/>
  <c r="F123" i="19"/>
  <c r="E123" i="19"/>
  <c r="D123" i="19"/>
  <c r="P121" i="19"/>
  <c r="I121" i="19"/>
  <c r="H121" i="19"/>
  <c r="G121" i="19"/>
  <c r="F121" i="19"/>
  <c r="F229" i="19" s="1"/>
  <c r="D121" i="19"/>
  <c r="I120" i="19"/>
  <c r="H120" i="19"/>
  <c r="G120" i="19"/>
  <c r="F120" i="19"/>
  <c r="D120" i="19"/>
  <c r="P119" i="19"/>
  <c r="I119" i="19"/>
  <c r="H119" i="19"/>
  <c r="G119" i="19"/>
  <c r="F119" i="19"/>
  <c r="D119" i="19"/>
  <c r="P118" i="19"/>
  <c r="I118" i="19"/>
  <c r="H118" i="19"/>
  <c r="G118" i="19"/>
  <c r="F118" i="19"/>
  <c r="E118" i="19"/>
  <c r="D118" i="19"/>
  <c r="P117" i="19"/>
  <c r="I117" i="19"/>
  <c r="H117" i="19"/>
  <c r="G117" i="19"/>
  <c r="F117" i="19"/>
  <c r="D117" i="19"/>
  <c r="P116" i="19"/>
  <c r="I116" i="19"/>
  <c r="H116" i="19"/>
  <c r="G116" i="19"/>
  <c r="F116" i="19"/>
  <c r="E116" i="19"/>
  <c r="D116" i="19"/>
  <c r="P114" i="19"/>
  <c r="I114" i="19"/>
  <c r="H114" i="19"/>
  <c r="G114" i="19"/>
  <c r="F114" i="19"/>
  <c r="D114" i="19"/>
  <c r="P113" i="19"/>
  <c r="I113" i="19"/>
  <c r="H113" i="19"/>
  <c r="G113" i="19"/>
  <c r="F113" i="19"/>
  <c r="E113" i="19"/>
  <c r="D113" i="19"/>
  <c r="P112" i="19"/>
  <c r="I112" i="19"/>
  <c r="H112" i="19"/>
  <c r="G112" i="19"/>
  <c r="F112" i="19"/>
  <c r="D112" i="19"/>
  <c r="P111" i="19"/>
  <c r="I111" i="19"/>
  <c r="H111" i="19"/>
  <c r="G111" i="19"/>
  <c r="F111" i="19"/>
  <c r="E111" i="19"/>
  <c r="D111" i="19"/>
  <c r="P110" i="19"/>
  <c r="I110" i="19"/>
  <c r="H110" i="19"/>
  <c r="G110" i="19"/>
  <c r="F110" i="19"/>
  <c r="E110" i="19"/>
  <c r="D110" i="19"/>
  <c r="P109" i="19"/>
  <c r="I109" i="19"/>
  <c r="H109" i="19"/>
  <c r="G109" i="19"/>
  <c r="F109" i="19"/>
  <c r="E109" i="19"/>
  <c r="D109" i="19"/>
  <c r="H108" i="19"/>
  <c r="G108" i="19"/>
  <c r="D108" i="19"/>
  <c r="P107" i="19"/>
  <c r="I107" i="19"/>
  <c r="H107" i="19"/>
  <c r="G107" i="19"/>
  <c r="F107" i="19"/>
  <c r="E107" i="19"/>
  <c r="D107" i="19"/>
  <c r="P99" i="19"/>
  <c r="P147" i="19" s="1"/>
  <c r="I99" i="19"/>
  <c r="I147" i="19" s="1"/>
  <c r="H99" i="19"/>
  <c r="H147" i="19" s="1"/>
  <c r="G99" i="19"/>
  <c r="G147" i="19" s="1"/>
  <c r="F99" i="19"/>
  <c r="F147" i="19" s="1"/>
  <c r="D99" i="19"/>
  <c r="D147" i="19" s="1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78" i="19"/>
  <c r="Q64" i="19"/>
  <c r="Q63" i="19"/>
  <c r="Q62" i="19"/>
  <c r="Q61" i="19"/>
  <c r="Q60" i="19"/>
  <c r="Q58" i="19"/>
  <c r="Q57" i="19"/>
  <c r="Q56" i="19"/>
  <c r="Q55" i="19"/>
  <c r="Q54" i="19"/>
  <c r="Q53" i="19"/>
  <c r="Q52" i="19"/>
  <c r="Q51" i="19"/>
  <c r="Q50" i="19"/>
  <c r="Q46" i="19"/>
  <c r="Q45" i="19"/>
  <c r="Q43" i="19"/>
  <c r="Q42" i="19"/>
  <c r="Q41" i="19"/>
  <c r="Q39" i="19"/>
  <c r="Q36" i="19"/>
  <c r="P32" i="19"/>
  <c r="P115" i="19" s="1"/>
  <c r="I32" i="19"/>
  <c r="I115" i="19" s="1"/>
  <c r="H32" i="19"/>
  <c r="G32" i="19"/>
  <c r="G115" i="19" s="1"/>
  <c r="F32" i="19"/>
  <c r="F115" i="19" s="1"/>
  <c r="E32" i="19"/>
  <c r="E115" i="19" s="1"/>
  <c r="D32" i="19"/>
  <c r="D115" i="19" s="1"/>
  <c r="Q31" i="19"/>
  <c r="Q29" i="19"/>
  <c r="Q28" i="19"/>
  <c r="Q27" i="19"/>
  <c r="Q26" i="19"/>
  <c r="Q24" i="19"/>
  <c r="Q21" i="19"/>
  <c r="Q20" i="19"/>
  <c r="Q18" i="19"/>
  <c r="Q17" i="19"/>
  <c r="Q16" i="19"/>
  <c r="Q15" i="19"/>
  <c r="Q14" i="19"/>
  <c r="Q13" i="19"/>
  <c r="Q12" i="19"/>
  <c r="Q11" i="19"/>
  <c r="Q10" i="19"/>
  <c r="Q9" i="19"/>
  <c r="Q8" i="19"/>
  <c r="O109" i="19"/>
  <c r="Q6" i="19"/>
  <c r="F226" i="19" l="1"/>
  <c r="F179" i="19"/>
  <c r="O132" i="19"/>
  <c r="F228" i="19"/>
  <c r="F205" i="19"/>
  <c r="H115" i="19"/>
  <c r="O122" i="19"/>
  <c r="O123" i="19"/>
  <c r="Q35" i="19"/>
  <c r="O145" i="19"/>
  <c r="Q47" i="19"/>
  <c r="O136" i="19"/>
  <c r="Q49" i="19"/>
  <c r="O138" i="19"/>
  <c r="Q59" i="19"/>
  <c r="O116" i="19"/>
  <c r="Q65" i="19"/>
  <c r="O119" i="19"/>
  <c r="Q67" i="19"/>
  <c r="O121" i="19"/>
  <c r="Q69" i="19"/>
  <c r="O125" i="19"/>
  <c r="Q71" i="19"/>
  <c r="O127" i="19"/>
  <c r="Q73" i="19"/>
  <c r="Q75" i="19"/>
  <c r="O99" i="19"/>
  <c r="O147" i="19" s="1"/>
  <c r="Q33" i="19"/>
  <c r="O128" i="19"/>
  <c r="Q38" i="19"/>
  <c r="O130" i="19"/>
  <c r="Q40" i="19"/>
  <c r="O146" i="19"/>
  <c r="Q44" i="19"/>
  <c r="O134" i="19"/>
  <c r="Q48" i="19"/>
  <c r="O118" i="19"/>
  <c r="Q66" i="19"/>
  <c r="O120" i="19"/>
  <c r="Q68" i="19"/>
  <c r="O124" i="19"/>
  <c r="Q70" i="19"/>
  <c r="O126" i="19"/>
  <c r="Q72" i="19"/>
  <c r="O129" i="19"/>
  <c r="Q74" i="19"/>
  <c r="O133" i="19"/>
  <c r="Q76" i="19"/>
  <c r="O137" i="19"/>
  <c r="O139" i="19"/>
  <c r="O141" i="19"/>
  <c r="O142" i="19"/>
  <c r="O144" i="19"/>
  <c r="Q77" i="19"/>
  <c r="Q79" i="19"/>
  <c r="Q80" i="19"/>
  <c r="Q81" i="19"/>
  <c r="Q82" i="19"/>
  <c r="E134" i="19"/>
  <c r="O111" i="19"/>
  <c r="O114" i="19"/>
  <c r="O112" i="19"/>
  <c r="O107" i="19"/>
  <c r="Q7" i="19"/>
  <c r="Q19" i="19"/>
  <c r="Q22" i="19"/>
  <c r="Q25" i="19"/>
  <c r="O110" i="19"/>
  <c r="O113" i="19"/>
  <c r="O117" i="19"/>
  <c r="O131" i="19"/>
  <c r="O135" i="19"/>
  <c r="O140" i="19"/>
  <c r="O143" i="19"/>
  <c r="F92" i="17"/>
  <c r="F93" i="17"/>
  <c r="F234" i="19" l="1"/>
  <c r="F213" i="19"/>
  <c r="F220" i="19" s="1"/>
  <c r="F164" i="19"/>
  <c r="Q30" i="19"/>
  <c r="Q32" i="19" s="1"/>
  <c r="O106" i="19"/>
  <c r="Q99" i="19"/>
  <c r="O32" i="19"/>
  <c r="O115" i="19" s="1"/>
  <c r="K143" i="18"/>
  <c r="I143" i="18"/>
  <c r="H143" i="18"/>
  <c r="G143" i="18"/>
  <c r="F143" i="18"/>
  <c r="E143" i="18"/>
  <c r="D143" i="18"/>
  <c r="K142" i="18"/>
  <c r="I142" i="18"/>
  <c r="H142" i="18"/>
  <c r="G142" i="18"/>
  <c r="F142" i="18"/>
  <c r="E142" i="18"/>
  <c r="D142" i="18"/>
  <c r="K141" i="18"/>
  <c r="I141" i="18"/>
  <c r="H141" i="18"/>
  <c r="G141" i="18"/>
  <c r="F141" i="18"/>
  <c r="E141" i="18"/>
  <c r="D141" i="18"/>
  <c r="K140" i="18"/>
  <c r="I140" i="18"/>
  <c r="H140" i="18"/>
  <c r="G140" i="18"/>
  <c r="F140" i="18"/>
  <c r="E140" i="18"/>
  <c r="D140" i="18"/>
  <c r="K139" i="18"/>
  <c r="I139" i="18"/>
  <c r="H139" i="18"/>
  <c r="G139" i="18"/>
  <c r="F139" i="18"/>
  <c r="E139" i="18"/>
  <c r="D139" i="18"/>
  <c r="K138" i="18"/>
  <c r="I138" i="18"/>
  <c r="H138" i="18"/>
  <c r="G138" i="18"/>
  <c r="F138" i="18"/>
  <c r="E138" i="18"/>
  <c r="D138" i="18"/>
  <c r="K137" i="18"/>
  <c r="I137" i="18"/>
  <c r="H137" i="18"/>
  <c r="G137" i="18"/>
  <c r="F137" i="18"/>
  <c r="E137" i="18"/>
  <c r="D137" i="18"/>
  <c r="K136" i="18"/>
  <c r="I136" i="18"/>
  <c r="H136" i="18"/>
  <c r="G136" i="18"/>
  <c r="F136" i="18"/>
  <c r="E136" i="18"/>
  <c r="D136" i="18"/>
  <c r="K135" i="18"/>
  <c r="I135" i="18"/>
  <c r="H135" i="18"/>
  <c r="G135" i="18"/>
  <c r="F135" i="18"/>
  <c r="E135" i="18"/>
  <c r="D135" i="18"/>
  <c r="K134" i="18"/>
  <c r="I134" i="18"/>
  <c r="H134" i="18"/>
  <c r="G134" i="18"/>
  <c r="F134" i="18"/>
  <c r="E134" i="18"/>
  <c r="D134" i="18"/>
  <c r="K133" i="18"/>
  <c r="I133" i="18"/>
  <c r="H133" i="18"/>
  <c r="G133" i="18"/>
  <c r="F133" i="18"/>
  <c r="E133" i="18"/>
  <c r="D133" i="18"/>
  <c r="K132" i="18"/>
  <c r="I132" i="18"/>
  <c r="H132" i="18"/>
  <c r="G132" i="18"/>
  <c r="F132" i="18"/>
  <c r="E132" i="18"/>
  <c r="D132" i="18"/>
  <c r="K131" i="18"/>
  <c r="I131" i="18"/>
  <c r="H131" i="18"/>
  <c r="G131" i="18"/>
  <c r="F131" i="18"/>
  <c r="E131" i="18"/>
  <c r="D131" i="18"/>
  <c r="K130" i="18"/>
  <c r="I130" i="18"/>
  <c r="H130" i="18"/>
  <c r="G130" i="18"/>
  <c r="F130" i="18"/>
  <c r="E130" i="18"/>
  <c r="D130" i="18"/>
  <c r="K129" i="18"/>
  <c r="I129" i="18"/>
  <c r="H129" i="18"/>
  <c r="G129" i="18"/>
  <c r="E129" i="18"/>
  <c r="D129" i="18"/>
  <c r="K128" i="18"/>
  <c r="I128" i="18"/>
  <c r="H128" i="18"/>
  <c r="G128" i="18"/>
  <c r="E128" i="18"/>
  <c r="D128" i="18"/>
  <c r="K127" i="18"/>
  <c r="I127" i="18"/>
  <c r="H127" i="18"/>
  <c r="G127" i="18"/>
  <c r="F127" i="18"/>
  <c r="E127" i="18"/>
  <c r="D127" i="18"/>
  <c r="K126" i="18"/>
  <c r="I126" i="18"/>
  <c r="H126" i="18"/>
  <c r="G126" i="18"/>
  <c r="E126" i="18"/>
  <c r="D126" i="18"/>
  <c r="K125" i="18"/>
  <c r="I125" i="18"/>
  <c r="H125" i="18"/>
  <c r="G125" i="18"/>
  <c r="F125" i="18"/>
  <c r="E125" i="18"/>
  <c r="D125" i="18"/>
  <c r="K124" i="18"/>
  <c r="I124" i="18"/>
  <c r="H124" i="18"/>
  <c r="G124" i="18"/>
  <c r="F124" i="18"/>
  <c r="E124" i="18"/>
  <c r="D124" i="18"/>
  <c r="K123" i="18"/>
  <c r="I123" i="18"/>
  <c r="H123" i="18"/>
  <c r="G123" i="18"/>
  <c r="E123" i="18"/>
  <c r="D123" i="18"/>
  <c r="K122" i="18"/>
  <c r="I122" i="18"/>
  <c r="H122" i="18"/>
  <c r="G122" i="18"/>
  <c r="F122" i="18"/>
  <c r="E122" i="18"/>
  <c r="D122" i="18"/>
  <c r="K121" i="18"/>
  <c r="I121" i="18"/>
  <c r="H121" i="18"/>
  <c r="G121" i="18"/>
  <c r="F121" i="18"/>
  <c r="E121" i="18"/>
  <c r="D121" i="18"/>
  <c r="K120" i="18"/>
  <c r="I120" i="18"/>
  <c r="H120" i="18"/>
  <c r="G120" i="18"/>
  <c r="F120" i="18"/>
  <c r="E120" i="18"/>
  <c r="D120" i="18"/>
  <c r="K119" i="18"/>
  <c r="I119" i="18"/>
  <c r="H119" i="18"/>
  <c r="G119" i="18"/>
  <c r="F119" i="18"/>
  <c r="E119" i="18"/>
  <c r="D119" i="18"/>
  <c r="K118" i="18"/>
  <c r="I118" i="18"/>
  <c r="H118" i="18"/>
  <c r="G118" i="18"/>
  <c r="F118" i="18"/>
  <c r="E118" i="18"/>
  <c r="D118" i="18"/>
  <c r="K117" i="18"/>
  <c r="I117" i="18"/>
  <c r="H117" i="18"/>
  <c r="G117" i="18"/>
  <c r="F117" i="18"/>
  <c r="E117" i="18"/>
  <c r="D117" i="18"/>
  <c r="K116" i="18"/>
  <c r="I116" i="18"/>
  <c r="H116" i="18"/>
  <c r="G116" i="18"/>
  <c r="F116" i="18"/>
  <c r="E116" i="18"/>
  <c r="D116" i="18"/>
  <c r="K115" i="18"/>
  <c r="I115" i="18"/>
  <c r="H115" i="18"/>
  <c r="G115" i="18"/>
  <c r="F115" i="18"/>
  <c r="E115" i="18"/>
  <c r="D115" i="18"/>
  <c r="K114" i="18"/>
  <c r="I114" i="18"/>
  <c r="H114" i="18"/>
  <c r="G114" i="18"/>
  <c r="F114" i="18"/>
  <c r="E114" i="18"/>
  <c r="D114" i="18"/>
  <c r="K112" i="18"/>
  <c r="I112" i="18"/>
  <c r="H112" i="18"/>
  <c r="G112" i="18"/>
  <c r="F112" i="18"/>
  <c r="E112" i="18"/>
  <c r="D112" i="18"/>
  <c r="K111" i="18"/>
  <c r="I111" i="18"/>
  <c r="H111" i="18"/>
  <c r="G111" i="18"/>
  <c r="F111" i="18"/>
  <c r="E111" i="18"/>
  <c r="D111" i="18"/>
  <c r="K110" i="18"/>
  <c r="I110" i="18"/>
  <c r="H110" i="18"/>
  <c r="G110" i="18"/>
  <c r="E110" i="18"/>
  <c r="D110" i="18"/>
  <c r="K109" i="18"/>
  <c r="I109" i="18"/>
  <c r="H109" i="18"/>
  <c r="G109" i="18"/>
  <c r="F109" i="18"/>
  <c r="E109" i="18"/>
  <c r="D109" i="18"/>
  <c r="K108" i="18"/>
  <c r="I108" i="18"/>
  <c r="H108" i="18"/>
  <c r="G108" i="18"/>
  <c r="E108" i="18"/>
  <c r="D108" i="18"/>
  <c r="K107" i="18"/>
  <c r="I107" i="18"/>
  <c r="H107" i="18"/>
  <c r="G107" i="18"/>
  <c r="F107" i="18"/>
  <c r="E107" i="18"/>
  <c r="D107" i="18"/>
  <c r="I106" i="18"/>
  <c r="H106" i="18"/>
  <c r="G106" i="18"/>
  <c r="E106" i="18"/>
  <c r="D106" i="18"/>
  <c r="K105" i="18"/>
  <c r="I105" i="18"/>
  <c r="H105" i="18"/>
  <c r="G105" i="18"/>
  <c r="F105" i="18"/>
  <c r="E105" i="18"/>
  <c r="D105" i="18"/>
  <c r="K104" i="18"/>
  <c r="I104" i="18"/>
  <c r="H104" i="18"/>
  <c r="G104" i="18"/>
  <c r="F104" i="18"/>
  <c r="E104" i="18"/>
  <c r="D104" i="18"/>
  <c r="K97" i="18"/>
  <c r="K144" i="18" s="1"/>
  <c r="I97" i="18"/>
  <c r="I144" i="18" s="1"/>
  <c r="H97" i="18"/>
  <c r="H144" i="18" s="1"/>
  <c r="G97" i="18"/>
  <c r="G144" i="18" s="1"/>
  <c r="E97" i="18"/>
  <c r="E144" i="18" s="1"/>
  <c r="D97" i="18"/>
  <c r="D144" i="18" s="1"/>
  <c r="J96" i="18"/>
  <c r="L96" i="18" s="1"/>
  <c r="J95" i="18"/>
  <c r="L95" i="18" s="1"/>
  <c r="J94" i="18"/>
  <c r="L94" i="18" s="1"/>
  <c r="J93" i="18"/>
  <c r="L93" i="18" s="1"/>
  <c r="J92" i="18"/>
  <c r="L92" i="18" s="1"/>
  <c r="J91" i="18"/>
  <c r="L91" i="18" s="1"/>
  <c r="J90" i="18"/>
  <c r="L90" i="18" s="1"/>
  <c r="J88" i="18"/>
  <c r="L88" i="18" s="1"/>
  <c r="J87" i="18"/>
  <c r="L87" i="18" s="1"/>
  <c r="J86" i="18"/>
  <c r="L86" i="18" s="1"/>
  <c r="J85" i="18"/>
  <c r="L85" i="18" s="1"/>
  <c r="J84" i="18"/>
  <c r="L84" i="18" s="1"/>
  <c r="J83" i="18"/>
  <c r="L83" i="18" s="1"/>
  <c r="J82" i="18"/>
  <c r="L82" i="18" s="1"/>
  <c r="J81" i="18"/>
  <c r="L81" i="18" s="1"/>
  <c r="J80" i="18"/>
  <c r="J79" i="18"/>
  <c r="J78" i="18"/>
  <c r="J77" i="18"/>
  <c r="J76" i="18"/>
  <c r="L76" i="18" s="1"/>
  <c r="J75" i="18"/>
  <c r="J74" i="18"/>
  <c r="J73" i="18"/>
  <c r="J72" i="18"/>
  <c r="J71" i="18"/>
  <c r="J70" i="18"/>
  <c r="J69" i="18"/>
  <c r="J68" i="18"/>
  <c r="J67" i="18"/>
  <c r="J66" i="18"/>
  <c r="J65" i="18"/>
  <c r="J64" i="18"/>
  <c r="J63" i="18"/>
  <c r="J62" i="18"/>
  <c r="L62" i="18" s="1"/>
  <c r="J61" i="18"/>
  <c r="L61" i="18" s="1"/>
  <c r="J60" i="18"/>
  <c r="L60" i="18" s="1"/>
  <c r="J59" i="18"/>
  <c r="L59" i="18" s="1"/>
  <c r="J58" i="18"/>
  <c r="L58" i="18" s="1"/>
  <c r="J57" i="18"/>
  <c r="J56" i="18"/>
  <c r="L56" i="18" s="1"/>
  <c r="J55" i="18"/>
  <c r="L55" i="18" s="1"/>
  <c r="J54" i="18"/>
  <c r="L54" i="18" s="1"/>
  <c r="J53" i="18"/>
  <c r="L53" i="18" s="1"/>
  <c r="J52" i="18"/>
  <c r="L52" i="18" s="1"/>
  <c r="J51" i="18"/>
  <c r="L51" i="18" s="1"/>
  <c r="J50" i="18"/>
  <c r="L50" i="18" s="1"/>
  <c r="J49" i="18"/>
  <c r="L49" i="18" s="1"/>
  <c r="J48" i="18"/>
  <c r="L48" i="18" s="1"/>
  <c r="J47" i="18"/>
  <c r="L47" i="18" s="1"/>
  <c r="J46" i="18"/>
  <c r="L46" i="18" s="1"/>
  <c r="J45" i="18"/>
  <c r="J142" i="18" s="1"/>
  <c r="J44" i="18"/>
  <c r="L44" i="18" s="1"/>
  <c r="J43" i="18"/>
  <c r="L43" i="18" s="1"/>
  <c r="J42" i="18"/>
  <c r="J143" i="18" s="1"/>
  <c r="J41" i="18"/>
  <c r="L41" i="18" s="1"/>
  <c r="J40" i="18"/>
  <c r="L40" i="18" s="1"/>
  <c r="F128" i="18"/>
  <c r="J38" i="18"/>
  <c r="J127" i="18" s="1"/>
  <c r="J37" i="18"/>
  <c r="L37" i="18" s="1"/>
  <c r="J36" i="18"/>
  <c r="J125" i="18" s="1"/>
  <c r="J35" i="18"/>
  <c r="L35" i="18" s="1"/>
  <c r="J34" i="18"/>
  <c r="L34" i="18" s="1"/>
  <c r="J33" i="18"/>
  <c r="J120" i="18" s="1"/>
  <c r="J32" i="18"/>
  <c r="L32" i="18" s="1"/>
  <c r="K31" i="18"/>
  <c r="K113" i="18" s="1"/>
  <c r="I31" i="18"/>
  <c r="I113" i="18" s="1"/>
  <c r="H31" i="18"/>
  <c r="H113" i="18" s="1"/>
  <c r="G31" i="18"/>
  <c r="G113" i="18" s="1"/>
  <c r="F31" i="18"/>
  <c r="F113" i="18" s="1"/>
  <c r="E31" i="18"/>
  <c r="E113" i="18" s="1"/>
  <c r="D31" i="18"/>
  <c r="D113" i="18" s="1"/>
  <c r="J30" i="18"/>
  <c r="L30" i="18" s="1"/>
  <c r="J29" i="18"/>
  <c r="L29" i="18" s="1"/>
  <c r="J28" i="18"/>
  <c r="L28" i="18" s="1"/>
  <c r="J27" i="18"/>
  <c r="L27" i="18" s="1"/>
  <c r="J26" i="18"/>
  <c r="L26" i="18" s="1"/>
  <c r="J25" i="18"/>
  <c r="L25" i="18" s="1"/>
  <c r="J24" i="18"/>
  <c r="J23" i="18"/>
  <c r="L23" i="18" s="1"/>
  <c r="J22" i="18"/>
  <c r="J21" i="18"/>
  <c r="L21" i="18" s="1"/>
  <c r="J20" i="18"/>
  <c r="L20" i="18" s="1"/>
  <c r="J19" i="18"/>
  <c r="J18" i="18"/>
  <c r="L18" i="18" s="1"/>
  <c r="J17" i="18"/>
  <c r="L17" i="18" s="1"/>
  <c r="J16" i="18"/>
  <c r="L16" i="18" s="1"/>
  <c r="J15" i="18"/>
  <c r="L15" i="18" s="1"/>
  <c r="J14" i="18"/>
  <c r="L14" i="18" s="1"/>
  <c r="J13" i="18"/>
  <c r="L13" i="18" s="1"/>
  <c r="J12" i="18"/>
  <c r="L12" i="18" s="1"/>
  <c r="J11" i="18"/>
  <c r="L11" i="18" s="1"/>
  <c r="J10" i="18"/>
  <c r="L10" i="18" s="1"/>
  <c r="J9" i="18"/>
  <c r="L9" i="18" s="1"/>
  <c r="J8" i="18"/>
  <c r="L8" i="18" s="1"/>
  <c r="J7" i="18"/>
  <c r="J107" i="18" s="1"/>
  <c r="J6" i="18"/>
  <c r="L6" i="18" s="1"/>
  <c r="L7" i="18" l="1"/>
  <c r="J109" i="18"/>
  <c r="L42" i="18"/>
  <c r="J135" i="18"/>
  <c r="L33" i="18"/>
  <c r="L45" i="18"/>
  <c r="L57" i="18"/>
  <c r="J112" i="18"/>
  <c r="J111" i="18"/>
  <c r="J110" i="18"/>
  <c r="J108" i="18"/>
  <c r="J31" i="18"/>
  <c r="J113" i="18" s="1"/>
  <c r="J114" i="18"/>
  <c r="L63" i="18"/>
  <c r="J117" i="18"/>
  <c r="L65" i="18"/>
  <c r="J119" i="18"/>
  <c r="L67" i="18"/>
  <c r="J122" i="18"/>
  <c r="L69" i="18"/>
  <c r="J124" i="18"/>
  <c r="L71" i="18"/>
  <c r="L73" i="18"/>
  <c r="J134" i="18"/>
  <c r="L75" i="18"/>
  <c r="J136" i="18"/>
  <c r="L77" i="18"/>
  <c r="J139" i="18"/>
  <c r="L79" i="18"/>
  <c r="F126" i="18"/>
  <c r="J89" i="18"/>
  <c r="L89" i="18" s="1"/>
  <c r="J104" i="18"/>
  <c r="J105" i="18"/>
  <c r="F110" i="18"/>
  <c r="F108" i="18"/>
  <c r="L19" i="18"/>
  <c r="L22" i="18"/>
  <c r="L24" i="18"/>
  <c r="F129" i="18"/>
  <c r="F123" i="18"/>
  <c r="F97" i="18"/>
  <c r="F144" i="18" s="1"/>
  <c r="L36" i="18"/>
  <c r="L38" i="18"/>
  <c r="J39" i="18"/>
  <c r="L39" i="18" s="1"/>
  <c r="J131" i="18"/>
  <c r="J133" i="18"/>
  <c r="J132" i="18"/>
  <c r="J116" i="18"/>
  <c r="J115" i="18"/>
  <c r="L64" i="18"/>
  <c r="J118" i="18"/>
  <c r="L66" i="18"/>
  <c r="J121" i="18"/>
  <c r="L68" i="18"/>
  <c r="J123" i="18"/>
  <c r="L70" i="18"/>
  <c r="L72" i="18"/>
  <c r="J130" i="18"/>
  <c r="L74" i="18"/>
  <c r="J138" i="18"/>
  <c r="J137" i="18"/>
  <c r="L78" i="18"/>
  <c r="J141" i="18"/>
  <c r="J140" i="18"/>
  <c r="L80" i="18"/>
  <c r="F27" i="17"/>
  <c r="E123" i="17"/>
  <c r="E128" i="17"/>
  <c r="F91" i="17"/>
  <c r="F90" i="17"/>
  <c r="F88" i="17"/>
  <c r="F86" i="17"/>
  <c r="F84" i="17"/>
  <c r="F81" i="17"/>
  <c r="E114" i="17"/>
  <c r="I8" i="17"/>
  <c r="F158" i="17" s="1"/>
  <c r="I35" i="17"/>
  <c r="F82" i="17"/>
  <c r="F83" i="17"/>
  <c r="F94" i="17"/>
  <c r="F95" i="17"/>
  <c r="J126" i="18" l="1"/>
  <c r="L31" i="18"/>
  <c r="L97" i="18"/>
  <c r="J128" i="18"/>
  <c r="J97" i="18"/>
  <c r="J144" i="18" s="1"/>
  <c r="J129" i="18"/>
  <c r="F194" i="17"/>
  <c r="F223" i="17" s="1"/>
  <c r="F229" i="17"/>
  <c r="F213" i="17"/>
  <c r="F211" i="17"/>
  <c r="F208" i="17"/>
  <c r="F207" i="17"/>
  <c r="F215" i="17"/>
  <c r="F212" i="17"/>
  <c r="F210" i="17"/>
  <c r="F227" i="17" l="1"/>
  <c r="F228" i="17"/>
  <c r="I143" i="17"/>
  <c r="J143" i="17"/>
  <c r="H141" i="17"/>
  <c r="I141" i="17"/>
  <c r="J141" i="17"/>
  <c r="H142" i="17"/>
  <c r="I142" i="17"/>
  <c r="J142" i="17"/>
  <c r="H138" i="17"/>
  <c r="I138" i="17"/>
  <c r="J138" i="17"/>
  <c r="H133" i="17"/>
  <c r="I133" i="17"/>
  <c r="J133" i="17"/>
  <c r="H139" i="17"/>
  <c r="I139" i="17"/>
  <c r="J139" i="17"/>
  <c r="H140" i="17"/>
  <c r="I140" i="17"/>
  <c r="J140" i="17"/>
  <c r="H134" i="17"/>
  <c r="I134" i="17"/>
  <c r="J134" i="17"/>
  <c r="H135" i="17"/>
  <c r="I135" i="17"/>
  <c r="J135" i="17"/>
  <c r="H136" i="17"/>
  <c r="I136" i="17"/>
  <c r="J136" i="17"/>
  <c r="H137" i="17"/>
  <c r="I137" i="17"/>
  <c r="J137" i="17"/>
  <c r="H131" i="17"/>
  <c r="I131" i="17"/>
  <c r="J131" i="17"/>
  <c r="H132" i="17"/>
  <c r="I132" i="17"/>
  <c r="J132" i="17"/>
  <c r="H122" i="17"/>
  <c r="I122" i="17"/>
  <c r="J122" i="17"/>
  <c r="H123" i="17"/>
  <c r="I123" i="17"/>
  <c r="J123" i="17"/>
  <c r="H124" i="17"/>
  <c r="I124" i="17"/>
  <c r="J124" i="17"/>
  <c r="H125" i="17"/>
  <c r="I125" i="17"/>
  <c r="J125" i="17"/>
  <c r="H126" i="17"/>
  <c r="I126" i="17"/>
  <c r="J126" i="17"/>
  <c r="H127" i="17"/>
  <c r="I127" i="17"/>
  <c r="J127" i="17"/>
  <c r="H128" i="17"/>
  <c r="I128" i="17"/>
  <c r="J128" i="17"/>
  <c r="H120" i="17"/>
  <c r="I120" i="17"/>
  <c r="J120" i="17"/>
  <c r="H121" i="17"/>
  <c r="I121" i="17"/>
  <c r="J121" i="17"/>
  <c r="H118" i="17"/>
  <c r="I118" i="17"/>
  <c r="J118" i="17"/>
  <c r="H119" i="17"/>
  <c r="I119" i="17"/>
  <c r="J119" i="17"/>
  <c r="H114" i="17"/>
  <c r="I114" i="17"/>
  <c r="J114" i="17"/>
  <c r="H115" i="17"/>
  <c r="I115" i="17"/>
  <c r="J115" i="17"/>
  <c r="G111" i="17"/>
  <c r="H111" i="17"/>
  <c r="I111" i="17"/>
  <c r="J111" i="17"/>
  <c r="H106" i="17"/>
  <c r="H107" i="17"/>
  <c r="I107" i="17"/>
  <c r="J107" i="17"/>
  <c r="H108" i="17"/>
  <c r="I108" i="17"/>
  <c r="J108" i="17"/>
  <c r="H109" i="17"/>
  <c r="I109" i="17"/>
  <c r="J109" i="17"/>
  <c r="H104" i="17"/>
  <c r="I104" i="17"/>
  <c r="J104" i="17"/>
  <c r="H105" i="17"/>
  <c r="I105" i="17"/>
  <c r="J105" i="17"/>
  <c r="E110" i="17"/>
  <c r="G110" i="17"/>
  <c r="H110" i="17"/>
  <c r="I110" i="17"/>
  <c r="J110" i="17"/>
  <c r="E112" i="17"/>
  <c r="G112" i="17"/>
  <c r="H112" i="17"/>
  <c r="I112" i="17"/>
  <c r="J112" i="17"/>
  <c r="E116" i="17"/>
  <c r="G116" i="17"/>
  <c r="H116" i="17"/>
  <c r="I116" i="17"/>
  <c r="J116" i="17"/>
  <c r="E117" i="17"/>
  <c r="G117" i="17"/>
  <c r="H117" i="17"/>
  <c r="I117" i="17"/>
  <c r="J117" i="17"/>
  <c r="E129" i="17"/>
  <c r="G129" i="17"/>
  <c r="H129" i="17"/>
  <c r="I129" i="17"/>
  <c r="J129" i="17"/>
  <c r="I97" i="17"/>
  <c r="I144" i="17" s="1"/>
  <c r="I31" i="17"/>
  <c r="I113" i="17" s="1"/>
  <c r="H42" i="17"/>
  <c r="F166" i="17" s="1"/>
  <c r="F222" i="17" s="1"/>
  <c r="H143" i="17" l="1"/>
  <c r="F33" i="17"/>
  <c r="K33" i="17"/>
  <c r="K120" i="17" s="1"/>
  <c r="F34" i="17"/>
  <c r="K34" i="17"/>
  <c r="K35" i="17"/>
  <c r="F36" i="17"/>
  <c r="K36" i="17"/>
  <c r="F37" i="17"/>
  <c r="K37" i="17"/>
  <c r="F38" i="17"/>
  <c r="K38" i="17"/>
  <c r="K127" i="17" s="1"/>
  <c r="K39" i="17"/>
  <c r="F40" i="17"/>
  <c r="K40" i="17"/>
  <c r="F41" i="17"/>
  <c r="K41" i="17"/>
  <c r="F42" i="17"/>
  <c r="K42" i="17"/>
  <c r="K143" i="17" s="1"/>
  <c r="F43" i="17"/>
  <c r="K43" i="17"/>
  <c r="F44" i="17"/>
  <c r="K44" i="17"/>
  <c r="F45" i="17"/>
  <c r="K45" i="17"/>
  <c r="K142" i="17" s="1"/>
  <c r="F46" i="17"/>
  <c r="K46" i="17"/>
  <c r="F47" i="17"/>
  <c r="K47" i="17"/>
  <c r="F48" i="17"/>
  <c r="K48" i="17"/>
  <c r="F49" i="17"/>
  <c r="K49" i="17"/>
  <c r="F50" i="17"/>
  <c r="K50" i="17"/>
  <c r="F51" i="17"/>
  <c r="K51" i="17"/>
  <c r="F52" i="17"/>
  <c r="K52" i="17"/>
  <c r="F53" i="17"/>
  <c r="K53" i="17"/>
  <c r="F54" i="17"/>
  <c r="K54" i="17"/>
  <c r="F55" i="17"/>
  <c r="K55" i="17"/>
  <c r="F56" i="17"/>
  <c r="K56" i="17"/>
  <c r="F57" i="17"/>
  <c r="K57" i="17"/>
  <c r="F58" i="17"/>
  <c r="K58" i="17"/>
  <c r="F59" i="17"/>
  <c r="K59" i="17"/>
  <c r="F60" i="17"/>
  <c r="K60" i="17"/>
  <c r="F61" i="17"/>
  <c r="K61" i="17"/>
  <c r="F62" i="17"/>
  <c r="K62" i="17"/>
  <c r="F63" i="17"/>
  <c r="K63" i="17"/>
  <c r="F64" i="17"/>
  <c r="K64" i="17"/>
  <c r="F65" i="17"/>
  <c r="K65" i="17"/>
  <c r="F66" i="17"/>
  <c r="K66" i="17"/>
  <c r="F67" i="17"/>
  <c r="K67" i="17"/>
  <c r="F68" i="17"/>
  <c r="K68" i="17"/>
  <c r="F69" i="17"/>
  <c r="K69" i="17"/>
  <c r="F70" i="17"/>
  <c r="K70" i="17"/>
  <c r="F71" i="17"/>
  <c r="K71" i="17"/>
  <c r="K124" i="17" s="1"/>
  <c r="F72" i="17"/>
  <c r="K72" i="17"/>
  <c r="F73" i="17"/>
  <c r="K73" i="17"/>
  <c r="F74" i="17"/>
  <c r="K74" i="17"/>
  <c r="F75" i="17"/>
  <c r="K75" i="17"/>
  <c r="F76" i="17"/>
  <c r="K76" i="17"/>
  <c r="F77" i="17"/>
  <c r="K77" i="17"/>
  <c r="F78" i="17"/>
  <c r="K78" i="17"/>
  <c r="F79" i="17"/>
  <c r="K79" i="17"/>
  <c r="F80" i="17"/>
  <c r="K80" i="17"/>
  <c r="K81" i="17"/>
  <c r="L81" i="17" s="1"/>
  <c r="K82" i="17"/>
  <c r="K83" i="17"/>
  <c r="K84" i="17"/>
  <c r="K85" i="17"/>
  <c r="K86" i="17"/>
  <c r="K87" i="17"/>
  <c r="K88" i="17"/>
  <c r="K89" i="17"/>
  <c r="K90" i="17"/>
  <c r="K91" i="17"/>
  <c r="K92" i="17"/>
  <c r="K93" i="17"/>
  <c r="K94" i="17"/>
  <c r="K95" i="17"/>
  <c r="K96" i="17"/>
  <c r="K32" i="17"/>
  <c r="F32" i="17"/>
  <c r="F7" i="17"/>
  <c r="K7" i="17"/>
  <c r="K107" i="17" s="1"/>
  <c r="K8" i="17"/>
  <c r="F9" i="17"/>
  <c r="K9" i="17"/>
  <c r="F153" i="17" s="1"/>
  <c r="F10" i="17"/>
  <c r="K10" i="17"/>
  <c r="F11" i="17"/>
  <c r="K11" i="17"/>
  <c r="F12" i="17"/>
  <c r="K12" i="17"/>
  <c r="F13" i="17"/>
  <c r="K13" i="17"/>
  <c r="F14" i="17"/>
  <c r="K14" i="17"/>
  <c r="F15" i="17"/>
  <c r="K15" i="17"/>
  <c r="F16" i="17"/>
  <c r="K16" i="17"/>
  <c r="F17" i="17"/>
  <c r="K17" i="17"/>
  <c r="F18" i="17"/>
  <c r="K18" i="17"/>
  <c r="F19" i="17"/>
  <c r="K19" i="17"/>
  <c r="F20" i="17"/>
  <c r="K20" i="17"/>
  <c r="F21" i="17"/>
  <c r="K21" i="17"/>
  <c r="F22" i="17"/>
  <c r="K22" i="17"/>
  <c r="F23" i="17"/>
  <c r="K23" i="17"/>
  <c r="F24" i="17"/>
  <c r="K24" i="17"/>
  <c r="F25" i="17"/>
  <c r="K25" i="17"/>
  <c r="F26" i="17"/>
  <c r="K26" i="17"/>
  <c r="K27" i="17"/>
  <c r="F28" i="17"/>
  <c r="K28" i="17"/>
  <c r="F29" i="17"/>
  <c r="K29" i="17"/>
  <c r="F30" i="17"/>
  <c r="K30" i="17"/>
  <c r="K6" i="17"/>
  <c r="F6" i="17"/>
  <c r="H97" i="17"/>
  <c r="H144" i="17" s="1"/>
  <c r="H31" i="17"/>
  <c r="H113" i="17" s="1"/>
  <c r="F112" i="17" l="1"/>
  <c r="K104" i="17"/>
  <c r="F104" i="17"/>
  <c r="F116" i="17"/>
  <c r="F170" i="17"/>
  <c r="F175" i="17" s="1"/>
  <c r="F109" i="17"/>
  <c r="K105" i="17"/>
  <c r="K109" i="17"/>
  <c r="F160" i="17"/>
  <c r="F209" i="17"/>
  <c r="K139" i="17"/>
  <c r="K136" i="17"/>
  <c r="K134" i="17"/>
  <c r="K129" i="17"/>
  <c r="K128" i="17"/>
  <c r="K122" i="17"/>
  <c r="K119" i="17"/>
  <c r="K117" i="17"/>
  <c r="K114" i="17"/>
  <c r="K135" i="17"/>
  <c r="K133" i="17"/>
  <c r="K132" i="17"/>
  <c r="F117" i="17"/>
  <c r="F196" i="17" s="1"/>
  <c r="F225" i="17" s="1"/>
  <c r="K125" i="17"/>
  <c r="K108" i="17"/>
  <c r="K110" i="17"/>
  <c r="K112" i="17"/>
  <c r="K111" i="17"/>
  <c r="K141" i="17"/>
  <c r="K140" i="17"/>
  <c r="K138" i="17"/>
  <c r="K137" i="17"/>
  <c r="K126" i="17"/>
  <c r="K123" i="17"/>
  <c r="K121" i="17"/>
  <c r="K118" i="17"/>
  <c r="K116" i="17"/>
  <c r="K115" i="17"/>
  <c r="K131" i="17"/>
  <c r="M143" i="17"/>
  <c r="G143" i="17"/>
  <c r="F143" i="17"/>
  <c r="E143" i="17"/>
  <c r="D143" i="17"/>
  <c r="M142" i="17"/>
  <c r="G142" i="17"/>
  <c r="F142" i="17"/>
  <c r="E142" i="17"/>
  <c r="D142" i="17"/>
  <c r="M141" i="17"/>
  <c r="G141" i="17"/>
  <c r="E141" i="17"/>
  <c r="D141" i="17"/>
  <c r="M140" i="17"/>
  <c r="G140" i="17"/>
  <c r="E140" i="17"/>
  <c r="D140" i="17"/>
  <c r="M139" i="17"/>
  <c r="G139" i="17"/>
  <c r="F139" i="17"/>
  <c r="E139" i="17"/>
  <c r="D139" i="17"/>
  <c r="M138" i="17"/>
  <c r="G138" i="17"/>
  <c r="F138" i="17"/>
  <c r="E138" i="17"/>
  <c r="D138" i="17"/>
  <c r="M137" i="17"/>
  <c r="G137" i="17"/>
  <c r="F137" i="17"/>
  <c r="E137" i="17"/>
  <c r="D137" i="17"/>
  <c r="M136" i="17"/>
  <c r="G136" i="17"/>
  <c r="F136" i="17"/>
  <c r="E136" i="17"/>
  <c r="D136" i="17"/>
  <c r="M135" i="17"/>
  <c r="G135" i="17"/>
  <c r="F135" i="17"/>
  <c r="E135" i="17"/>
  <c r="D135" i="17"/>
  <c r="M134" i="17"/>
  <c r="G134" i="17"/>
  <c r="F134" i="17"/>
  <c r="E134" i="17"/>
  <c r="D134" i="17"/>
  <c r="M133" i="17"/>
  <c r="G133" i="17"/>
  <c r="F133" i="17"/>
  <c r="E133" i="17"/>
  <c r="D133" i="17"/>
  <c r="M132" i="17"/>
  <c r="G132" i="17"/>
  <c r="F132" i="17"/>
  <c r="E132" i="17"/>
  <c r="D132" i="17"/>
  <c r="M131" i="17"/>
  <c r="G131" i="17"/>
  <c r="F131" i="17"/>
  <c r="E131" i="17"/>
  <c r="D131" i="17"/>
  <c r="M130" i="17"/>
  <c r="K130" i="17"/>
  <c r="J130" i="17"/>
  <c r="G130" i="17"/>
  <c r="F130" i="17"/>
  <c r="E130" i="17"/>
  <c r="D130" i="17"/>
  <c r="M129" i="17"/>
  <c r="D129" i="17"/>
  <c r="M128" i="17"/>
  <c r="G128" i="17"/>
  <c r="D128" i="17"/>
  <c r="M127" i="17"/>
  <c r="G127" i="17"/>
  <c r="F127" i="17"/>
  <c r="E127" i="17"/>
  <c r="D127" i="17"/>
  <c r="M126" i="17"/>
  <c r="G126" i="17"/>
  <c r="E126" i="17"/>
  <c r="D126" i="17"/>
  <c r="M125" i="17"/>
  <c r="G125" i="17"/>
  <c r="F125" i="17"/>
  <c r="E125" i="17"/>
  <c r="D125" i="17"/>
  <c r="M124" i="17"/>
  <c r="G124" i="17"/>
  <c r="F124" i="17"/>
  <c r="E124" i="17"/>
  <c r="D124" i="17"/>
  <c r="M123" i="17"/>
  <c r="G123" i="17"/>
  <c r="D123" i="17"/>
  <c r="M122" i="17"/>
  <c r="G122" i="17"/>
  <c r="F122" i="17"/>
  <c r="E122" i="17"/>
  <c r="D122" i="17"/>
  <c r="M121" i="17"/>
  <c r="G121" i="17"/>
  <c r="E121" i="17"/>
  <c r="D121" i="17"/>
  <c r="M120" i="17"/>
  <c r="G120" i="17"/>
  <c r="F120" i="17"/>
  <c r="E120" i="17"/>
  <c r="D120" i="17"/>
  <c r="M119" i="17"/>
  <c r="G119" i="17"/>
  <c r="F119" i="17"/>
  <c r="E119" i="17"/>
  <c r="D119" i="17"/>
  <c r="M118" i="17"/>
  <c r="G118" i="17"/>
  <c r="F118" i="17"/>
  <c r="E118" i="17"/>
  <c r="D118" i="17"/>
  <c r="M117" i="17"/>
  <c r="D117" i="17"/>
  <c r="M116" i="17"/>
  <c r="D116" i="17"/>
  <c r="M115" i="17"/>
  <c r="G115" i="17"/>
  <c r="F115" i="17"/>
  <c r="E115" i="17"/>
  <c r="D115" i="17"/>
  <c r="M114" i="17"/>
  <c r="G114" i="17"/>
  <c r="F114" i="17"/>
  <c r="F195" i="17" s="1"/>
  <c r="D114" i="17"/>
  <c r="M112" i="17"/>
  <c r="D112" i="17"/>
  <c r="M111" i="17"/>
  <c r="F111" i="17"/>
  <c r="E111" i="17"/>
  <c r="D111" i="17"/>
  <c r="M110" i="17"/>
  <c r="D110" i="17"/>
  <c r="M109" i="17"/>
  <c r="G109" i="17"/>
  <c r="E109" i="17"/>
  <c r="D109" i="17"/>
  <c r="M108" i="17"/>
  <c r="G108" i="17"/>
  <c r="E108" i="17"/>
  <c r="D108" i="17"/>
  <c r="M107" i="17"/>
  <c r="G107" i="17"/>
  <c r="F107" i="17"/>
  <c r="E107" i="17"/>
  <c r="D107" i="17"/>
  <c r="G106" i="17"/>
  <c r="E106" i="17"/>
  <c r="D106" i="17"/>
  <c r="M105" i="17"/>
  <c r="G105" i="17"/>
  <c r="F105" i="17"/>
  <c r="E105" i="17"/>
  <c r="D105" i="17"/>
  <c r="M104" i="17"/>
  <c r="G104" i="17"/>
  <c r="E104" i="17"/>
  <c r="D104" i="17"/>
  <c r="M97" i="17"/>
  <c r="M144" i="17" s="1"/>
  <c r="K97" i="17"/>
  <c r="K144" i="17" s="1"/>
  <c r="J97" i="17"/>
  <c r="J144" i="17" s="1"/>
  <c r="G97" i="17"/>
  <c r="G144" i="17" s="1"/>
  <c r="E97" i="17"/>
  <c r="E144" i="17" s="1"/>
  <c r="D97" i="17"/>
  <c r="D144" i="17" s="1"/>
  <c r="L95" i="17"/>
  <c r="L94" i="17"/>
  <c r="L93" i="17"/>
  <c r="L92" i="17"/>
  <c r="L91" i="17"/>
  <c r="L90" i="17"/>
  <c r="L88" i="17"/>
  <c r="L86" i="17"/>
  <c r="L84" i="17"/>
  <c r="L83" i="17"/>
  <c r="L82" i="17"/>
  <c r="L80" i="17"/>
  <c r="L79" i="17"/>
  <c r="L78" i="17"/>
  <c r="L77" i="17"/>
  <c r="L76" i="17"/>
  <c r="L75" i="17"/>
  <c r="L74" i="17"/>
  <c r="L73" i="17"/>
  <c r="L72" i="17"/>
  <c r="L71" i="17"/>
  <c r="L70" i="17"/>
  <c r="L69" i="17"/>
  <c r="L68" i="17"/>
  <c r="L67" i="17"/>
  <c r="L66" i="17"/>
  <c r="L65" i="17"/>
  <c r="L64" i="17"/>
  <c r="L63" i="17"/>
  <c r="L62" i="17"/>
  <c r="L61" i="17"/>
  <c r="L60" i="17"/>
  <c r="L59" i="17"/>
  <c r="L58" i="17"/>
  <c r="L57" i="17"/>
  <c r="L56" i="17"/>
  <c r="L55" i="17"/>
  <c r="L54" i="17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8" i="17"/>
  <c r="L37" i="17"/>
  <c r="L36" i="17"/>
  <c r="L34" i="17"/>
  <c r="L33" i="17"/>
  <c r="L32" i="17"/>
  <c r="M31" i="17"/>
  <c r="M113" i="17" s="1"/>
  <c r="K31" i="17"/>
  <c r="K113" i="17" s="1"/>
  <c r="J31" i="17"/>
  <c r="J113" i="17" s="1"/>
  <c r="G31" i="17"/>
  <c r="G113" i="17" s="1"/>
  <c r="E31" i="17"/>
  <c r="E113" i="17" s="1"/>
  <c r="D31" i="17"/>
  <c r="D113" i="17" s="1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7" i="17"/>
  <c r="L6" i="17"/>
  <c r="L114" i="17" l="1"/>
  <c r="F224" i="17"/>
  <c r="L107" i="17"/>
  <c r="N10" i="17"/>
  <c r="N12" i="17"/>
  <c r="N14" i="17"/>
  <c r="N16" i="17"/>
  <c r="N18" i="17"/>
  <c r="N20" i="17"/>
  <c r="N26" i="17"/>
  <c r="N28" i="17"/>
  <c r="L120" i="17"/>
  <c r="N41" i="17"/>
  <c r="N43" i="17"/>
  <c r="L142" i="17"/>
  <c r="N49" i="17"/>
  <c r="N51" i="17"/>
  <c r="N53" i="17"/>
  <c r="N55" i="17"/>
  <c r="N59" i="17"/>
  <c r="N61" i="17"/>
  <c r="L124" i="17"/>
  <c r="N81" i="17"/>
  <c r="N83" i="17"/>
  <c r="N90" i="17"/>
  <c r="N92" i="17"/>
  <c r="N94" i="17"/>
  <c r="N6" i="17"/>
  <c r="N9" i="17"/>
  <c r="N11" i="17"/>
  <c r="N13" i="17"/>
  <c r="N15" i="17"/>
  <c r="N17" i="17"/>
  <c r="N23" i="17"/>
  <c r="N25" i="17"/>
  <c r="N27" i="17"/>
  <c r="N29" i="17"/>
  <c r="N32" i="17"/>
  <c r="N34" i="17"/>
  <c r="N37" i="17"/>
  <c r="N40" i="17"/>
  <c r="L143" i="17"/>
  <c r="N44" i="17"/>
  <c r="N48" i="17"/>
  <c r="N50" i="17"/>
  <c r="N52" i="17"/>
  <c r="N54" i="17"/>
  <c r="N56" i="17"/>
  <c r="N58" i="17"/>
  <c r="N60" i="17"/>
  <c r="N62" i="17"/>
  <c r="L130" i="17"/>
  <c r="N76" i="17"/>
  <c r="N82" i="17"/>
  <c r="N84" i="17"/>
  <c r="N86" i="17"/>
  <c r="N88" i="17"/>
  <c r="N91" i="17"/>
  <c r="N93" i="17"/>
  <c r="N95" i="17"/>
  <c r="L119" i="17"/>
  <c r="L122" i="17"/>
  <c r="N22" i="17"/>
  <c r="L111" i="17"/>
  <c r="L112" i="17"/>
  <c r="N24" i="17"/>
  <c r="L104" i="17"/>
  <c r="N36" i="17"/>
  <c r="L125" i="17"/>
  <c r="N38" i="17"/>
  <c r="L127" i="17"/>
  <c r="L133" i="17"/>
  <c r="L132" i="17"/>
  <c r="N57" i="17"/>
  <c r="L135" i="17"/>
  <c r="L117" i="17"/>
  <c r="N73" i="17"/>
  <c r="N75" i="17"/>
  <c r="L134" i="17"/>
  <c r="N77" i="17"/>
  <c r="L136" i="17"/>
  <c r="N79" i="17"/>
  <c r="L139" i="17"/>
  <c r="N19" i="17"/>
  <c r="L109" i="17"/>
  <c r="L105" i="17"/>
  <c r="L131" i="17"/>
  <c r="L115" i="17"/>
  <c r="L116" i="17"/>
  <c r="L118" i="17"/>
  <c r="N70" i="17"/>
  <c r="N72" i="17"/>
  <c r="N78" i="17"/>
  <c r="L138" i="17"/>
  <c r="L137" i="17"/>
  <c r="N80" i="17"/>
  <c r="N33" i="17"/>
  <c r="N7" i="17"/>
  <c r="N42" i="17"/>
  <c r="N45" i="17"/>
  <c r="N46" i="17"/>
  <c r="N47" i="17"/>
  <c r="N63" i="17"/>
  <c r="N64" i="17"/>
  <c r="N65" i="17"/>
  <c r="N66" i="17"/>
  <c r="N67" i="17"/>
  <c r="N68" i="17"/>
  <c r="N69" i="17"/>
  <c r="N71" i="17"/>
  <c r="N74" i="17"/>
  <c r="N21" i="17"/>
  <c r="N30" i="17"/>
  <c r="F109" i="16"/>
  <c r="F119" i="16"/>
  <c r="K119" i="16" l="1"/>
  <c r="G119" i="16"/>
  <c r="H119" i="16"/>
  <c r="I119" i="16"/>
  <c r="F8" i="16"/>
  <c r="F8" i="17" s="1"/>
  <c r="F108" i="17" s="1"/>
  <c r="F39" i="16"/>
  <c r="F39" i="17" s="1"/>
  <c r="F35" i="16"/>
  <c r="F35" i="17" s="1"/>
  <c r="F110" i="17" l="1"/>
  <c r="F186" i="17"/>
  <c r="F214" i="17" s="1"/>
  <c r="L8" i="17"/>
  <c r="F31" i="17"/>
  <c r="F113" i="17" s="1"/>
  <c r="F123" i="16"/>
  <c r="F128" i="16"/>
  <c r="F89" i="16"/>
  <c r="F129" i="16" s="1"/>
  <c r="K129" i="16"/>
  <c r="J84" i="16"/>
  <c r="L84" i="16" s="1"/>
  <c r="D129" i="16"/>
  <c r="E129" i="16"/>
  <c r="G129" i="16"/>
  <c r="H129" i="16"/>
  <c r="I129" i="16"/>
  <c r="D128" i="16"/>
  <c r="E128" i="16"/>
  <c r="G128" i="16"/>
  <c r="H128" i="16"/>
  <c r="I128" i="16"/>
  <c r="K128" i="16"/>
  <c r="J43" i="16"/>
  <c r="L43" i="16" s="1"/>
  <c r="F187" i="17" l="1"/>
  <c r="F216" i="17"/>
  <c r="L110" i="17"/>
  <c r="L108" i="17"/>
  <c r="L39" i="17"/>
  <c r="L128" i="17" s="1"/>
  <c r="F128" i="17"/>
  <c r="F126" i="16"/>
  <c r="N8" i="17"/>
  <c r="N31" i="17" s="1"/>
  <c r="L31" i="17"/>
  <c r="L35" i="17"/>
  <c r="E117" i="16"/>
  <c r="E141" i="16"/>
  <c r="E137" i="16"/>
  <c r="E135" i="16"/>
  <c r="E126" i="16"/>
  <c r="E121" i="16"/>
  <c r="E115" i="16"/>
  <c r="E139" i="16"/>
  <c r="E122" i="16"/>
  <c r="E133" i="16"/>
  <c r="K143" i="16"/>
  <c r="I143" i="16"/>
  <c r="H143" i="16"/>
  <c r="G143" i="16"/>
  <c r="F143" i="16"/>
  <c r="E143" i="16"/>
  <c r="D143" i="16"/>
  <c r="K142" i="16"/>
  <c r="I142" i="16"/>
  <c r="H142" i="16"/>
  <c r="G142" i="16"/>
  <c r="F142" i="16"/>
  <c r="E142" i="16"/>
  <c r="D142" i="16"/>
  <c r="K141" i="16"/>
  <c r="I141" i="16"/>
  <c r="H141" i="16"/>
  <c r="G141" i="16"/>
  <c r="F141" i="16"/>
  <c r="D141" i="16"/>
  <c r="K140" i="16"/>
  <c r="I140" i="16"/>
  <c r="H140" i="16"/>
  <c r="G140" i="16"/>
  <c r="F140" i="16"/>
  <c r="E140" i="16"/>
  <c r="D140" i="16"/>
  <c r="K139" i="16"/>
  <c r="I139" i="16"/>
  <c r="H139" i="16"/>
  <c r="G139" i="16"/>
  <c r="F139" i="16"/>
  <c r="D139" i="16"/>
  <c r="K138" i="16"/>
  <c r="I138" i="16"/>
  <c r="H138" i="16"/>
  <c r="G138" i="16"/>
  <c r="F138" i="16"/>
  <c r="E138" i="16"/>
  <c r="D138" i="16"/>
  <c r="K137" i="16"/>
  <c r="I137" i="16"/>
  <c r="H137" i="16"/>
  <c r="G137" i="16"/>
  <c r="F137" i="16"/>
  <c r="D137" i="16"/>
  <c r="K136" i="16"/>
  <c r="I136" i="16"/>
  <c r="H136" i="16"/>
  <c r="G136" i="16"/>
  <c r="F136" i="16"/>
  <c r="E136" i="16"/>
  <c r="D136" i="16"/>
  <c r="K135" i="16"/>
  <c r="I135" i="16"/>
  <c r="H135" i="16"/>
  <c r="G135" i="16"/>
  <c r="F135" i="16"/>
  <c r="D135" i="16"/>
  <c r="K134" i="16"/>
  <c r="I134" i="16"/>
  <c r="H134" i="16"/>
  <c r="G134" i="16"/>
  <c r="F134" i="16"/>
  <c r="E134" i="16"/>
  <c r="D134" i="16"/>
  <c r="K133" i="16"/>
  <c r="I133" i="16"/>
  <c r="H133" i="16"/>
  <c r="G133" i="16"/>
  <c r="F133" i="16"/>
  <c r="D133" i="16"/>
  <c r="K132" i="16"/>
  <c r="I132" i="16"/>
  <c r="H132" i="16"/>
  <c r="G132" i="16"/>
  <c r="F132" i="16"/>
  <c r="E132" i="16"/>
  <c r="D132" i="16"/>
  <c r="K131" i="16"/>
  <c r="I131" i="16"/>
  <c r="H131" i="16"/>
  <c r="G131" i="16"/>
  <c r="F131" i="16"/>
  <c r="D131" i="16"/>
  <c r="K130" i="16"/>
  <c r="I130" i="16"/>
  <c r="H130" i="16"/>
  <c r="G130" i="16"/>
  <c r="F130" i="16"/>
  <c r="E130" i="16"/>
  <c r="D130" i="16"/>
  <c r="K127" i="16"/>
  <c r="I127" i="16"/>
  <c r="H127" i="16"/>
  <c r="G127" i="16"/>
  <c r="F127" i="16"/>
  <c r="E127" i="16"/>
  <c r="D127" i="16"/>
  <c r="K126" i="16"/>
  <c r="I126" i="16"/>
  <c r="H126" i="16"/>
  <c r="G126" i="16"/>
  <c r="D126" i="16"/>
  <c r="K125" i="16"/>
  <c r="I125" i="16"/>
  <c r="H125" i="16"/>
  <c r="G125" i="16"/>
  <c r="F125" i="16"/>
  <c r="E125" i="16"/>
  <c r="D125" i="16"/>
  <c r="K124" i="16"/>
  <c r="I124" i="16"/>
  <c r="H124" i="16"/>
  <c r="G124" i="16"/>
  <c r="F124" i="16"/>
  <c r="E124" i="16"/>
  <c r="D124" i="16"/>
  <c r="K123" i="16"/>
  <c r="I123" i="16"/>
  <c r="H123" i="16"/>
  <c r="G123" i="16"/>
  <c r="E123" i="16"/>
  <c r="D123" i="16"/>
  <c r="K122" i="16"/>
  <c r="I122" i="16"/>
  <c r="H122" i="16"/>
  <c r="G122" i="16"/>
  <c r="F122" i="16"/>
  <c r="D122" i="16"/>
  <c r="K121" i="16"/>
  <c r="I121" i="16"/>
  <c r="H121" i="16"/>
  <c r="G121" i="16"/>
  <c r="D121" i="16"/>
  <c r="K120" i="16"/>
  <c r="I120" i="16"/>
  <c r="H120" i="16"/>
  <c r="G120" i="16"/>
  <c r="F120" i="16"/>
  <c r="E120" i="16"/>
  <c r="D120" i="16"/>
  <c r="E119" i="16"/>
  <c r="D119" i="16"/>
  <c r="K118" i="16"/>
  <c r="I118" i="16"/>
  <c r="H118" i="16"/>
  <c r="G118" i="16"/>
  <c r="F118" i="16"/>
  <c r="E118" i="16"/>
  <c r="D118" i="16"/>
  <c r="K117" i="16"/>
  <c r="I117" i="16"/>
  <c r="H117" i="16"/>
  <c r="G117" i="16"/>
  <c r="F117" i="16"/>
  <c r="D117" i="16"/>
  <c r="K116" i="16"/>
  <c r="I116" i="16"/>
  <c r="H116" i="16"/>
  <c r="G116" i="16"/>
  <c r="F116" i="16"/>
  <c r="E116" i="16"/>
  <c r="D116" i="16"/>
  <c r="K115" i="16"/>
  <c r="I115" i="16"/>
  <c r="H115" i="16"/>
  <c r="G115" i="16"/>
  <c r="F115" i="16"/>
  <c r="D115" i="16"/>
  <c r="K114" i="16"/>
  <c r="I114" i="16"/>
  <c r="H114" i="16"/>
  <c r="G114" i="16"/>
  <c r="F114" i="16"/>
  <c r="E114" i="16"/>
  <c r="D114" i="16"/>
  <c r="K112" i="16"/>
  <c r="I112" i="16"/>
  <c r="H112" i="16"/>
  <c r="G112" i="16"/>
  <c r="F112" i="16"/>
  <c r="E112" i="16"/>
  <c r="D112" i="16"/>
  <c r="K111" i="16"/>
  <c r="I111" i="16"/>
  <c r="H111" i="16"/>
  <c r="G111" i="16"/>
  <c r="F111" i="16"/>
  <c r="E111" i="16"/>
  <c r="D111" i="16"/>
  <c r="K110" i="16"/>
  <c r="I110" i="16"/>
  <c r="H110" i="16"/>
  <c r="G110" i="16"/>
  <c r="F110" i="16"/>
  <c r="E110" i="16"/>
  <c r="D110" i="16"/>
  <c r="K109" i="16"/>
  <c r="I109" i="16"/>
  <c r="H109" i="16"/>
  <c r="G109" i="16"/>
  <c r="E109" i="16"/>
  <c r="D109" i="16"/>
  <c r="K108" i="16"/>
  <c r="I108" i="16"/>
  <c r="H108" i="16"/>
  <c r="G108" i="16"/>
  <c r="F108" i="16"/>
  <c r="E108" i="16"/>
  <c r="D108" i="16"/>
  <c r="K107" i="16"/>
  <c r="I107" i="16"/>
  <c r="H107" i="16"/>
  <c r="G107" i="16"/>
  <c r="F107" i="16"/>
  <c r="E107" i="16"/>
  <c r="D107" i="16"/>
  <c r="I106" i="16"/>
  <c r="H106" i="16"/>
  <c r="G106" i="16"/>
  <c r="E106" i="16"/>
  <c r="D106" i="16"/>
  <c r="K105" i="16"/>
  <c r="I105" i="16"/>
  <c r="H105" i="16"/>
  <c r="G105" i="16"/>
  <c r="F105" i="16"/>
  <c r="E105" i="16"/>
  <c r="D105" i="16"/>
  <c r="K104" i="16"/>
  <c r="I104" i="16"/>
  <c r="H104" i="16"/>
  <c r="G104" i="16"/>
  <c r="F104" i="16"/>
  <c r="E104" i="16"/>
  <c r="D104" i="16"/>
  <c r="K97" i="16"/>
  <c r="K144" i="16" s="1"/>
  <c r="I97" i="16"/>
  <c r="I144" i="16" s="1"/>
  <c r="H97" i="16"/>
  <c r="H144" i="16" s="1"/>
  <c r="G97" i="16"/>
  <c r="G144" i="16" s="1"/>
  <c r="E97" i="16"/>
  <c r="E144" i="16" s="1"/>
  <c r="D97" i="16"/>
  <c r="D144" i="16" s="1"/>
  <c r="J96" i="16"/>
  <c r="L96" i="16" s="1"/>
  <c r="J95" i="16"/>
  <c r="L95" i="16" s="1"/>
  <c r="J94" i="16"/>
  <c r="L94" i="16" s="1"/>
  <c r="J93" i="16"/>
  <c r="L93" i="16" s="1"/>
  <c r="J92" i="16"/>
  <c r="L92" i="16" s="1"/>
  <c r="J91" i="16"/>
  <c r="L91" i="16" s="1"/>
  <c r="J90" i="16"/>
  <c r="L90" i="16" s="1"/>
  <c r="J89" i="16"/>
  <c r="L89" i="16" s="1"/>
  <c r="J88" i="16"/>
  <c r="L88" i="16" s="1"/>
  <c r="J87" i="16"/>
  <c r="L87" i="16" s="1"/>
  <c r="J86" i="16"/>
  <c r="L86" i="16" s="1"/>
  <c r="J83" i="16"/>
  <c r="L83" i="16" s="1"/>
  <c r="J82" i="16"/>
  <c r="L82" i="16" s="1"/>
  <c r="J81" i="16"/>
  <c r="L81" i="16" s="1"/>
  <c r="J80" i="16"/>
  <c r="J79" i="16"/>
  <c r="J78" i="16"/>
  <c r="J77" i="16"/>
  <c r="J76" i="16"/>
  <c r="L76" i="16" s="1"/>
  <c r="J75" i="16"/>
  <c r="J74" i="16"/>
  <c r="J73" i="16"/>
  <c r="J72" i="16"/>
  <c r="L72" i="16" s="1"/>
  <c r="J71" i="16"/>
  <c r="L71" i="16" s="1"/>
  <c r="J70" i="16"/>
  <c r="L70" i="16" s="1"/>
  <c r="J69" i="16"/>
  <c r="L69" i="16" s="1"/>
  <c r="J68" i="16"/>
  <c r="L68" i="16" s="1"/>
  <c r="J67" i="16"/>
  <c r="J66" i="16"/>
  <c r="L66" i="16" s="1"/>
  <c r="J65" i="16"/>
  <c r="L65" i="16" s="1"/>
  <c r="J64" i="16"/>
  <c r="L64" i="16" s="1"/>
  <c r="J63" i="16"/>
  <c r="L63" i="16" s="1"/>
  <c r="J62" i="16"/>
  <c r="L62" i="16" s="1"/>
  <c r="J61" i="16"/>
  <c r="L61" i="16" s="1"/>
  <c r="J60" i="16"/>
  <c r="L60" i="16" s="1"/>
  <c r="J59" i="16"/>
  <c r="L59" i="16" s="1"/>
  <c r="J58" i="16"/>
  <c r="L58" i="16" s="1"/>
  <c r="J57" i="16"/>
  <c r="J56" i="16"/>
  <c r="L56" i="16" s="1"/>
  <c r="J55" i="16"/>
  <c r="L55" i="16" s="1"/>
  <c r="J54" i="16"/>
  <c r="L54" i="16" s="1"/>
  <c r="J53" i="16"/>
  <c r="L53" i="16" s="1"/>
  <c r="J52" i="16"/>
  <c r="L52" i="16" s="1"/>
  <c r="J51" i="16"/>
  <c r="L51" i="16" s="1"/>
  <c r="J50" i="16"/>
  <c r="L50" i="16" s="1"/>
  <c r="J49" i="16"/>
  <c r="L49" i="16" s="1"/>
  <c r="J48" i="16"/>
  <c r="L48" i="16" s="1"/>
  <c r="J47" i="16"/>
  <c r="J46" i="16"/>
  <c r="J45" i="16"/>
  <c r="J44" i="16"/>
  <c r="L44" i="16" s="1"/>
  <c r="J42" i="16"/>
  <c r="J41" i="16"/>
  <c r="L41" i="16" s="1"/>
  <c r="J40" i="16"/>
  <c r="L40" i="16" s="1"/>
  <c r="J39" i="16"/>
  <c r="L39" i="16" s="1"/>
  <c r="J38" i="16"/>
  <c r="L38" i="16" s="1"/>
  <c r="J37" i="16"/>
  <c r="L37" i="16" s="1"/>
  <c r="J36" i="16"/>
  <c r="L36" i="16" s="1"/>
  <c r="J35" i="16"/>
  <c r="L35" i="16" s="1"/>
  <c r="J34" i="16"/>
  <c r="L34" i="16" s="1"/>
  <c r="J33" i="16"/>
  <c r="L33" i="16" s="1"/>
  <c r="J32" i="16"/>
  <c r="K31" i="16"/>
  <c r="K113" i="16" s="1"/>
  <c r="I31" i="16"/>
  <c r="I113" i="16" s="1"/>
  <c r="H31" i="16"/>
  <c r="H113" i="16" s="1"/>
  <c r="G31" i="16"/>
  <c r="G113" i="16" s="1"/>
  <c r="F31" i="16"/>
  <c r="F113" i="16" s="1"/>
  <c r="E31" i="16"/>
  <c r="E113" i="16" s="1"/>
  <c r="D31" i="16"/>
  <c r="D113" i="16" s="1"/>
  <c r="J30" i="16"/>
  <c r="L30" i="16" s="1"/>
  <c r="J29" i="16"/>
  <c r="L29" i="16" s="1"/>
  <c r="J28" i="16"/>
  <c r="L28" i="16" s="1"/>
  <c r="J27" i="16"/>
  <c r="L27" i="16" s="1"/>
  <c r="J26" i="16"/>
  <c r="L26" i="16" s="1"/>
  <c r="J25" i="16"/>
  <c r="L25" i="16" s="1"/>
  <c r="J24" i="16"/>
  <c r="J23" i="16"/>
  <c r="L23" i="16" s="1"/>
  <c r="J22" i="16"/>
  <c r="J21" i="16"/>
  <c r="J20" i="16"/>
  <c r="L20" i="16" s="1"/>
  <c r="J19" i="16"/>
  <c r="J18" i="16"/>
  <c r="L18" i="16" s="1"/>
  <c r="J17" i="16"/>
  <c r="L17" i="16" s="1"/>
  <c r="J16" i="16"/>
  <c r="L16" i="16" s="1"/>
  <c r="J15" i="16"/>
  <c r="L15" i="16" s="1"/>
  <c r="J14" i="16"/>
  <c r="L14" i="16" s="1"/>
  <c r="J13" i="16"/>
  <c r="L13" i="16" s="1"/>
  <c r="J12" i="16"/>
  <c r="L12" i="16" s="1"/>
  <c r="J11" i="16"/>
  <c r="L11" i="16" s="1"/>
  <c r="J10" i="16"/>
  <c r="L10" i="16" s="1"/>
  <c r="J9" i="16"/>
  <c r="L9" i="16" s="1"/>
  <c r="J8" i="16"/>
  <c r="L8" i="16" s="1"/>
  <c r="J7" i="16"/>
  <c r="J107" i="16" s="1"/>
  <c r="J6" i="16"/>
  <c r="L6" i="16" s="1"/>
  <c r="L113" i="17" l="1"/>
  <c r="N35" i="17"/>
  <c r="N39" i="17"/>
  <c r="L67" i="16"/>
  <c r="J119" i="16"/>
  <c r="J128" i="16"/>
  <c r="J31" i="16"/>
  <c r="J113" i="16" s="1"/>
  <c r="J109" i="16"/>
  <c r="J105" i="16"/>
  <c r="J112" i="16"/>
  <c r="J110" i="16"/>
  <c r="J104" i="16"/>
  <c r="L7" i="16"/>
  <c r="L19" i="16"/>
  <c r="L21" i="16"/>
  <c r="L22" i="16"/>
  <c r="L24" i="16"/>
  <c r="E131" i="16"/>
  <c r="J108" i="16"/>
  <c r="J111" i="16"/>
  <c r="L46" i="16"/>
  <c r="J131" i="16"/>
  <c r="L74" i="16"/>
  <c r="J130" i="16"/>
  <c r="L78" i="16"/>
  <c r="J138" i="16"/>
  <c r="J137" i="16"/>
  <c r="L80" i="16"/>
  <c r="J141" i="16"/>
  <c r="J140" i="16"/>
  <c r="F97" i="16"/>
  <c r="F144" i="16" s="1"/>
  <c r="J85" i="16"/>
  <c r="L85" i="16" s="1"/>
  <c r="L32" i="16"/>
  <c r="L42" i="16"/>
  <c r="J143" i="16"/>
  <c r="L45" i="16"/>
  <c r="J142" i="16"/>
  <c r="L47" i="16"/>
  <c r="J133" i="16"/>
  <c r="J132" i="16"/>
  <c r="L57" i="16"/>
  <c r="J135" i="16"/>
  <c r="L73" i="16"/>
  <c r="L75" i="16"/>
  <c r="J134" i="16"/>
  <c r="L77" i="16"/>
  <c r="J136" i="16"/>
  <c r="L79" i="16"/>
  <c r="J139" i="16"/>
  <c r="J114" i="16"/>
  <c r="J115" i="16"/>
  <c r="J116" i="16"/>
  <c r="J117" i="16"/>
  <c r="J118" i="16"/>
  <c r="J120" i="16"/>
  <c r="F121" i="16"/>
  <c r="J122" i="16"/>
  <c r="J123" i="16"/>
  <c r="J124" i="16"/>
  <c r="J125" i="16"/>
  <c r="J126" i="16"/>
  <c r="J127" i="16"/>
  <c r="D108" i="15"/>
  <c r="E108" i="15"/>
  <c r="F108" i="15"/>
  <c r="G108" i="15"/>
  <c r="H108" i="15"/>
  <c r="I108" i="15"/>
  <c r="J27" i="15"/>
  <c r="L27" i="15" s="1"/>
  <c r="J24" i="15"/>
  <c r="J23" i="15"/>
  <c r="J19" i="15"/>
  <c r="J18" i="15"/>
  <c r="J8" i="15"/>
  <c r="J7" i="15"/>
  <c r="K108" i="15"/>
  <c r="D107" i="15"/>
  <c r="E107" i="15"/>
  <c r="F107" i="15"/>
  <c r="G107" i="15"/>
  <c r="H107" i="15"/>
  <c r="I107" i="15"/>
  <c r="K107" i="15"/>
  <c r="K136" i="15"/>
  <c r="D136" i="15"/>
  <c r="E136" i="15"/>
  <c r="F136" i="15"/>
  <c r="G136" i="15"/>
  <c r="H136" i="15"/>
  <c r="I136" i="15"/>
  <c r="D133" i="15"/>
  <c r="E133" i="15"/>
  <c r="F133" i="15"/>
  <c r="G133" i="15"/>
  <c r="H133" i="15"/>
  <c r="I133" i="15"/>
  <c r="K133" i="15"/>
  <c r="D127" i="15"/>
  <c r="E127" i="15"/>
  <c r="G127" i="15"/>
  <c r="H127" i="15"/>
  <c r="I127" i="15"/>
  <c r="K127" i="15"/>
  <c r="D123" i="15"/>
  <c r="E123" i="15"/>
  <c r="F123" i="15"/>
  <c r="G123" i="15"/>
  <c r="H123" i="15"/>
  <c r="I123" i="15"/>
  <c r="K123" i="15"/>
  <c r="D120" i="15"/>
  <c r="E120" i="15"/>
  <c r="F120" i="15"/>
  <c r="G120" i="15"/>
  <c r="H120" i="15"/>
  <c r="I120" i="15"/>
  <c r="K120" i="15"/>
  <c r="F85" i="15"/>
  <c r="F87" i="17" s="1"/>
  <c r="F87" i="15"/>
  <c r="F89" i="17" s="1"/>
  <c r="J84" i="15"/>
  <c r="L84" i="15" s="1"/>
  <c r="F83" i="15"/>
  <c r="F85" i="17" s="1"/>
  <c r="J86" i="15"/>
  <c r="L86" i="15" s="1"/>
  <c r="J90" i="15"/>
  <c r="L90" i="15" s="1"/>
  <c r="F197" i="17" l="1"/>
  <c r="F226" i="17" s="1"/>
  <c r="F230" i="17" s="1"/>
  <c r="L87" i="17"/>
  <c r="F123" i="17"/>
  <c r="F126" i="17"/>
  <c r="F129" i="17"/>
  <c r="F121" i="17"/>
  <c r="L85" i="17"/>
  <c r="L89" i="17"/>
  <c r="L126" i="17" s="1"/>
  <c r="F127" i="15"/>
  <c r="J121" i="16"/>
  <c r="J129" i="16"/>
  <c r="L31" i="16"/>
  <c r="L97" i="16"/>
  <c r="J97" i="16"/>
  <c r="J144" i="16" s="1"/>
  <c r="E139" i="15"/>
  <c r="E132" i="15"/>
  <c r="E122" i="15"/>
  <c r="E117" i="15"/>
  <c r="E138" i="15"/>
  <c r="E135" i="15"/>
  <c r="E121" i="15"/>
  <c r="E131" i="15"/>
  <c r="E140" i="15"/>
  <c r="E141" i="15"/>
  <c r="E129" i="15"/>
  <c r="E125" i="15"/>
  <c r="E95" i="15"/>
  <c r="E142" i="15" s="1"/>
  <c r="K141" i="15"/>
  <c r="I141" i="15"/>
  <c r="H141" i="15"/>
  <c r="G141" i="15"/>
  <c r="F141" i="15"/>
  <c r="D141" i="15"/>
  <c r="K140" i="15"/>
  <c r="I140" i="15"/>
  <c r="H140" i="15"/>
  <c r="G140" i="15"/>
  <c r="F140" i="15"/>
  <c r="D140" i="15"/>
  <c r="K139" i="15"/>
  <c r="I139" i="15"/>
  <c r="H139" i="15"/>
  <c r="G139" i="15"/>
  <c r="F139" i="15"/>
  <c r="D139" i="15"/>
  <c r="K138" i="15"/>
  <c r="I138" i="15"/>
  <c r="H138" i="15"/>
  <c r="G138" i="15"/>
  <c r="F138" i="15"/>
  <c r="D138" i="15"/>
  <c r="K137" i="15"/>
  <c r="I137" i="15"/>
  <c r="H137" i="15"/>
  <c r="G137" i="15"/>
  <c r="F137" i="15"/>
  <c r="D137" i="15"/>
  <c r="K135" i="15"/>
  <c r="I135" i="15"/>
  <c r="H135" i="15"/>
  <c r="G135" i="15"/>
  <c r="F135" i="15"/>
  <c r="D135" i="15"/>
  <c r="K134" i="15"/>
  <c r="I134" i="15"/>
  <c r="H134" i="15"/>
  <c r="G134" i="15"/>
  <c r="F134" i="15"/>
  <c r="D134" i="15"/>
  <c r="K132" i="15"/>
  <c r="I132" i="15"/>
  <c r="H132" i="15"/>
  <c r="G132" i="15"/>
  <c r="F132" i="15"/>
  <c r="D132" i="15"/>
  <c r="K131" i="15"/>
  <c r="I131" i="15"/>
  <c r="H131" i="15"/>
  <c r="G131" i="15"/>
  <c r="F131" i="15"/>
  <c r="D131" i="15"/>
  <c r="K130" i="15"/>
  <c r="I130" i="15"/>
  <c r="H130" i="15"/>
  <c r="G130" i="15"/>
  <c r="F130" i="15"/>
  <c r="D130" i="15"/>
  <c r="K129" i="15"/>
  <c r="I129" i="15"/>
  <c r="H129" i="15"/>
  <c r="G129" i="15"/>
  <c r="F129" i="15"/>
  <c r="D129" i="15"/>
  <c r="K128" i="15"/>
  <c r="I128" i="15"/>
  <c r="H128" i="15"/>
  <c r="G128" i="15"/>
  <c r="F128" i="15"/>
  <c r="E128" i="15"/>
  <c r="D128" i="15"/>
  <c r="K126" i="15"/>
  <c r="I126" i="15"/>
  <c r="H126" i="15"/>
  <c r="G126" i="15"/>
  <c r="F126" i="15"/>
  <c r="D126" i="15"/>
  <c r="K125" i="15"/>
  <c r="I125" i="15"/>
  <c r="H125" i="15"/>
  <c r="G125" i="15"/>
  <c r="F125" i="15"/>
  <c r="D125" i="15"/>
  <c r="K124" i="15"/>
  <c r="I124" i="15"/>
  <c r="H124" i="15"/>
  <c r="G124" i="15"/>
  <c r="F124" i="15"/>
  <c r="E124" i="15"/>
  <c r="D124" i="15"/>
  <c r="K122" i="15"/>
  <c r="I122" i="15"/>
  <c r="H122" i="15"/>
  <c r="G122" i="15"/>
  <c r="F122" i="15"/>
  <c r="D122" i="15"/>
  <c r="K121" i="15"/>
  <c r="I121" i="15"/>
  <c r="H121" i="15"/>
  <c r="G121" i="15"/>
  <c r="D121" i="15"/>
  <c r="K119" i="15"/>
  <c r="I119" i="15"/>
  <c r="H119" i="15"/>
  <c r="G119" i="15"/>
  <c r="F119" i="15"/>
  <c r="E119" i="15"/>
  <c r="D119" i="15"/>
  <c r="K118" i="15"/>
  <c r="I118" i="15"/>
  <c r="H118" i="15"/>
  <c r="G118" i="15"/>
  <c r="F118" i="15"/>
  <c r="E118" i="15"/>
  <c r="D118" i="15"/>
  <c r="K117" i="15"/>
  <c r="I117" i="15"/>
  <c r="H117" i="15"/>
  <c r="G117" i="15"/>
  <c r="F117" i="15"/>
  <c r="D117" i="15"/>
  <c r="K116" i="15"/>
  <c r="I116" i="15"/>
  <c r="H116" i="15"/>
  <c r="G116" i="15"/>
  <c r="F116" i="15"/>
  <c r="E116" i="15"/>
  <c r="D116" i="15"/>
  <c r="K115" i="15"/>
  <c r="I115" i="15"/>
  <c r="H115" i="15"/>
  <c r="G115" i="15"/>
  <c r="F115" i="15"/>
  <c r="E115" i="15"/>
  <c r="D115" i="15"/>
  <c r="K114" i="15"/>
  <c r="I114" i="15"/>
  <c r="H114" i="15"/>
  <c r="G114" i="15"/>
  <c r="F114" i="15"/>
  <c r="E114" i="15"/>
  <c r="D114" i="15"/>
  <c r="K113" i="15"/>
  <c r="I113" i="15"/>
  <c r="H113" i="15"/>
  <c r="G113" i="15"/>
  <c r="F113" i="15"/>
  <c r="E113" i="15"/>
  <c r="D113" i="15"/>
  <c r="K112" i="15"/>
  <c r="I112" i="15"/>
  <c r="H112" i="15"/>
  <c r="G112" i="15"/>
  <c r="F112" i="15"/>
  <c r="E112" i="15"/>
  <c r="D112" i="15"/>
  <c r="K110" i="15"/>
  <c r="I110" i="15"/>
  <c r="H110" i="15"/>
  <c r="G110" i="15"/>
  <c r="F110" i="15"/>
  <c r="E110" i="15"/>
  <c r="D110" i="15"/>
  <c r="K109" i="15"/>
  <c r="I109" i="15"/>
  <c r="H109" i="15"/>
  <c r="G109" i="15"/>
  <c r="F109" i="15"/>
  <c r="E109" i="15"/>
  <c r="D109" i="15"/>
  <c r="K106" i="15"/>
  <c r="I106" i="15"/>
  <c r="H106" i="15"/>
  <c r="G106" i="15"/>
  <c r="F106" i="15"/>
  <c r="E106" i="15"/>
  <c r="D106" i="15"/>
  <c r="K105" i="15"/>
  <c r="I105" i="15"/>
  <c r="H105" i="15"/>
  <c r="G105" i="15"/>
  <c r="F105" i="15"/>
  <c r="E105" i="15"/>
  <c r="D105" i="15"/>
  <c r="I104" i="15"/>
  <c r="H104" i="15"/>
  <c r="G104" i="15"/>
  <c r="F104" i="15"/>
  <c r="E104" i="15"/>
  <c r="D104" i="15"/>
  <c r="K103" i="15"/>
  <c r="I103" i="15"/>
  <c r="H103" i="15"/>
  <c r="G103" i="15"/>
  <c r="F103" i="15"/>
  <c r="E103" i="15"/>
  <c r="D103" i="15"/>
  <c r="K102" i="15"/>
  <c r="I102" i="15"/>
  <c r="H102" i="15"/>
  <c r="G102" i="15"/>
  <c r="F102" i="15"/>
  <c r="E102" i="15"/>
  <c r="D102" i="15"/>
  <c r="K95" i="15"/>
  <c r="K142" i="15" s="1"/>
  <c r="I95" i="15"/>
  <c r="I142" i="15" s="1"/>
  <c r="H95" i="15"/>
  <c r="H142" i="15" s="1"/>
  <c r="G95" i="15"/>
  <c r="G142" i="15" s="1"/>
  <c r="D95" i="15"/>
  <c r="D142" i="15" s="1"/>
  <c r="J94" i="15"/>
  <c r="L94" i="15" s="1"/>
  <c r="J93" i="15"/>
  <c r="L93" i="15" s="1"/>
  <c r="J92" i="15"/>
  <c r="L92" i="15" s="1"/>
  <c r="J91" i="15"/>
  <c r="L91" i="15" s="1"/>
  <c r="J89" i="15"/>
  <c r="L89" i="15" s="1"/>
  <c r="J88" i="15"/>
  <c r="L88" i="15" s="1"/>
  <c r="J87" i="15"/>
  <c r="L87" i="15" s="1"/>
  <c r="J85" i="15"/>
  <c r="L85" i="15" s="1"/>
  <c r="J83" i="15"/>
  <c r="L83" i="15" s="1"/>
  <c r="J82" i="15"/>
  <c r="L82" i="15" s="1"/>
  <c r="J81" i="15"/>
  <c r="L81" i="15" s="1"/>
  <c r="J80" i="15"/>
  <c r="L80" i="15" s="1"/>
  <c r="J79" i="15"/>
  <c r="J78" i="15"/>
  <c r="L78" i="15" s="1"/>
  <c r="J77" i="15"/>
  <c r="J76" i="15"/>
  <c r="L76" i="15" s="1"/>
  <c r="J75" i="15"/>
  <c r="L75" i="15" s="1"/>
  <c r="J74" i="15"/>
  <c r="L74" i="15" s="1"/>
  <c r="J73" i="15"/>
  <c r="L73" i="15" s="1"/>
  <c r="J72" i="15"/>
  <c r="J71" i="15"/>
  <c r="L71" i="15" s="1"/>
  <c r="J70" i="15"/>
  <c r="L70" i="15" s="1"/>
  <c r="J69" i="15"/>
  <c r="L69" i="15" s="1"/>
  <c r="J68" i="15"/>
  <c r="J67" i="15"/>
  <c r="J66" i="15"/>
  <c r="L66" i="15" s="1"/>
  <c r="J65" i="15"/>
  <c r="L65" i="15" s="1"/>
  <c r="J64" i="15"/>
  <c r="J63" i="15"/>
  <c r="J62" i="15"/>
  <c r="J61" i="15"/>
  <c r="L61" i="15" s="1"/>
  <c r="J60" i="15"/>
  <c r="L60" i="15" s="1"/>
  <c r="J59" i="15"/>
  <c r="L59" i="15" s="1"/>
  <c r="J58" i="15"/>
  <c r="L58" i="15" s="1"/>
  <c r="J57" i="15"/>
  <c r="L57" i="15" s="1"/>
  <c r="J56" i="15"/>
  <c r="J55" i="15"/>
  <c r="L55" i="15" s="1"/>
  <c r="J54" i="15"/>
  <c r="L54" i="15" s="1"/>
  <c r="J53" i="15"/>
  <c r="L53" i="15" s="1"/>
  <c r="J52" i="15"/>
  <c r="L52" i="15" s="1"/>
  <c r="J51" i="15"/>
  <c r="L51" i="15" s="1"/>
  <c r="J50" i="15"/>
  <c r="L50" i="15" s="1"/>
  <c r="J49" i="15"/>
  <c r="L49" i="15" s="1"/>
  <c r="J48" i="15"/>
  <c r="L48" i="15" s="1"/>
  <c r="J47" i="15"/>
  <c r="L47" i="15" s="1"/>
  <c r="J46" i="15"/>
  <c r="L46" i="15" s="1"/>
  <c r="J45" i="15"/>
  <c r="L45" i="15" s="1"/>
  <c r="J44" i="15"/>
  <c r="J43" i="15"/>
  <c r="L43" i="15" s="1"/>
  <c r="J42" i="15"/>
  <c r="J41" i="15"/>
  <c r="L41" i="15" s="1"/>
  <c r="J40" i="15"/>
  <c r="L40" i="15" s="1"/>
  <c r="J39" i="15"/>
  <c r="L39" i="15" s="1"/>
  <c r="J38" i="15"/>
  <c r="L38" i="15" s="1"/>
  <c r="J37" i="15"/>
  <c r="L37" i="15" s="1"/>
  <c r="J36" i="15"/>
  <c r="F95" i="15"/>
  <c r="J34" i="15"/>
  <c r="L34" i="15" s="1"/>
  <c r="J33" i="15"/>
  <c r="L33" i="15" s="1"/>
  <c r="J32" i="15"/>
  <c r="K31" i="15"/>
  <c r="K111" i="15" s="1"/>
  <c r="I31" i="15"/>
  <c r="I111" i="15" s="1"/>
  <c r="H31" i="15"/>
  <c r="H111" i="15" s="1"/>
  <c r="G31" i="15"/>
  <c r="G111" i="15" s="1"/>
  <c r="F31" i="15"/>
  <c r="F111" i="15" s="1"/>
  <c r="E31" i="15"/>
  <c r="E111" i="15" s="1"/>
  <c r="D31" i="15"/>
  <c r="D111" i="15" s="1"/>
  <c r="J30" i="15"/>
  <c r="L30" i="15" s="1"/>
  <c r="J29" i="15"/>
  <c r="L29" i="15" s="1"/>
  <c r="J28" i="15"/>
  <c r="L28" i="15" s="1"/>
  <c r="J26" i="15"/>
  <c r="L26" i="15" s="1"/>
  <c r="J25" i="15"/>
  <c r="L25" i="15" s="1"/>
  <c r="L24" i="15"/>
  <c r="L23" i="15"/>
  <c r="J22" i="15"/>
  <c r="L22" i="15" s="1"/>
  <c r="J21" i="15"/>
  <c r="L21" i="15" s="1"/>
  <c r="J20" i="15"/>
  <c r="L20" i="15" s="1"/>
  <c r="L18" i="15"/>
  <c r="J17" i="15"/>
  <c r="L17" i="15" s="1"/>
  <c r="J16" i="15"/>
  <c r="L16" i="15" s="1"/>
  <c r="J15" i="15"/>
  <c r="L15" i="15" s="1"/>
  <c r="J14" i="15"/>
  <c r="L14" i="15" s="1"/>
  <c r="J13" i="15"/>
  <c r="L13" i="15" s="1"/>
  <c r="J12" i="15"/>
  <c r="L12" i="15" s="1"/>
  <c r="J11" i="15"/>
  <c r="L11" i="15" s="1"/>
  <c r="J10" i="15"/>
  <c r="L10" i="15" s="1"/>
  <c r="J9" i="15"/>
  <c r="L9" i="15" s="1"/>
  <c r="L8" i="15"/>
  <c r="J105" i="15"/>
  <c r="J6" i="15"/>
  <c r="J108" i="15" s="1"/>
  <c r="N89" i="17" l="1"/>
  <c r="L129" i="17"/>
  <c r="F201" i="17"/>
  <c r="F142" i="15"/>
  <c r="F96" i="17"/>
  <c r="N87" i="17"/>
  <c r="L123" i="17"/>
  <c r="N85" i="17"/>
  <c r="L121" i="17"/>
  <c r="L19" i="15"/>
  <c r="J107" i="15"/>
  <c r="L77" i="15"/>
  <c r="J136" i="15"/>
  <c r="L56" i="15"/>
  <c r="J133" i="15"/>
  <c r="L72" i="15"/>
  <c r="L36" i="15"/>
  <c r="J123" i="15"/>
  <c r="J120" i="15"/>
  <c r="L68" i="15"/>
  <c r="J122" i="15"/>
  <c r="J114" i="15"/>
  <c r="J113" i="15"/>
  <c r="L63" i="15"/>
  <c r="J119" i="15"/>
  <c r="L67" i="15"/>
  <c r="L79" i="15"/>
  <c r="J139" i="15"/>
  <c r="J125" i="15"/>
  <c r="J128" i="15"/>
  <c r="J130" i="15"/>
  <c r="J132" i="15"/>
  <c r="J134" i="15"/>
  <c r="J138" i="15"/>
  <c r="L42" i="15"/>
  <c r="J141" i="15"/>
  <c r="L44" i="15"/>
  <c r="J140" i="15"/>
  <c r="J112" i="15"/>
  <c r="L62" i="15"/>
  <c r="J115" i="15"/>
  <c r="L64" i="15"/>
  <c r="J117" i="15"/>
  <c r="J124" i="15"/>
  <c r="J126" i="15"/>
  <c r="J129" i="15"/>
  <c r="J131" i="15"/>
  <c r="J135" i="15"/>
  <c r="J137" i="15"/>
  <c r="E126" i="15"/>
  <c r="E130" i="15"/>
  <c r="E134" i="15"/>
  <c r="E137" i="15"/>
  <c r="J31" i="15"/>
  <c r="J111" i="15" s="1"/>
  <c r="L6" i="15"/>
  <c r="L7" i="15"/>
  <c r="J103" i="15"/>
  <c r="J110" i="15"/>
  <c r="J106" i="15"/>
  <c r="J102" i="15"/>
  <c r="J109" i="15"/>
  <c r="J116" i="15"/>
  <c r="J118" i="15"/>
  <c r="F121" i="15"/>
  <c r="L32" i="15"/>
  <c r="J35" i="15"/>
  <c r="J127" i="15" s="1"/>
  <c r="F150" i="14"/>
  <c r="F140" i="17" l="1"/>
  <c r="F141" i="17"/>
  <c r="L96" i="17"/>
  <c r="F97" i="17"/>
  <c r="F144" i="17" s="1"/>
  <c r="L31" i="15"/>
  <c r="J121" i="15"/>
  <c r="L35" i="15"/>
  <c r="L95" i="15" s="1"/>
  <c r="J95" i="15"/>
  <c r="J142" i="15" s="1"/>
  <c r="F169" i="14"/>
  <c r="F193" i="14"/>
  <c r="F192" i="14"/>
  <c r="F191" i="14"/>
  <c r="F155" i="14"/>
  <c r="F178" i="14"/>
  <c r="F168" i="14"/>
  <c r="F166" i="14"/>
  <c r="F165" i="14"/>
  <c r="F163" i="14"/>
  <c r="F219" i="14" s="1"/>
  <c r="F153" i="14"/>
  <c r="L141" i="17" l="1"/>
  <c r="N96" i="17"/>
  <c r="N97" i="17" s="1"/>
  <c r="L140" i="17"/>
  <c r="L97" i="17"/>
  <c r="F206" i="14"/>
  <c r="F226" i="14"/>
  <c r="F220" i="14"/>
  <c r="F210" i="14"/>
  <c r="F209" i="14"/>
  <c r="F208" i="14"/>
  <c r="F204" i="14"/>
  <c r="F196" i="14"/>
  <c r="F225" i="14" s="1"/>
  <c r="F195" i="14"/>
  <c r="F224" i="14" s="1"/>
  <c r="F222" i="14"/>
  <c r="F221" i="14"/>
  <c r="F156" i="14"/>
  <c r="F212" i="14" s="1"/>
  <c r="F205" i="14"/>
  <c r="L144" i="17" l="1"/>
  <c r="D104" i="14"/>
  <c r="E104" i="14"/>
  <c r="G104" i="14"/>
  <c r="H104" i="14"/>
  <c r="I104" i="14"/>
  <c r="J104" i="14"/>
  <c r="H105" i="14" l="1"/>
  <c r="H106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98" i="14"/>
  <c r="H99" i="14"/>
  <c r="H100" i="14"/>
  <c r="H101" i="14"/>
  <c r="H102" i="14"/>
  <c r="H103" i="14"/>
  <c r="H91" i="14"/>
  <c r="H138" i="14" s="1"/>
  <c r="H30" i="14"/>
  <c r="H107" i="14" s="1"/>
  <c r="F83" i="14" l="1"/>
  <c r="G83" i="14"/>
  <c r="F167" i="14" s="1"/>
  <c r="F172" i="14" s="1"/>
  <c r="F36" i="14"/>
  <c r="F35" i="14"/>
  <c r="F34" i="14"/>
  <c r="G25" i="14"/>
  <c r="F151" i="14" s="1"/>
  <c r="F24" i="14"/>
  <c r="F23" i="14"/>
  <c r="E30" i="14"/>
  <c r="F183" i="14" l="1"/>
  <c r="F211" i="14" s="1"/>
  <c r="F104" i="14"/>
  <c r="F194" i="14"/>
  <c r="F223" i="14" s="1"/>
  <c r="F227" i="14" s="1"/>
  <c r="F184" i="14"/>
  <c r="F207" i="14"/>
  <c r="F157" i="14"/>
  <c r="L137" i="14"/>
  <c r="J137" i="14"/>
  <c r="I137" i="14"/>
  <c r="G137" i="14"/>
  <c r="F137" i="14"/>
  <c r="E137" i="14"/>
  <c r="D137" i="14"/>
  <c r="L136" i="14"/>
  <c r="J136" i="14"/>
  <c r="I136" i="14"/>
  <c r="G136" i="14"/>
  <c r="F136" i="14"/>
  <c r="E136" i="14"/>
  <c r="D136" i="14"/>
  <c r="L135" i="14"/>
  <c r="J135" i="14"/>
  <c r="I135" i="14"/>
  <c r="G135" i="14"/>
  <c r="F135" i="14"/>
  <c r="E135" i="14"/>
  <c r="D135" i="14"/>
  <c r="L134" i="14"/>
  <c r="J134" i="14"/>
  <c r="I134" i="14"/>
  <c r="G134" i="14"/>
  <c r="F134" i="14"/>
  <c r="E134" i="14"/>
  <c r="D134" i="14"/>
  <c r="L133" i="14"/>
  <c r="J133" i="14"/>
  <c r="I133" i="14"/>
  <c r="G133" i="14"/>
  <c r="F133" i="14"/>
  <c r="E133" i="14"/>
  <c r="D133" i="14"/>
  <c r="L132" i="14"/>
  <c r="J132" i="14"/>
  <c r="I132" i="14"/>
  <c r="G132" i="14"/>
  <c r="F132" i="14"/>
  <c r="E132" i="14"/>
  <c r="D132" i="14"/>
  <c r="L131" i="14"/>
  <c r="J131" i="14"/>
  <c r="I131" i="14"/>
  <c r="G131" i="14"/>
  <c r="F131" i="14"/>
  <c r="E131" i="14"/>
  <c r="D131" i="14"/>
  <c r="L130" i="14"/>
  <c r="J130" i="14"/>
  <c r="I130" i="14"/>
  <c r="G130" i="14"/>
  <c r="F130" i="14"/>
  <c r="E130" i="14"/>
  <c r="D130" i="14"/>
  <c r="L129" i="14"/>
  <c r="J129" i="14"/>
  <c r="I129" i="14"/>
  <c r="G129" i="14"/>
  <c r="F129" i="14"/>
  <c r="E129" i="14"/>
  <c r="D129" i="14"/>
  <c r="L128" i="14"/>
  <c r="J128" i="14"/>
  <c r="I128" i="14"/>
  <c r="G128" i="14"/>
  <c r="F128" i="14"/>
  <c r="E128" i="14"/>
  <c r="D128" i="14"/>
  <c r="L127" i="14"/>
  <c r="J127" i="14"/>
  <c r="I127" i="14"/>
  <c r="G127" i="14"/>
  <c r="F127" i="14"/>
  <c r="E127" i="14"/>
  <c r="D127" i="14"/>
  <c r="L126" i="14"/>
  <c r="J126" i="14"/>
  <c r="I126" i="14"/>
  <c r="G126" i="14"/>
  <c r="F126" i="14"/>
  <c r="E126" i="14"/>
  <c r="D126" i="14"/>
  <c r="L125" i="14"/>
  <c r="J125" i="14"/>
  <c r="I125" i="14"/>
  <c r="G125" i="14"/>
  <c r="F125" i="14"/>
  <c r="E125" i="14"/>
  <c r="D125" i="14"/>
  <c r="L124" i="14"/>
  <c r="J124" i="14"/>
  <c r="I124" i="14"/>
  <c r="G124" i="14"/>
  <c r="F124" i="14"/>
  <c r="E124" i="14"/>
  <c r="D124" i="14"/>
  <c r="L123" i="14"/>
  <c r="J123" i="14"/>
  <c r="I123" i="14"/>
  <c r="G123" i="14"/>
  <c r="E123" i="14"/>
  <c r="D123" i="14"/>
  <c r="L122" i="14"/>
  <c r="J122" i="14"/>
  <c r="I122" i="14"/>
  <c r="G122" i="14"/>
  <c r="F122" i="14"/>
  <c r="E122" i="14"/>
  <c r="D122" i="14"/>
  <c r="L121" i="14"/>
  <c r="J121" i="14"/>
  <c r="I121" i="14"/>
  <c r="G121" i="14"/>
  <c r="F121" i="14"/>
  <c r="E121" i="14"/>
  <c r="D121" i="14"/>
  <c r="L120" i="14"/>
  <c r="J120" i="14"/>
  <c r="I120" i="14"/>
  <c r="G120" i="14"/>
  <c r="F120" i="14"/>
  <c r="E120" i="14"/>
  <c r="D120" i="14"/>
  <c r="L119" i="14"/>
  <c r="J119" i="14"/>
  <c r="I119" i="14"/>
  <c r="G119" i="14"/>
  <c r="F119" i="14"/>
  <c r="E119" i="14"/>
  <c r="D119" i="14"/>
  <c r="L118" i="14"/>
  <c r="J118" i="14"/>
  <c r="I118" i="14"/>
  <c r="G118" i="14"/>
  <c r="F118" i="14"/>
  <c r="E118" i="14"/>
  <c r="D118" i="14"/>
  <c r="L117" i="14"/>
  <c r="J117" i="14"/>
  <c r="I117" i="14"/>
  <c r="G117" i="14"/>
  <c r="E117" i="14"/>
  <c r="D117" i="14"/>
  <c r="L116" i="14"/>
  <c r="J116" i="14"/>
  <c r="I116" i="14"/>
  <c r="G116" i="14"/>
  <c r="F116" i="14"/>
  <c r="E116" i="14"/>
  <c r="D116" i="14"/>
  <c r="L115" i="14"/>
  <c r="J115" i="14"/>
  <c r="I115" i="14"/>
  <c r="G115" i="14"/>
  <c r="F115" i="14"/>
  <c r="E115" i="14"/>
  <c r="D115" i="14"/>
  <c r="L114" i="14"/>
  <c r="J114" i="14"/>
  <c r="I114" i="14"/>
  <c r="G114" i="14"/>
  <c r="F114" i="14"/>
  <c r="E114" i="14"/>
  <c r="D114" i="14"/>
  <c r="L113" i="14"/>
  <c r="J113" i="14"/>
  <c r="I113" i="14"/>
  <c r="G113" i="14"/>
  <c r="F113" i="14"/>
  <c r="E113" i="14"/>
  <c r="D113" i="14"/>
  <c r="L112" i="14"/>
  <c r="J112" i="14"/>
  <c r="I112" i="14"/>
  <c r="G112" i="14"/>
  <c r="F112" i="14"/>
  <c r="E112" i="14"/>
  <c r="D112" i="14"/>
  <c r="L111" i="14"/>
  <c r="J111" i="14"/>
  <c r="I111" i="14"/>
  <c r="G111" i="14"/>
  <c r="F111" i="14"/>
  <c r="E111" i="14"/>
  <c r="D111" i="14"/>
  <c r="L110" i="14"/>
  <c r="J110" i="14"/>
  <c r="I110" i="14"/>
  <c r="G110" i="14"/>
  <c r="F110" i="14"/>
  <c r="E110" i="14"/>
  <c r="D110" i="14"/>
  <c r="L109" i="14"/>
  <c r="J109" i="14"/>
  <c r="I109" i="14"/>
  <c r="G109" i="14"/>
  <c r="F109" i="14"/>
  <c r="E109" i="14"/>
  <c r="D109" i="14"/>
  <c r="L108" i="14"/>
  <c r="J108" i="14"/>
  <c r="I108" i="14"/>
  <c r="G108" i="14"/>
  <c r="F108" i="14"/>
  <c r="E108" i="14"/>
  <c r="D108" i="14"/>
  <c r="L106" i="14"/>
  <c r="J106" i="14"/>
  <c r="I106" i="14"/>
  <c r="G106" i="14"/>
  <c r="F106" i="14"/>
  <c r="E106" i="14"/>
  <c r="D106" i="14"/>
  <c r="L105" i="14"/>
  <c r="J105" i="14"/>
  <c r="I105" i="14"/>
  <c r="G105" i="14"/>
  <c r="F105" i="14"/>
  <c r="E105" i="14"/>
  <c r="D105" i="14"/>
  <c r="L104" i="14"/>
  <c r="L103" i="14"/>
  <c r="J103" i="14"/>
  <c r="I103" i="14"/>
  <c r="G103" i="14"/>
  <c r="F103" i="14"/>
  <c r="E103" i="14"/>
  <c r="D103" i="14"/>
  <c r="L102" i="14"/>
  <c r="J102" i="14"/>
  <c r="I102" i="14"/>
  <c r="G102" i="14"/>
  <c r="F102" i="14"/>
  <c r="E102" i="14"/>
  <c r="D102" i="14"/>
  <c r="L101" i="14"/>
  <c r="J101" i="14"/>
  <c r="I101" i="14"/>
  <c r="G101" i="14"/>
  <c r="F101" i="14"/>
  <c r="E101" i="14"/>
  <c r="D101" i="14"/>
  <c r="J100" i="14"/>
  <c r="I100" i="14"/>
  <c r="G100" i="14"/>
  <c r="F100" i="14"/>
  <c r="E100" i="14"/>
  <c r="D100" i="14"/>
  <c r="L99" i="14"/>
  <c r="J99" i="14"/>
  <c r="I99" i="14"/>
  <c r="G99" i="14"/>
  <c r="F99" i="14"/>
  <c r="E99" i="14"/>
  <c r="D99" i="14"/>
  <c r="L98" i="14"/>
  <c r="J98" i="14"/>
  <c r="I98" i="14"/>
  <c r="G98" i="14"/>
  <c r="F98" i="14"/>
  <c r="E98" i="14"/>
  <c r="D98" i="14"/>
  <c r="L91" i="14"/>
  <c r="L138" i="14" s="1"/>
  <c r="J91" i="14"/>
  <c r="J138" i="14" s="1"/>
  <c r="I91" i="14"/>
  <c r="I138" i="14" s="1"/>
  <c r="G91" i="14"/>
  <c r="G138" i="14" s="1"/>
  <c r="E91" i="14"/>
  <c r="E138" i="14" s="1"/>
  <c r="D91" i="14"/>
  <c r="D138" i="14" s="1"/>
  <c r="K90" i="14"/>
  <c r="K89" i="14"/>
  <c r="K88" i="14"/>
  <c r="K87" i="14"/>
  <c r="K86" i="14"/>
  <c r="K85" i="14"/>
  <c r="M85" i="14" s="1"/>
  <c r="K84" i="14"/>
  <c r="M84" i="14" s="1"/>
  <c r="K83" i="14"/>
  <c r="M83" i="14" s="1"/>
  <c r="K82" i="14"/>
  <c r="K81" i="14"/>
  <c r="M81" i="14" s="1"/>
  <c r="K80" i="14"/>
  <c r="K79" i="14"/>
  <c r="K78" i="14"/>
  <c r="M78" i="14" s="1"/>
  <c r="K77" i="14"/>
  <c r="M77" i="14" s="1"/>
  <c r="K76" i="14"/>
  <c r="M76" i="14" s="1"/>
  <c r="K75" i="14"/>
  <c r="M75" i="14" s="1"/>
  <c r="K74" i="14"/>
  <c r="M74" i="14" s="1"/>
  <c r="K73" i="14"/>
  <c r="M73" i="14" s="1"/>
  <c r="K72" i="14"/>
  <c r="K124" i="14" s="1"/>
  <c r="K71" i="14"/>
  <c r="M71" i="14" s="1"/>
  <c r="K70" i="14"/>
  <c r="M70" i="14" s="1"/>
  <c r="K69" i="14"/>
  <c r="K118" i="14" s="1"/>
  <c r="K68" i="14"/>
  <c r="M68" i="14" s="1"/>
  <c r="K67" i="14"/>
  <c r="M67" i="14" s="1"/>
  <c r="K66" i="14"/>
  <c r="M66" i="14" s="1"/>
  <c r="K65" i="14"/>
  <c r="K113" i="14" s="1"/>
  <c r="K64" i="14"/>
  <c r="M64" i="14" s="1"/>
  <c r="K63" i="14"/>
  <c r="M63" i="14" s="1"/>
  <c r="K62" i="14"/>
  <c r="M62" i="14" s="1"/>
  <c r="K61" i="14"/>
  <c r="M61" i="14" s="1"/>
  <c r="K60" i="14"/>
  <c r="M60" i="14" s="1"/>
  <c r="K59" i="14"/>
  <c r="M59" i="14" s="1"/>
  <c r="K58" i="14"/>
  <c r="M58" i="14" s="1"/>
  <c r="K57" i="14"/>
  <c r="M57" i="14" s="1"/>
  <c r="K56" i="14"/>
  <c r="M56" i="14" s="1"/>
  <c r="K55" i="14"/>
  <c r="K54" i="14"/>
  <c r="M54" i="14" s="1"/>
  <c r="K53" i="14"/>
  <c r="M53" i="14" s="1"/>
  <c r="K52" i="14"/>
  <c r="M52" i="14" s="1"/>
  <c r="K51" i="14"/>
  <c r="M51" i="14" s="1"/>
  <c r="K50" i="14"/>
  <c r="M50" i="14" s="1"/>
  <c r="K49" i="14"/>
  <c r="M49" i="14" s="1"/>
  <c r="K48" i="14"/>
  <c r="M48" i="14" s="1"/>
  <c r="K47" i="14"/>
  <c r="M47" i="14" s="1"/>
  <c r="K46" i="14"/>
  <c r="M46" i="14" s="1"/>
  <c r="K45" i="14"/>
  <c r="M45" i="14" s="1"/>
  <c r="K44" i="14"/>
  <c r="M44" i="14" s="1"/>
  <c r="K43" i="14"/>
  <c r="K136" i="14" s="1"/>
  <c r="K42" i="14"/>
  <c r="M42" i="14" s="1"/>
  <c r="K41" i="14"/>
  <c r="M41" i="14" s="1"/>
  <c r="K40" i="14"/>
  <c r="K39" i="14"/>
  <c r="M39" i="14" s="1"/>
  <c r="K38" i="14"/>
  <c r="M38" i="14" s="1"/>
  <c r="K37" i="14"/>
  <c r="M37" i="14" s="1"/>
  <c r="K36" i="14"/>
  <c r="M36" i="14" s="1"/>
  <c r="K35" i="14"/>
  <c r="M35" i="14" s="1"/>
  <c r="F91" i="14"/>
  <c r="F138" i="14" s="1"/>
  <c r="K33" i="14"/>
  <c r="M33" i="14" s="1"/>
  <c r="K32" i="14"/>
  <c r="M32" i="14" s="1"/>
  <c r="K31" i="14"/>
  <c r="L30" i="14"/>
  <c r="L107" i="14" s="1"/>
  <c r="J30" i="14"/>
  <c r="J107" i="14" s="1"/>
  <c r="I30" i="14"/>
  <c r="I107" i="14" s="1"/>
  <c r="G30" i="14"/>
  <c r="G107" i="14" s="1"/>
  <c r="F30" i="14"/>
  <c r="F107" i="14" s="1"/>
  <c r="E107" i="14"/>
  <c r="D30" i="14"/>
  <c r="D107" i="14" s="1"/>
  <c r="K29" i="14"/>
  <c r="M29" i="14" s="1"/>
  <c r="K28" i="14"/>
  <c r="M28" i="14" s="1"/>
  <c r="K27" i="14"/>
  <c r="K26" i="14"/>
  <c r="M26" i="14" s="1"/>
  <c r="K25" i="14"/>
  <c r="M25" i="14" s="1"/>
  <c r="K24" i="14"/>
  <c r="K23" i="14"/>
  <c r="M23" i="14" s="1"/>
  <c r="K22" i="14"/>
  <c r="M22" i="14" s="1"/>
  <c r="K21" i="14"/>
  <c r="M21" i="14" s="1"/>
  <c r="K20" i="14"/>
  <c r="M20" i="14" s="1"/>
  <c r="K19" i="14"/>
  <c r="M19" i="14" s="1"/>
  <c r="K18" i="14"/>
  <c r="M18" i="14" s="1"/>
  <c r="K17" i="14"/>
  <c r="M17" i="14" s="1"/>
  <c r="K16" i="14"/>
  <c r="M16" i="14" s="1"/>
  <c r="K15" i="14"/>
  <c r="M15" i="14" s="1"/>
  <c r="K14" i="14"/>
  <c r="M14" i="14" s="1"/>
  <c r="K13" i="14"/>
  <c r="M13" i="14" s="1"/>
  <c r="K12" i="14"/>
  <c r="K11" i="14"/>
  <c r="M11" i="14" s="1"/>
  <c r="K10" i="14"/>
  <c r="K9" i="14"/>
  <c r="K8" i="14"/>
  <c r="K7" i="14"/>
  <c r="K101" i="14" s="1"/>
  <c r="K6" i="14"/>
  <c r="F198" i="14" l="1"/>
  <c r="F213" i="14"/>
  <c r="K126" i="14"/>
  <c r="K129" i="14"/>
  <c r="K130" i="14"/>
  <c r="K109" i="14"/>
  <c r="M43" i="14"/>
  <c r="M55" i="14"/>
  <c r="M65" i="14"/>
  <c r="M69" i="14"/>
  <c r="M72" i="14"/>
  <c r="K111" i="14"/>
  <c r="K115" i="14"/>
  <c r="M24" i="14"/>
  <c r="K104" i="14"/>
  <c r="K110" i="14"/>
  <c r="K131" i="14"/>
  <c r="K134" i="14"/>
  <c r="M27" i="14"/>
  <c r="K30" i="14"/>
  <c r="K107" i="14" s="1"/>
  <c r="K135" i="14"/>
  <c r="M90" i="14"/>
  <c r="M89" i="14"/>
  <c r="M88" i="14"/>
  <c r="K132" i="14"/>
  <c r="M87" i="14"/>
  <c r="M86" i="14"/>
  <c r="M80" i="14"/>
  <c r="K133" i="14"/>
  <c r="K128" i="14"/>
  <c r="M82" i="14"/>
  <c r="M79" i="14"/>
  <c r="K108" i="14"/>
  <c r="K137" i="14"/>
  <c r="M40" i="14"/>
  <c r="K119" i="14"/>
  <c r="K120" i="14"/>
  <c r="K121" i="14"/>
  <c r="K122" i="14"/>
  <c r="K125" i="14"/>
  <c r="K127" i="14"/>
  <c r="K102" i="14"/>
  <c r="K106" i="14"/>
  <c r="K99" i="14"/>
  <c r="M12" i="14"/>
  <c r="M6" i="14"/>
  <c r="M7" i="14"/>
  <c r="M8" i="14"/>
  <c r="M9" i="14"/>
  <c r="M10" i="14"/>
  <c r="K98" i="14"/>
  <c r="K103" i="14"/>
  <c r="K105" i="14"/>
  <c r="K112" i="14"/>
  <c r="K114" i="14"/>
  <c r="K116" i="14"/>
  <c r="F117" i="14"/>
  <c r="F123" i="14"/>
  <c r="M31" i="14"/>
  <c r="K34" i="14"/>
  <c r="J6" i="13"/>
  <c r="D123" i="13"/>
  <c r="E123" i="13"/>
  <c r="G123" i="13"/>
  <c r="H123" i="13"/>
  <c r="I123" i="13"/>
  <c r="K123" i="13"/>
  <c r="D122" i="13"/>
  <c r="E122" i="13"/>
  <c r="F122" i="13"/>
  <c r="G122" i="13"/>
  <c r="H122" i="13"/>
  <c r="I122" i="13"/>
  <c r="K122" i="13"/>
  <c r="G116" i="13"/>
  <c r="H116" i="13"/>
  <c r="I116" i="13"/>
  <c r="K116" i="13"/>
  <c r="F116" i="13"/>
  <c r="F34" i="13"/>
  <c r="F123" i="13" s="1"/>
  <c r="K120" i="13"/>
  <c r="K112" i="13"/>
  <c r="K98" i="13"/>
  <c r="K99" i="13"/>
  <c r="K101" i="13"/>
  <c r="K102" i="13"/>
  <c r="K103" i="13"/>
  <c r="J84" i="13"/>
  <c r="L84" i="13" s="1"/>
  <c r="J81" i="13"/>
  <c r="L81" i="13" s="1"/>
  <c r="J33" i="13"/>
  <c r="L33" i="13" s="1"/>
  <c r="J38" i="13"/>
  <c r="L38" i="13" s="1"/>
  <c r="M30" i="14" l="1"/>
  <c r="K123" i="14"/>
  <c r="K117" i="14"/>
  <c r="M34" i="14"/>
  <c r="M91" i="14" s="1"/>
  <c r="K91" i="14"/>
  <c r="K138" i="14" s="1"/>
  <c r="J7" i="13"/>
  <c r="J8" i="13"/>
  <c r="L8" i="13" s="1"/>
  <c r="J9" i="13"/>
  <c r="L9" i="13" s="1"/>
  <c r="J10" i="13"/>
  <c r="L10" i="13" s="1"/>
  <c r="J11" i="13"/>
  <c r="L11" i="13" s="1"/>
  <c r="J12" i="13"/>
  <c r="L12" i="13" s="1"/>
  <c r="J13" i="13"/>
  <c r="L13" i="13" s="1"/>
  <c r="J14" i="13"/>
  <c r="L14" i="13" s="1"/>
  <c r="J15" i="13"/>
  <c r="J16" i="13"/>
  <c r="L16" i="13" s="1"/>
  <c r="J17" i="13"/>
  <c r="L17" i="13" s="1"/>
  <c r="J18" i="13"/>
  <c r="L18" i="13" s="1"/>
  <c r="J19" i="13"/>
  <c r="J20" i="13"/>
  <c r="L20" i="13" s="1"/>
  <c r="J21" i="13"/>
  <c r="L21" i="13" s="1"/>
  <c r="J22" i="13"/>
  <c r="L22" i="13" s="1"/>
  <c r="J23" i="13"/>
  <c r="J24" i="13"/>
  <c r="L24" i="13" s="1"/>
  <c r="J25" i="13"/>
  <c r="L25" i="13" s="1"/>
  <c r="J26" i="13"/>
  <c r="L26" i="13" s="1"/>
  <c r="J27" i="13"/>
  <c r="J28" i="13"/>
  <c r="L28" i="13" s="1"/>
  <c r="J29" i="13"/>
  <c r="L29" i="13" s="1"/>
  <c r="K137" i="13"/>
  <c r="I137" i="13"/>
  <c r="H137" i="13"/>
  <c r="G137" i="13"/>
  <c r="F137" i="13"/>
  <c r="E137" i="13"/>
  <c r="D137" i="13"/>
  <c r="K136" i="13"/>
  <c r="I136" i="13"/>
  <c r="H136" i="13"/>
  <c r="G136" i="13"/>
  <c r="F136" i="13"/>
  <c r="E136" i="13"/>
  <c r="D136" i="13"/>
  <c r="K135" i="13"/>
  <c r="I135" i="13"/>
  <c r="H135" i="13"/>
  <c r="G135" i="13"/>
  <c r="F135" i="13"/>
  <c r="E135" i="13"/>
  <c r="D135" i="13"/>
  <c r="K134" i="13"/>
  <c r="I134" i="13"/>
  <c r="H134" i="13"/>
  <c r="G134" i="13"/>
  <c r="F134" i="13"/>
  <c r="E134" i="13"/>
  <c r="D134" i="13"/>
  <c r="K133" i="13"/>
  <c r="I133" i="13"/>
  <c r="H133" i="13"/>
  <c r="G133" i="13"/>
  <c r="F133" i="13"/>
  <c r="E133" i="13"/>
  <c r="D133" i="13"/>
  <c r="K132" i="13"/>
  <c r="I132" i="13"/>
  <c r="H132" i="13"/>
  <c r="G132" i="13"/>
  <c r="F132" i="13"/>
  <c r="E132" i="13"/>
  <c r="D132" i="13"/>
  <c r="K131" i="13"/>
  <c r="I131" i="13"/>
  <c r="H131" i="13"/>
  <c r="G131" i="13"/>
  <c r="F131" i="13"/>
  <c r="E131" i="13"/>
  <c r="D131" i="13"/>
  <c r="K130" i="13"/>
  <c r="I130" i="13"/>
  <c r="H130" i="13"/>
  <c r="G130" i="13"/>
  <c r="F130" i="13"/>
  <c r="E130" i="13"/>
  <c r="D130" i="13"/>
  <c r="K129" i="13"/>
  <c r="I129" i="13"/>
  <c r="H129" i="13"/>
  <c r="G129" i="13"/>
  <c r="F129" i="13"/>
  <c r="E129" i="13"/>
  <c r="D129" i="13"/>
  <c r="K128" i="13"/>
  <c r="I128" i="13"/>
  <c r="H128" i="13"/>
  <c r="G128" i="13"/>
  <c r="F128" i="13"/>
  <c r="E128" i="13"/>
  <c r="D128" i="13"/>
  <c r="K127" i="13"/>
  <c r="I127" i="13"/>
  <c r="H127" i="13"/>
  <c r="G127" i="13"/>
  <c r="F127" i="13"/>
  <c r="E127" i="13"/>
  <c r="D127" i="13"/>
  <c r="K126" i="13"/>
  <c r="I126" i="13"/>
  <c r="H126" i="13"/>
  <c r="G126" i="13"/>
  <c r="F126" i="13"/>
  <c r="E126" i="13"/>
  <c r="D126" i="13"/>
  <c r="K125" i="13"/>
  <c r="I125" i="13"/>
  <c r="H125" i="13"/>
  <c r="G125" i="13"/>
  <c r="F125" i="13"/>
  <c r="E125" i="13"/>
  <c r="D125" i="13"/>
  <c r="K124" i="13"/>
  <c r="I124" i="13"/>
  <c r="H124" i="13"/>
  <c r="G124" i="13"/>
  <c r="F124" i="13"/>
  <c r="E124" i="13"/>
  <c r="D124" i="13"/>
  <c r="K121" i="13"/>
  <c r="I121" i="13"/>
  <c r="H121" i="13"/>
  <c r="G121" i="13"/>
  <c r="F121" i="13"/>
  <c r="E121" i="13"/>
  <c r="D121" i="13"/>
  <c r="I120" i="13"/>
  <c r="H120" i="13"/>
  <c r="G120" i="13"/>
  <c r="F120" i="13"/>
  <c r="E120" i="13"/>
  <c r="D120" i="13"/>
  <c r="K119" i="13"/>
  <c r="I119" i="13"/>
  <c r="H119" i="13"/>
  <c r="G119" i="13"/>
  <c r="F119" i="13"/>
  <c r="E119" i="13"/>
  <c r="D119" i="13"/>
  <c r="K118" i="13"/>
  <c r="I118" i="13"/>
  <c r="H118" i="13"/>
  <c r="G118" i="13"/>
  <c r="F118" i="13"/>
  <c r="E118" i="13"/>
  <c r="D118" i="13"/>
  <c r="K117" i="13"/>
  <c r="I117" i="13"/>
  <c r="H117" i="13"/>
  <c r="G117" i="13"/>
  <c r="E117" i="13"/>
  <c r="D117" i="13"/>
  <c r="E116" i="13"/>
  <c r="D116" i="13"/>
  <c r="K115" i="13"/>
  <c r="I115" i="13"/>
  <c r="H115" i="13"/>
  <c r="G115" i="13"/>
  <c r="F115" i="13"/>
  <c r="E115" i="13"/>
  <c r="D115" i="13"/>
  <c r="K114" i="13"/>
  <c r="I114" i="13"/>
  <c r="H114" i="13"/>
  <c r="G114" i="13"/>
  <c r="F114" i="13"/>
  <c r="E114" i="13"/>
  <c r="D114" i="13"/>
  <c r="K113" i="13"/>
  <c r="I113" i="13"/>
  <c r="H113" i="13"/>
  <c r="G113" i="13"/>
  <c r="F113" i="13"/>
  <c r="E113" i="13"/>
  <c r="D113" i="13"/>
  <c r="I112" i="13"/>
  <c r="H112" i="13"/>
  <c r="G112" i="13"/>
  <c r="F112" i="13"/>
  <c r="E112" i="13"/>
  <c r="D112" i="13"/>
  <c r="K111" i="13"/>
  <c r="I111" i="13"/>
  <c r="H111" i="13"/>
  <c r="G111" i="13"/>
  <c r="F111" i="13"/>
  <c r="E111" i="13"/>
  <c r="D111" i="13"/>
  <c r="K110" i="13"/>
  <c r="I110" i="13"/>
  <c r="H110" i="13"/>
  <c r="G110" i="13"/>
  <c r="F110" i="13"/>
  <c r="E110" i="13"/>
  <c r="D110" i="13"/>
  <c r="K109" i="13"/>
  <c r="I109" i="13"/>
  <c r="H109" i="13"/>
  <c r="G109" i="13"/>
  <c r="F109" i="13"/>
  <c r="E109" i="13"/>
  <c r="D109" i="13"/>
  <c r="K108" i="13"/>
  <c r="I108" i="13"/>
  <c r="H108" i="13"/>
  <c r="G108" i="13"/>
  <c r="F108" i="13"/>
  <c r="E108" i="13"/>
  <c r="D108" i="13"/>
  <c r="K106" i="13"/>
  <c r="I106" i="13"/>
  <c r="H106" i="13"/>
  <c r="G106" i="13"/>
  <c r="F106" i="13"/>
  <c r="E106" i="13"/>
  <c r="D106" i="13"/>
  <c r="K105" i="13"/>
  <c r="I105" i="13"/>
  <c r="H105" i="13"/>
  <c r="G105" i="13"/>
  <c r="F105" i="13"/>
  <c r="E105" i="13"/>
  <c r="D105" i="13"/>
  <c r="K104" i="13"/>
  <c r="I104" i="13"/>
  <c r="H104" i="13"/>
  <c r="G104" i="13"/>
  <c r="E104" i="13"/>
  <c r="D104" i="13"/>
  <c r="I103" i="13"/>
  <c r="H103" i="13"/>
  <c r="G103" i="13"/>
  <c r="F103" i="13"/>
  <c r="E103" i="13"/>
  <c r="D103" i="13"/>
  <c r="I102" i="13"/>
  <c r="H102" i="13"/>
  <c r="G102" i="13"/>
  <c r="F102" i="13"/>
  <c r="E102" i="13"/>
  <c r="D102" i="13"/>
  <c r="I101" i="13"/>
  <c r="H101" i="13"/>
  <c r="G101" i="13"/>
  <c r="F101" i="13"/>
  <c r="E101" i="13"/>
  <c r="D101" i="13"/>
  <c r="I100" i="13"/>
  <c r="H100" i="13"/>
  <c r="G100" i="13"/>
  <c r="F100" i="13"/>
  <c r="E100" i="13"/>
  <c r="D100" i="13"/>
  <c r="I99" i="13"/>
  <c r="H99" i="13"/>
  <c r="G99" i="13"/>
  <c r="F99" i="13"/>
  <c r="E99" i="13"/>
  <c r="D99" i="13"/>
  <c r="I98" i="13"/>
  <c r="H98" i="13"/>
  <c r="G98" i="13"/>
  <c r="E98" i="13"/>
  <c r="D98" i="13"/>
  <c r="K91" i="13"/>
  <c r="K138" i="13" s="1"/>
  <c r="I91" i="13"/>
  <c r="I138" i="13" s="1"/>
  <c r="H91" i="13"/>
  <c r="H138" i="13" s="1"/>
  <c r="G91" i="13"/>
  <c r="G138" i="13" s="1"/>
  <c r="E91" i="13"/>
  <c r="E138" i="13" s="1"/>
  <c r="D91" i="13"/>
  <c r="D138" i="13" s="1"/>
  <c r="J90" i="13"/>
  <c r="L90" i="13" s="1"/>
  <c r="J89" i="13"/>
  <c r="L89" i="13" s="1"/>
  <c r="J88" i="13"/>
  <c r="L88" i="13" s="1"/>
  <c r="J87" i="13"/>
  <c r="L87" i="13" s="1"/>
  <c r="J86" i="13"/>
  <c r="L86" i="13" s="1"/>
  <c r="J85" i="13"/>
  <c r="L85" i="13" s="1"/>
  <c r="J83" i="13"/>
  <c r="L83" i="13" s="1"/>
  <c r="J82" i="13"/>
  <c r="L82" i="13" s="1"/>
  <c r="J80" i="13"/>
  <c r="L80" i="13" s="1"/>
  <c r="J79" i="13"/>
  <c r="L79" i="13" s="1"/>
  <c r="J78" i="13"/>
  <c r="L78" i="13" s="1"/>
  <c r="J77" i="13"/>
  <c r="L77" i="13" s="1"/>
  <c r="J76" i="13"/>
  <c r="L76" i="13" s="1"/>
  <c r="J75" i="13"/>
  <c r="L75" i="13" s="1"/>
  <c r="J74" i="13"/>
  <c r="L74" i="13" s="1"/>
  <c r="J73" i="13"/>
  <c r="L73" i="13" s="1"/>
  <c r="J72" i="13"/>
  <c r="J124" i="13" s="1"/>
  <c r="J71" i="13"/>
  <c r="J70" i="13"/>
  <c r="L70" i="13" s="1"/>
  <c r="J69" i="13"/>
  <c r="J118" i="13" s="1"/>
  <c r="J68" i="13"/>
  <c r="L68" i="13" s="1"/>
  <c r="J67" i="13"/>
  <c r="J66" i="13"/>
  <c r="J65" i="13"/>
  <c r="J113" i="13" s="1"/>
  <c r="J64" i="13"/>
  <c r="L64" i="13" s="1"/>
  <c r="J63" i="13"/>
  <c r="L63" i="13" s="1"/>
  <c r="J62" i="13"/>
  <c r="L62" i="13" s="1"/>
  <c r="J61" i="13"/>
  <c r="L61" i="13" s="1"/>
  <c r="J60" i="13"/>
  <c r="L60" i="13" s="1"/>
  <c r="J59" i="13"/>
  <c r="L59" i="13" s="1"/>
  <c r="J58" i="13"/>
  <c r="L58" i="13" s="1"/>
  <c r="J57" i="13"/>
  <c r="L57" i="13" s="1"/>
  <c r="J56" i="13"/>
  <c r="L56" i="13" s="1"/>
  <c r="J55" i="13"/>
  <c r="J54" i="13"/>
  <c r="L54" i="13" s="1"/>
  <c r="J53" i="13"/>
  <c r="L53" i="13" s="1"/>
  <c r="J52" i="13"/>
  <c r="L52" i="13" s="1"/>
  <c r="J51" i="13"/>
  <c r="L51" i="13" s="1"/>
  <c r="J50" i="13"/>
  <c r="L50" i="13" s="1"/>
  <c r="J49" i="13"/>
  <c r="L49" i="13" s="1"/>
  <c r="J48" i="13"/>
  <c r="L48" i="13" s="1"/>
  <c r="J45" i="13"/>
  <c r="L45" i="13" s="1"/>
  <c r="J44" i="13"/>
  <c r="L44" i="13" s="1"/>
  <c r="J43" i="13"/>
  <c r="J136" i="13" s="1"/>
  <c r="J42" i="13"/>
  <c r="L42" i="13" s="1"/>
  <c r="J47" i="13"/>
  <c r="L47" i="13" s="1"/>
  <c r="J46" i="13"/>
  <c r="L46" i="13" s="1"/>
  <c r="J41" i="13"/>
  <c r="J137" i="13" s="1"/>
  <c r="J40" i="13"/>
  <c r="L40" i="13" s="1"/>
  <c r="J39" i="13"/>
  <c r="L39" i="13" s="1"/>
  <c r="J37" i="13"/>
  <c r="J121" i="13" s="1"/>
  <c r="J36" i="13"/>
  <c r="J35" i="13"/>
  <c r="J119" i="13" s="1"/>
  <c r="F91" i="13"/>
  <c r="F138" i="13" s="1"/>
  <c r="J32" i="13"/>
  <c r="L32" i="13" s="1"/>
  <c r="J31" i="13"/>
  <c r="K30" i="13"/>
  <c r="K107" i="13" s="1"/>
  <c r="I30" i="13"/>
  <c r="I107" i="13" s="1"/>
  <c r="H30" i="13"/>
  <c r="H107" i="13" s="1"/>
  <c r="G30" i="13"/>
  <c r="G107" i="13" s="1"/>
  <c r="E30" i="13"/>
  <c r="E107" i="13" s="1"/>
  <c r="D30" i="13"/>
  <c r="D107" i="13" s="1"/>
  <c r="L23" i="13"/>
  <c r="L15" i="13"/>
  <c r="F30" i="13"/>
  <c r="F107" i="13" s="1"/>
  <c r="L6" i="13"/>
  <c r="J103" i="13" l="1"/>
  <c r="L19" i="13"/>
  <c r="J112" i="13"/>
  <c r="L67" i="13"/>
  <c r="J116" i="13"/>
  <c r="L71" i="13"/>
  <c r="J122" i="13"/>
  <c r="L36" i="13"/>
  <c r="J120" i="13"/>
  <c r="J115" i="13"/>
  <c r="J129" i="13"/>
  <c r="L35" i="13"/>
  <c r="L37" i="13"/>
  <c r="L41" i="13"/>
  <c r="L43" i="13"/>
  <c r="L55" i="13"/>
  <c r="L65" i="13"/>
  <c r="L66" i="13"/>
  <c r="L69" i="13"/>
  <c r="L72" i="13"/>
  <c r="J125" i="13"/>
  <c r="J127" i="13"/>
  <c r="J108" i="13"/>
  <c r="J110" i="13"/>
  <c r="J111" i="13"/>
  <c r="J128" i="13"/>
  <c r="J130" i="13"/>
  <c r="J132" i="13"/>
  <c r="J133" i="13"/>
  <c r="J135" i="13"/>
  <c r="J109" i="13"/>
  <c r="J126" i="13"/>
  <c r="J131" i="13"/>
  <c r="J134" i="13"/>
  <c r="J30" i="13"/>
  <c r="J107" i="13" s="1"/>
  <c r="L7" i="13"/>
  <c r="J101" i="13"/>
  <c r="J104" i="13"/>
  <c r="J98" i="13"/>
  <c r="L27" i="13"/>
  <c r="L30" i="13" s="1"/>
  <c r="F98" i="13"/>
  <c r="J99" i="13"/>
  <c r="J102" i="13"/>
  <c r="F104" i="13"/>
  <c r="J105" i="13"/>
  <c r="J106" i="13"/>
  <c r="J114" i="13"/>
  <c r="F117" i="13"/>
  <c r="L31" i="13"/>
  <c r="J34" i="13"/>
  <c r="J123" i="13" s="1"/>
  <c r="K121" i="12"/>
  <c r="K100" i="12"/>
  <c r="J117" i="13" l="1"/>
  <c r="L34" i="13"/>
  <c r="L91" i="13" s="1"/>
  <c r="J91" i="13"/>
  <c r="J138" i="13" s="1"/>
  <c r="G119" i="12"/>
  <c r="H119" i="12"/>
  <c r="I119" i="12"/>
  <c r="K119" i="12"/>
  <c r="E119" i="12"/>
  <c r="K118" i="12"/>
  <c r="F118" i="12"/>
  <c r="G118" i="12"/>
  <c r="H118" i="12"/>
  <c r="I118" i="12"/>
  <c r="K113" i="12"/>
  <c r="E113" i="12"/>
  <c r="G113" i="12"/>
  <c r="H113" i="12"/>
  <c r="I113" i="12"/>
  <c r="D113" i="12"/>
  <c r="F111" i="12"/>
  <c r="G111" i="12"/>
  <c r="H111" i="12"/>
  <c r="I111" i="12"/>
  <c r="K111" i="12"/>
  <c r="E112" i="12"/>
  <c r="E111" i="12"/>
  <c r="E108" i="12"/>
  <c r="F107" i="12"/>
  <c r="G107" i="12"/>
  <c r="H107" i="12"/>
  <c r="I107" i="12"/>
  <c r="K107" i="12"/>
  <c r="E107" i="12"/>
  <c r="F106" i="12"/>
  <c r="G106" i="12"/>
  <c r="H106" i="12"/>
  <c r="I106" i="12"/>
  <c r="K106" i="12"/>
  <c r="E106" i="12"/>
  <c r="E105" i="12"/>
  <c r="F105" i="12"/>
  <c r="G105" i="12"/>
  <c r="H105" i="12"/>
  <c r="I105" i="12"/>
  <c r="K105" i="12"/>
  <c r="F104" i="12"/>
  <c r="G104" i="12"/>
  <c r="H104" i="12"/>
  <c r="I104" i="12"/>
  <c r="K104" i="12"/>
  <c r="E104" i="12"/>
  <c r="F95" i="12"/>
  <c r="G95" i="12"/>
  <c r="H95" i="12"/>
  <c r="I95" i="12"/>
  <c r="K95" i="12"/>
  <c r="E95" i="12"/>
  <c r="E118" i="12" l="1"/>
  <c r="D118" i="12"/>
  <c r="J81" i="12"/>
  <c r="L81" i="12" s="1"/>
  <c r="F33" i="12"/>
  <c r="F119" i="12" l="1"/>
  <c r="F113" i="12"/>
  <c r="E129" i="12"/>
  <c r="F129" i="12"/>
  <c r="G129" i="12"/>
  <c r="H129" i="12"/>
  <c r="I129" i="12"/>
  <c r="K129" i="12"/>
  <c r="E130" i="12"/>
  <c r="F130" i="12"/>
  <c r="G130" i="12"/>
  <c r="H130" i="12"/>
  <c r="I130" i="12"/>
  <c r="K130" i="12"/>
  <c r="E131" i="12"/>
  <c r="F131" i="12"/>
  <c r="G131" i="12"/>
  <c r="H131" i="12"/>
  <c r="I131" i="12"/>
  <c r="K131" i="12"/>
  <c r="D131" i="12"/>
  <c r="D130" i="12"/>
  <c r="D129" i="12"/>
  <c r="E128" i="12"/>
  <c r="F128" i="12"/>
  <c r="G128" i="12"/>
  <c r="H128" i="12"/>
  <c r="I128" i="12"/>
  <c r="K128" i="12"/>
  <c r="D128" i="12"/>
  <c r="E127" i="12"/>
  <c r="F127" i="12"/>
  <c r="G127" i="12"/>
  <c r="H127" i="12"/>
  <c r="I127" i="12"/>
  <c r="K127" i="12"/>
  <c r="E126" i="12"/>
  <c r="F126" i="12"/>
  <c r="G126" i="12"/>
  <c r="H126" i="12"/>
  <c r="I126" i="12"/>
  <c r="K126" i="12"/>
  <c r="E124" i="12"/>
  <c r="F124" i="12"/>
  <c r="G124" i="12"/>
  <c r="H124" i="12"/>
  <c r="I124" i="12"/>
  <c r="K124" i="12"/>
  <c r="D127" i="12"/>
  <c r="D126" i="12"/>
  <c r="D124" i="12"/>
  <c r="D111" i="12"/>
  <c r="D107" i="12"/>
  <c r="D106" i="12"/>
  <c r="D104" i="12"/>
  <c r="F27" i="12" l="1"/>
  <c r="F9" i="12"/>
  <c r="E87" i="12"/>
  <c r="F87" i="12"/>
  <c r="G87" i="12"/>
  <c r="H87" i="12"/>
  <c r="I87" i="12"/>
  <c r="K87" i="12"/>
  <c r="D87" i="12"/>
  <c r="D119" i="12"/>
  <c r="J78" i="12"/>
  <c r="L78" i="12" s="1"/>
  <c r="J79" i="12"/>
  <c r="L79" i="12" s="1"/>
  <c r="J80" i="12"/>
  <c r="L80" i="12" s="1"/>
  <c r="J82" i="12"/>
  <c r="L82" i="12" s="1"/>
  <c r="J83" i="12"/>
  <c r="L83" i="12" s="1"/>
  <c r="J84" i="12"/>
  <c r="L84" i="12" s="1"/>
  <c r="J85" i="12"/>
  <c r="L85" i="12" s="1"/>
  <c r="J86" i="12"/>
  <c r="L86" i="12" s="1"/>
  <c r="E96" i="12"/>
  <c r="F96" i="12"/>
  <c r="G96" i="12"/>
  <c r="H96" i="12"/>
  <c r="I96" i="12"/>
  <c r="J96" i="12"/>
  <c r="K96" i="12"/>
  <c r="D95" i="12"/>
  <c r="J26" i="12" l="1"/>
  <c r="L26" i="12" s="1"/>
  <c r="F134" i="12" l="1"/>
  <c r="H134" i="12"/>
  <c r="I134" i="12"/>
  <c r="D134" i="12"/>
  <c r="E100" i="12"/>
  <c r="F100" i="12"/>
  <c r="G100" i="12"/>
  <c r="H100" i="12"/>
  <c r="I100" i="12"/>
  <c r="D100" i="12"/>
  <c r="J28" i="12"/>
  <c r="L28" i="12" s="1"/>
  <c r="J25" i="12"/>
  <c r="L25" i="12" s="1"/>
  <c r="J23" i="12"/>
  <c r="L23" i="12" s="1"/>
  <c r="E99" i="12"/>
  <c r="E101" i="12"/>
  <c r="J15" i="12"/>
  <c r="L15" i="12" s="1"/>
  <c r="J12" i="12"/>
  <c r="L12" i="12" s="1"/>
  <c r="J14" i="12"/>
  <c r="L14" i="12" s="1"/>
  <c r="J9" i="12"/>
  <c r="L9" i="12" s="1"/>
  <c r="E97" i="12"/>
  <c r="K133" i="12"/>
  <c r="I133" i="12"/>
  <c r="H133" i="12"/>
  <c r="G133" i="12"/>
  <c r="F133" i="12"/>
  <c r="E133" i="12"/>
  <c r="D133" i="12"/>
  <c r="K132" i="12"/>
  <c r="I132" i="12"/>
  <c r="H132" i="12"/>
  <c r="G132" i="12"/>
  <c r="F132" i="12"/>
  <c r="E132" i="12"/>
  <c r="D132" i="12"/>
  <c r="K125" i="12"/>
  <c r="I125" i="12"/>
  <c r="H125" i="12"/>
  <c r="G125" i="12"/>
  <c r="F125" i="12"/>
  <c r="E125" i="12"/>
  <c r="D125" i="12"/>
  <c r="K123" i="12"/>
  <c r="I123" i="12"/>
  <c r="H123" i="12"/>
  <c r="G123" i="12"/>
  <c r="F123" i="12"/>
  <c r="E123" i="12"/>
  <c r="D123" i="12"/>
  <c r="K122" i="12"/>
  <c r="I122" i="12"/>
  <c r="H122" i="12"/>
  <c r="G122" i="12"/>
  <c r="F122" i="12"/>
  <c r="E122" i="12"/>
  <c r="D122" i="12"/>
  <c r="I121" i="12"/>
  <c r="H121" i="12"/>
  <c r="G121" i="12"/>
  <c r="F121" i="12"/>
  <c r="E121" i="12"/>
  <c r="D121" i="12"/>
  <c r="K120" i="12"/>
  <c r="I120" i="12"/>
  <c r="H120" i="12"/>
  <c r="G120" i="12"/>
  <c r="F120" i="12"/>
  <c r="E120" i="12"/>
  <c r="D120" i="12"/>
  <c r="K117" i="12"/>
  <c r="I117" i="12"/>
  <c r="H117" i="12"/>
  <c r="G117" i="12"/>
  <c r="F117" i="12"/>
  <c r="E117" i="12"/>
  <c r="D117" i="12"/>
  <c r="K116" i="12"/>
  <c r="I116" i="12"/>
  <c r="H116" i="12"/>
  <c r="G116" i="12"/>
  <c r="F116" i="12"/>
  <c r="E116" i="12"/>
  <c r="D116" i="12"/>
  <c r="K115" i="12"/>
  <c r="I115" i="12"/>
  <c r="H115" i="12"/>
  <c r="G115" i="12"/>
  <c r="F115" i="12"/>
  <c r="E115" i="12"/>
  <c r="D115" i="12"/>
  <c r="K114" i="12"/>
  <c r="I114" i="12"/>
  <c r="H114" i="12"/>
  <c r="G114" i="12"/>
  <c r="F114" i="12"/>
  <c r="E114" i="12"/>
  <c r="D114" i="12"/>
  <c r="K112" i="12"/>
  <c r="I112" i="12"/>
  <c r="H112" i="12"/>
  <c r="G112" i="12"/>
  <c r="F112" i="12"/>
  <c r="D112" i="12"/>
  <c r="K110" i="12"/>
  <c r="I110" i="12"/>
  <c r="H110" i="12"/>
  <c r="G110" i="12"/>
  <c r="F110" i="12"/>
  <c r="E110" i="12"/>
  <c r="D110" i="12"/>
  <c r="K109" i="12"/>
  <c r="I109" i="12"/>
  <c r="H109" i="12"/>
  <c r="G109" i="12"/>
  <c r="F109" i="12"/>
  <c r="E109" i="12"/>
  <c r="D109" i="12"/>
  <c r="K108" i="12"/>
  <c r="I108" i="12"/>
  <c r="H108" i="12"/>
  <c r="G108" i="12"/>
  <c r="F108" i="12"/>
  <c r="D108" i="12"/>
  <c r="D105" i="12"/>
  <c r="K102" i="12"/>
  <c r="I102" i="12"/>
  <c r="H102" i="12"/>
  <c r="G102" i="12"/>
  <c r="F102" i="12"/>
  <c r="E102" i="12"/>
  <c r="D102" i="12"/>
  <c r="K101" i="12"/>
  <c r="I101" i="12"/>
  <c r="H101" i="12"/>
  <c r="G101" i="12"/>
  <c r="F101" i="12"/>
  <c r="D101" i="12"/>
  <c r="K99" i="12"/>
  <c r="I99" i="12"/>
  <c r="H99" i="12"/>
  <c r="G99" i="12"/>
  <c r="F99" i="12"/>
  <c r="D99" i="12"/>
  <c r="K98" i="12"/>
  <c r="I98" i="12"/>
  <c r="H98" i="12"/>
  <c r="G98" i="12"/>
  <c r="F98" i="12"/>
  <c r="E98" i="12"/>
  <c r="D98" i="12"/>
  <c r="K97" i="12"/>
  <c r="I97" i="12"/>
  <c r="H97" i="12"/>
  <c r="G97" i="12"/>
  <c r="F97" i="12"/>
  <c r="D97" i="12"/>
  <c r="D96" i="12"/>
  <c r="K94" i="12"/>
  <c r="I94" i="12"/>
  <c r="H94" i="12"/>
  <c r="G94" i="12"/>
  <c r="F94" i="12"/>
  <c r="E94" i="12"/>
  <c r="D94" i="12"/>
  <c r="K134" i="12"/>
  <c r="G134" i="12"/>
  <c r="E134" i="12"/>
  <c r="J77" i="12"/>
  <c r="J76" i="12"/>
  <c r="J75" i="12"/>
  <c r="J74" i="12"/>
  <c r="J73" i="12"/>
  <c r="J72" i="12"/>
  <c r="L72" i="12" s="1"/>
  <c r="J71" i="12"/>
  <c r="J70" i="12"/>
  <c r="J120" i="12" s="1"/>
  <c r="J69" i="12"/>
  <c r="J68" i="12"/>
  <c r="J67" i="12"/>
  <c r="J114" i="12" s="1"/>
  <c r="J66" i="12"/>
  <c r="J65" i="12"/>
  <c r="J64" i="12"/>
  <c r="J111" i="12" s="1"/>
  <c r="J63" i="12"/>
  <c r="J109" i="12" s="1"/>
  <c r="J62" i="12"/>
  <c r="J61" i="12"/>
  <c r="J60" i="12"/>
  <c r="J59" i="12"/>
  <c r="J58" i="12"/>
  <c r="L58" i="12" s="1"/>
  <c r="J57" i="12"/>
  <c r="L57" i="12" s="1"/>
  <c r="J56" i="12"/>
  <c r="L56" i="12" s="1"/>
  <c r="J55" i="12"/>
  <c r="L55" i="12" s="1"/>
  <c r="J54" i="12"/>
  <c r="L54" i="12" s="1"/>
  <c r="J53" i="12"/>
  <c r="J52" i="12"/>
  <c r="L52" i="12" s="1"/>
  <c r="J51" i="12"/>
  <c r="L51" i="12" s="1"/>
  <c r="J50" i="12"/>
  <c r="L50" i="12" s="1"/>
  <c r="J49" i="12"/>
  <c r="L49" i="12" s="1"/>
  <c r="J48" i="12"/>
  <c r="L48" i="12" s="1"/>
  <c r="J47" i="12"/>
  <c r="L47" i="12" s="1"/>
  <c r="J46" i="12"/>
  <c r="L46" i="12" s="1"/>
  <c r="J45" i="12"/>
  <c r="J44" i="12"/>
  <c r="J43" i="12"/>
  <c r="J132" i="12" s="1"/>
  <c r="J42" i="12"/>
  <c r="L42" i="12" s="1"/>
  <c r="J41" i="12"/>
  <c r="L41" i="12" s="1"/>
  <c r="J40" i="12"/>
  <c r="L40" i="12" s="1"/>
  <c r="J39" i="12"/>
  <c r="J133" i="12" s="1"/>
  <c r="J38" i="12"/>
  <c r="L38" i="12" s="1"/>
  <c r="J37" i="12"/>
  <c r="L37" i="12" s="1"/>
  <c r="J36" i="12"/>
  <c r="J117" i="12" s="1"/>
  <c r="J35" i="12"/>
  <c r="L35" i="12" s="1"/>
  <c r="J34" i="12"/>
  <c r="J115" i="12" s="1"/>
  <c r="J33" i="12"/>
  <c r="J32" i="12"/>
  <c r="J110" i="12" s="1"/>
  <c r="J31" i="12"/>
  <c r="K30" i="12"/>
  <c r="K103" i="12" s="1"/>
  <c r="I30" i="12"/>
  <c r="I103" i="12" s="1"/>
  <c r="H30" i="12"/>
  <c r="H103" i="12" s="1"/>
  <c r="G30" i="12"/>
  <c r="G103" i="12" s="1"/>
  <c r="F30" i="12"/>
  <c r="F103" i="12" s="1"/>
  <c r="E30" i="12"/>
  <c r="E103" i="12" s="1"/>
  <c r="D30" i="12"/>
  <c r="D103" i="12" s="1"/>
  <c r="J29" i="12"/>
  <c r="L29" i="12" s="1"/>
  <c r="J27" i="12"/>
  <c r="L27" i="12" s="1"/>
  <c r="J24" i="12"/>
  <c r="L24" i="12" s="1"/>
  <c r="J22" i="12"/>
  <c r="L22" i="12" s="1"/>
  <c r="J20" i="12"/>
  <c r="L20" i="12" s="1"/>
  <c r="J18" i="12"/>
  <c r="L18" i="12" s="1"/>
  <c r="J16" i="12"/>
  <c r="L16" i="12" s="1"/>
  <c r="J13" i="12"/>
  <c r="L13" i="12" s="1"/>
  <c r="J11" i="12"/>
  <c r="L11" i="12" s="1"/>
  <c r="J10" i="12"/>
  <c r="L10" i="12" s="1"/>
  <c r="J8" i="12"/>
  <c r="L8" i="12" s="1"/>
  <c r="L6" i="12"/>
  <c r="J106" i="12" l="1"/>
  <c r="J105" i="12"/>
  <c r="J113" i="12"/>
  <c r="J104" i="12"/>
  <c r="J107" i="12"/>
  <c r="J118" i="12"/>
  <c r="J119" i="12"/>
  <c r="J124" i="12"/>
  <c r="J126" i="12"/>
  <c r="J129" i="12"/>
  <c r="J127" i="12"/>
  <c r="J128" i="12"/>
  <c r="J130" i="12"/>
  <c r="J131" i="12"/>
  <c r="L33" i="12"/>
  <c r="L77" i="12"/>
  <c r="J87" i="12"/>
  <c r="J134" i="12" s="1"/>
  <c r="J125" i="12"/>
  <c r="J112" i="12"/>
  <c r="J123" i="12"/>
  <c r="J121" i="12"/>
  <c r="J108" i="12"/>
  <c r="J116" i="12"/>
  <c r="L31" i="12"/>
  <c r="L32" i="12"/>
  <c r="L34" i="12"/>
  <c r="L36" i="12"/>
  <c r="L39" i="12"/>
  <c r="L43" i="12"/>
  <c r="L44" i="12"/>
  <c r="L45" i="12"/>
  <c r="L53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3" i="12"/>
  <c r="L74" i="12"/>
  <c r="L75" i="12"/>
  <c r="L76" i="12"/>
  <c r="J122" i="12"/>
  <c r="J7" i="12"/>
  <c r="L7" i="12" s="1"/>
  <c r="J17" i="12"/>
  <c r="L17" i="12" s="1"/>
  <c r="J19" i="12"/>
  <c r="L19" i="12" s="1"/>
  <c r="J21" i="12"/>
  <c r="J94" i="12"/>
  <c r="J98" i="12"/>
  <c r="E84" i="11"/>
  <c r="F84" i="11"/>
  <c r="G84" i="11"/>
  <c r="H84" i="11"/>
  <c r="I84" i="11"/>
  <c r="K84" i="11"/>
  <c r="D84" i="11"/>
  <c r="E77" i="11"/>
  <c r="F77" i="11"/>
  <c r="G77" i="11"/>
  <c r="H77" i="11"/>
  <c r="I77" i="11"/>
  <c r="K77" i="11"/>
  <c r="D77" i="11"/>
  <c r="E124" i="11"/>
  <c r="F124" i="11"/>
  <c r="G124" i="11"/>
  <c r="H124" i="11"/>
  <c r="I124" i="11"/>
  <c r="K124" i="11"/>
  <c r="D124" i="11"/>
  <c r="E109" i="11"/>
  <c r="F109" i="11"/>
  <c r="G109" i="11"/>
  <c r="H109" i="11"/>
  <c r="I109" i="11"/>
  <c r="K109" i="11"/>
  <c r="D109" i="11"/>
  <c r="E103" i="11"/>
  <c r="F103" i="11"/>
  <c r="G103" i="11"/>
  <c r="H103" i="11"/>
  <c r="I103" i="11"/>
  <c r="K103" i="11"/>
  <c r="D103" i="11"/>
  <c r="J76" i="11"/>
  <c r="L76" i="11" s="1"/>
  <c r="J25" i="11"/>
  <c r="L25" i="11" s="1"/>
  <c r="L21" i="12" l="1"/>
  <c r="L30" i="12" s="1"/>
  <c r="J95" i="12"/>
  <c r="L87" i="12"/>
  <c r="J99" i="12"/>
  <c r="J97" i="12"/>
  <c r="J100" i="12"/>
  <c r="J101" i="12"/>
  <c r="J30" i="12"/>
  <c r="J103" i="12" s="1"/>
  <c r="J102" i="12"/>
  <c r="K118" i="11"/>
  <c r="K123" i="11" l="1"/>
  <c r="I123" i="11"/>
  <c r="H123" i="11"/>
  <c r="G123" i="11"/>
  <c r="F123" i="11"/>
  <c r="E123" i="11"/>
  <c r="D123" i="11"/>
  <c r="K122" i="11"/>
  <c r="I122" i="11"/>
  <c r="H122" i="11"/>
  <c r="G122" i="11"/>
  <c r="F122" i="11"/>
  <c r="E122" i="11"/>
  <c r="D122" i="11"/>
  <c r="K121" i="11"/>
  <c r="I121" i="11"/>
  <c r="H121" i="11"/>
  <c r="G121" i="11"/>
  <c r="F121" i="11"/>
  <c r="E121" i="11"/>
  <c r="D121" i="11"/>
  <c r="K120" i="11"/>
  <c r="I120" i="11"/>
  <c r="H120" i="11"/>
  <c r="G120" i="11"/>
  <c r="F120" i="11"/>
  <c r="E120" i="11"/>
  <c r="D120" i="11"/>
  <c r="K119" i="11"/>
  <c r="I119" i="11"/>
  <c r="H119" i="11"/>
  <c r="G119" i="11"/>
  <c r="F119" i="11"/>
  <c r="E119" i="11"/>
  <c r="D119" i="11"/>
  <c r="I118" i="11"/>
  <c r="H118" i="11"/>
  <c r="G118" i="11"/>
  <c r="F118" i="11"/>
  <c r="E118" i="11"/>
  <c r="D118" i="11"/>
  <c r="K117" i="11"/>
  <c r="I117" i="11"/>
  <c r="H117" i="11"/>
  <c r="G117" i="11"/>
  <c r="F117" i="11"/>
  <c r="E117" i="11"/>
  <c r="D117" i="11"/>
  <c r="K116" i="11"/>
  <c r="I116" i="11"/>
  <c r="H116" i="11"/>
  <c r="G116" i="11"/>
  <c r="F116" i="11"/>
  <c r="E116" i="11"/>
  <c r="D116" i="11"/>
  <c r="K115" i="11"/>
  <c r="I115" i="11"/>
  <c r="H115" i="11"/>
  <c r="G115" i="11"/>
  <c r="F115" i="11"/>
  <c r="E115" i="11"/>
  <c r="D115" i="11"/>
  <c r="K114" i="11"/>
  <c r="I114" i="11"/>
  <c r="H114" i="11"/>
  <c r="G114" i="11"/>
  <c r="F114" i="11"/>
  <c r="E114" i="11"/>
  <c r="D114" i="11"/>
  <c r="K113" i="11"/>
  <c r="I113" i="11"/>
  <c r="H113" i="11"/>
  <c r="G113" i="11"/>
  <c r="F113" i="11"/>
  <c r="E113" i="11"/>
  <c r="D113" i="11"/>
  <c r="K112" i="11"/>
  <c r="I112" i="11"/>
  <c r="H112" i="11"/>
  <c r="G112" i="11"/>
  <c r="F112" i="11"/>
  <c r="E112" i="11"/>
  <c r="D112" i="11"/>
  <c r="K111" i="11"/>
  <c r="I111" i="11"/>
  <c r="H111" i="11"/>
  <c r="G111" i="11"/>
  <c r="F111" i="11"/>
  <c r="E111" i="11"/>
  <c r="D111" i="11"/>
  <c r="K110" i="11"/>
  <c r="I110" i="11"/>
  <c r="H110" i="11"/>
  <c r="G110" i="11"/>
  <c r="F110" i="11"/>
  <c r="E110" i="11"/>
  <c r="D110" i="11"/>
  <c r="K108" i="11"/>
  <c r="I108" i="11"/>
  <c r="H108" i="11"/>
  <c r="G108" i="11"/>
  <c r="F108" i="11"/>
  <c r="E108" i="11"/>
  <c r="D108" i="11"/>
  <c r="K107" i="11"/>
  <c r="I107" i="11"/>
  <c r="H107" i="11"/>
  <c r="G107" i="11"/>
  <c r="F107" i="11"/>
  <c r="E107" i="11"/>
  <c r="D107" i="11"/>
  <c r="K106" i="11"/>
  <c r="I106" i="11"/>
  <c r="H106" i="11"/>
  <c r="G106" i="11"/>
  <c r="F106" i="11"/>
  <c r="E106" i="11"/>
  <c r="D106" i="11"/>
  <c r="K105" i="11"/>
  <c r="I105" i="11"/>
  <c r="H105" i="11"/>
  <c r="G105" i="11"/>
  <c r="F105" i="11"/>
  <c r="E105" i="11"/>
  <c r="D105" i="11"/>
  <c r="K104" i="11"/>
  <c r="I104" i="11"/>
  <c r="H104" i="11"/>
  <c r="G104" i="11"/>
  <c r="F104" i="11"/>
  <c r="E104" i="11"/>
  <c r="D104" i="11"/>
  <c r="K102" i="11"/>
  <c r="I102" i="11"/>
  <c r="H102" i="11"/>
  <c r="G102" i="11"/>
  <c r="F102" i="11"/>
  <c r="E102" i="11"/>
  <c r="D102" i="11"/>
  <c r="K101" i="11"/>
  <c r="I101" i="11"/>
  <c r="H101" i="11"/>
  <c r="G101" i="11"/>
  <c r="F101" i="11"/>
  <c r="E101" i="11"/>
  <c r="D101" i="11"/>
  <c r="K100" i="11"/>
  <c r="I100" i="11"/>
  <c r="H100" i="11"/>
  <c r="G100" i="11"/>
  <c r="F100" i="11"/>
  <c r="E100" i="11"/>
  <c r="D100" i="11"/>
  <c r="K99" i="11"/>
  <c r="I99" i="11"/>
  <c r="H99" i="11"/>
  <c r="G99" i="11"/>
  <c r="F99" i="11"/>
  <c r="E99" i="11"/>
  <c r="D99" i="11"/>
  <c r="K98" i="11"/>
  <c r="I98" i="11"/>
  <c r="H98" i="11"/>
  <c r="G98" i="11"/>
  <c r="F98" i="11"/>
  <c r="E98" i="11"/>
  <c r="D98" i="11"/>
  <c r="K97" i="11"/>
  <c r="I97" i="11"/>
  <c r="H97" i="11"/>
  <c r="G97" i="11"/>
  <c r="F97" i="11"/>
  <c r="E97" i="11"/>
  <c r="D97" i="11"/>
  <c r="K96" i="11"/>
  <c r="I96" i="11"/>
  <c r="H96" i="11"/>
  <c r="G96" i="11"/>
  <c r="F96" i="11"/>
  <c r="E96" i="11"/>
  <c r="D96" i="11"/>
  <c r="K95" i="11"/>
  <c r="I95" i="11"/>
  <c r="H95" i="11"/>
  <c r="G95" i="11"/>
  <c r="F95" i="11"/>
  <c r="E95" i="11"/>
  <c r="D95" i="11"/>
  <c r="K94" i="11"/>
  <c r="I94" i="11"/>
  <c r="H94" i="11"/>
  <c r="G94" i="11"/>
  <c r="F94" i="11"/>
  <c r="E94" i="11"/>
  <c r="D94" i="11"/>
  <c r="K93" i="11"/>
  <c r="I93" i="11"/>
  <c r="H93" i="11"/>
  <c r="F93" i="11"/>
  <c r="E93" i="11"/>
  <c r="D93" i="11"/>
  <c r="K92" i="11"/>
  <c r="I92" i="11"/>
  <c r="H92" i="11"/>
  <c r="G92" i="11"/>
  <c r="F92" i="11"/>
  <c r="E92" i="11"/>
  <c r="D92" i="11"/>
  <c r="K91" i="11"/>
  <c r="I91" i="11"/>
  <c r="H91" i="11"/>
  <c r="G91" i="11"/>
  <c r="F91" i="11"/>
  <c r="E91" i="11"/>
  <c r="D91" i="11"/>
  <c r="K90" i="11"/>
  <c r="I90" i="11"/>
  <c r="H90" i="11"/>
  <c r="F90" i="11"/>
  <c r="E90" i="11"/>
  <c r="D90" i="11"/>
  <c r="K89" i="11"/>
  <c r="I89" i="11"/>
  <c r="H89" i="11"/>
  <c r="G89" i="11"/>
  <c r="F89" i="11"/>
  <c r="E89" i="11"/>
  <c r="D89" i="11"/>
  <c r="K88" i="11"/>
  <c r="I88" i="11"/>
  <c r="H88" i="11"/>
  <c r="G88" i="11"/>
  <c r="F88" i="11"/>
  <c r="E88" i="11"/>
  <c r="D88" i="11"/>
  <c r="K87" i="11"/>
  <c r="I87" i="11"/>
  <c r="H87" i="11"/>
  <c r="G87" i="11"/>
  <c r="F87" i="11"/>
  <c r="E87" i="11"/>
  <c r="D87" i="11"/>
  <c r="K86" i="11"/>
  <c r="I86" i="11"/>
  <c r="H86" i="11"/>
  <c r="G86" i="11"/>
  <c r="F86" i="11"/>
  <c r="E86" i="11"/>
  <c r="D86" i="11"/>
  <c r="K85" i="11"/>
  <c r="I85" i="11"/>
  <c r="H85" i="11"/>
  <c r="F85" i="11"/>
  <c r="E85" i="11"/>
  <c r="D85" i="11"/>
  <c r="J75" i="11"/>
  <c r="L75" i="11" s="1"/>
  <c r="J74" i="11"/>
  <c r="L74" i="11" s="1"/>
  <c r="J73" i="11"/>
  <c r="L73" i="11" s="1"/>
  <c r="J72" i="11"/>
  <c r="L72" i="11" s="1"/>
  <c r="J71" i="11"/>
  <c r="L71" i="11" s="1"/>
  <c r="J70" i="11"/>
  <c r="L70" i="11" s="1"/>
  <c r="J69" i="11"/>
  <c r="J110" i="11" s="1"/>
  <c r="J68" i="11"/>
  <c r="L68" i="11" s="1"/>
  <c r="J67" i="11"/>
  <c r="L67" i="11" s="1"/>
  <c r="J66" i="11"/>
  <c r="J104" i="11" s="1"/>
  <c r="J65" i="11"/>
  <c r="L65" i="11" s="1"/>
  <c r="J64" i="11"/>
  <c r="L64" i="11" s="1"/>
  <c r="J63" i="11"/>
  <c r="J101" i="11" s="1"/>
  <c r="J62" i="11"/>
  <c r="J99" i="11" s="1"/>
  <c r="J61" i="11"/>
  <c r="L61" i="11" s="1"/>
  <c r="J60" i="11"/>
  <c r="L60" i="11" s="1"/>
  <c r="J59" i="11"/>
  <c r="L59" i="11" s="1"/>
  <c r="J58" i="11"/>
  <c r="L58" i="11" s="1"/>
  <c r="J57" i="11"/>
  <c r="L57" i="11" s="1"/>
  <c r="J56" i="11"/>
  <c r="L56" i="11" s="1"/>
  <c r="J55" i="11"/>
  <c r="L55" i="11" s="1"/>
  <c r="J54" i="11"/>
  <c r="L54" i="11" s="1"/>
  <c r="J53" i="11"/>
  <c r="L53" i="11" s="1"/>
  <c r="J52" i="11"/>
  <c r="J51" i="11"/>
  <c r="L51" i="11" s="1"/>
  <c r="J50" i="11"/>
  <c r="L50" i="11" s="1"/>
  <c r="J49" i="11"/>
  <c r="L49" i="11" s="1"/>
  <c r="J48" i="11"/>
  <c r="L48" i="11" s="1"/>
  <c r="J47" i="11"/>
  <c r="L47" i="11" s="1"/>
  <c r="J46" i="11"/>
  <c r="L46" i="11" s="1"/>
  <c r="J45" i="11"/>
  <c r="L45" i="11" s="1"/>
  <c r="J44" i="11"/>
  <c r="L44" i="11" s="1"/>
  <c r="J43" i="11"/>
  <c r="L43" i="11" s="1"/>
  <c r="J42" i="11"/>
  <c r="J122" i="11" s="1"/>
  <c r="J41" i="11"/>
  <c r="L41" i="11" s="1"/>
  <c r="J40" i="11"/>
  <c r="L40" i="11" s="1"/>
  <c r="J39" i="11"/>
  <c r="L39" i="11" s="1"/>
  <c r="J38" i="11"/>
  <c r="J123" i="11" s="1"/>
  <c r="J37" i="11"/>
  <c r="L37" i="11" s="1"/>
  <c r="J36" i="11"/>
  <c r="L36" i="11" s="1"/>
  <c r="J35" i="11"/>
  <c r="J107" i="11" s="1"/>
  <c r="J34" i="11"/>
  <c r="L34" i="11" s="1"/>
  <c r="J33" i="11"/>
  <c r="J105" i="11" s="1"/>
  <c r="J32" i="11"/>
  <c r="L32" i="11" s="1"/>
  <c r="J31" i="11"/>
  <c r="J100" i="11" s="1"/>
  <c r="J30" i="11"/>
  <c r="K29" i="11"/>
  <c r="I29" i="11"/>
  <c r="H29" i="11"/>
  <c r="F29" i="11"/>
  <c r="E29" i="11"/>
  <c r="D29" i="11"/>
  <c r="J28" i="11"/>
  <c r="J27" i="11"/>
  <c r="L27" i="11" s="1"/>
  <c r="J26" i="11"/>
  <c r="L26" i="11" s="1"/>
  <c r="J24" i="11"/>
  <c r="L24" i="11" s="1"/>
  <c r="J23" i="11"/>
  <c r="L23" i="11" s="1"/>
  <c r="J22" i="11"/>
  <c r="L22" i="11" s="1"/>
  <c r="J21" i="11"/>
  <c r="L21" i="11" s="1"/>
  <c r="G93" i="11"/>
  <c r="J20" i="11"/>
  <c r="L20" i="11" s="1"/>
  <c r="J19" i="11"/>
  <c r="L19" i="11" s="1"/>
  <c r="J18" i="11"/>
  <c r="L18" i="11" s="1"/>
  <c r="J17" i="11"/>
  <c r="L17" i="11" s="1"/>
  <c r="J16" i="11"/>
  <c r="L16" i="11" s="1"/>
  <c r="J15" i="11"/>
  <c r="L15" i="11" s="1"/>
  <c r="J14" i="11"/>
  <c r="L14" i="11" s="1"/>
  <c r="J13" i="11"/>
  <c r="L13" i="11" s="1"/>
  <c r="J12" i="11"/>
  <c r="L12" i="11" s="1"/>
  <c r="J11" i="11"/>
  <c r="L11" i="11" s="1"/>
  <c r="J10" i="11"/>
  <c r="L10" i="11" s="1"/>
  <c r="J9" i="11"/>
  <c r="L9" i="11" s="1"/>
  <c r="J8" i="11"/>
  <c r="L8" i="11" s="1"/>
  <c r="J7" i="11"/>
  <c r="L7" i="11" s="1"/>
  <c r="J6" i="11"/>
  <c r="L6" i="11" s="1"/>
  <c r="L33" i="11" l="1"/>
  <c r="J115" i="11"/>
  <c r="J124" i="11"/>
  <c r="J77" i="11"/>
  <c r="L28" i="11"/>
  <c r="J84" i="11"/>
  <c r="L30" i="11"/>
  <c r="L31" i="11"/>
  <c r="L35" i="11"/>
  <c r="L38" i="11"/>
  <c r="L42" i="11"/>
  <c r="L52" i="11"/>
  <c r="L62" i="11"/>
  <c r="L63" i="11"/>
  <c r="L66" i="11"/>
  <c r="L69" i="11"/>
  <c r="J103" i="11"/>
  <c r="J109" i="11"/>
  <c r="J118" i="11"/>
  <c r="J111" i="11"/>
  <c r="J113" i="11"/>
  <c r="J94" i="11"/>
  <c r="J96" i="11"/>
  <c r="J97" i="11"/>
  <c r="J98" i="11"/>
  <c r="J102" i="11"/>
  <c r="J106" i="11"/>
  <c r="J114" i="11"/>
  <c r="J116" i="11"/>
  <c r="J119" i="11"/>
  <c r="J121" i="11"/>
  <c r="J95" i="11"/>
  <c r="J108" i="11"/>
  <c r="J112" i="11"/>
  <c r="J117" i="11"/>
  <c r="J120" i="11"/>
  <c r="J86" i="11"/>
  <c r="J87" i="11"/>
  <c r="L29" i="11"/>
  <c r="J29" i="11"/>
  <c r="J85" i="11"/>
  <c r="J88" i="11"/>
  <c r="J89" i="11"/>
  <c r="J90" i="11"/>
  <c r="J91" i="11"/>
  <c r="J92" i="11"/>
  <c r="J93" i="11"/>
  <c r="G29" i="11"/>
  <c r="G85" i="11"/>
  <c r="G90" i="11"/>
  <c r="L77" i="11" l="1"/>
  <c r="D75" i="9"/>
  <c r="D116" i="9" l="1"/>
  <c r="G37" i="9" l="1"/>
  <c r="H37" i="9"/>
  <c r="G9" i="9"/>
  <c r="H9" i="9"/>
  <c r="D87" i="9" l="1"/>
  <c r="F23" i="9"/>
  <c r="G23" i="9"/>
  <c r="H23" i="9"/>
  <c r="J23" i="9"/>
  <c r="E87" i="8"/>
  <c r="F87" i="8"/>
  <c r="G87" i="8"/>
  <c r="H87" i="8"/>
  <c r="I87" i="8"/>
  <c r="K87" i="8"/>
  <c r="D87" i="8"/>
  <c r="J23" i="8"/>
  <c r="I23" i="9" s="1"/>
  <c r="E23" i="9" l="1"/>
  <c r="L23" i="8"/>
  <c r="D113" i="9"/>
  <c r="F70" i="9"/>
  <c r="G70" i="9"/>
  <c r="H70" i="9"/>
  <c r="J70" i="9"/>
  <c r="E113" i="8"/>
  <c r="F113" i="8"/>
  <c r="G113" i="8"/>
  <c r="H113" i="8"/>
  <c r="I113" i="8"/>
  <c r="K113" i="8"/>
  <c r="D113" i="8"/>
  <c r="J70" i="8"/>
  <c r="L70" i="8" s="1"/>
  <c r="I70" i="9" l="1"/>
  <c r="J74" i="9"/>
  <c r="J73" i="9"/>
  <c r="J72" i="9"/>
  <c r="J71" i="9"/>
  <c r="J69" i="9"/>
  <c r="J68" i="9"/>
  <c r="J67" i="9"/>
  <c r="J66" i="9"/>
  <c r="J64" i="9"/>
  <c r="J63" i="9"/>
  <c r="J62" i="9"/>
  <c r="J61" i="9"/>
  <c r="J60" i="9"/>
  <c r="J59" i="9"/>
  <c r="J58" i="9"/>
  <c r="J57" i="9"/>
  <c r="J56" i="9"/>
  <c r="J55" i="9"/>
  <c r="J54" i="9"/>
  <c r="J53" i="9"/>
  <c r="J52" i="9"/>
  <c r="J51" i="9"/>
  <c r="J113" i="9" s="1"/>
  <c r="J50" i="9"/>
  <c r="J49" i="9"/>
  <c r="J48" i="9"/>
  <c r="J46" i="9"/>
  <c r="J45" i="9"/>
  <c r="J44" i="9"/>
  <c r="J43" i="9"/>
  <c r="J42" i="9"/>
  <c r="J41" i="9"/>
  <c r="J40" i="9"/>
  <c r="J39" i="9"/>
  <c r="J38" i="9"/>
  <c r="J37" i="9"/>
  <c r="J36" i="9"/>
  <c r="J35" i="9"/>
  <c r="J34" i="9"/>
  <c r="J33" i="9"/>
  <c r="J32" i="9"/>
  <c r="J31" i="9"/>
  <c r="J30" i="9"/>
  <c r="J29" i="9"/>
  <c r="J101" i="9" l="1"/>
  <c r="J75" i="9"/>
  <c r="J116" i="9"/>
  <c r="E70" i="9"/>
  <c r="D88" i="9"/>
  <c r="J92" i="9" l="1"/>
  <c r="J93" i="9"/>
  <c r="J94" i="9"/>
  <c r="J95" i="9"/>
  <c r="J96" i="9"/>
  <c r="J97" i="9"/>
  <c r="J98" i="9"/>
  <c r="J99" i="9"/>
  <c r="J100" i="9"/>
  <c r="J102" i="9"/>
  <c r="J103" i="9"/>
  <c r="J104" i="9"/>
  <c r="J105" i="9"/>
  <c r="J106" i="9"/>
  <c r="J107" i="9"/>
  <c r="J108" i="9"/>
  <c r="J109" i="9"/>
  <c r="J110" i="9"/>
  <c r="J111" i="9"/>
  <c r="J112" i="9"/>
  <c r="J114" i="9"/>
  <c r="J115" i="9"/>
  <c r="J117" i="9"/>
  <c r="J118" i="9"/>
  <c r="J119" i="9"/>
  <c r="J120" i="9"/>
  <c r="J121" i="9"/>
  <c r="J122" i="9"/>
  <c r="D122" i="9"/>
  <c r="D121" i="9"/>
  <c r="D120" i="9"/>
  <c r="D119" i="9"/>
  <c r="D118" i="9"/>
  <c r="D117" i="9"/>
  <c r="D115" i="9"/>
  <c r="D114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6" i="9"/>
  <c r="D85" i="9"/>
  <c r="D84" i="9"/>
  <c r="D83" i="9"/>
  <c r="D82" i="9"/>
  <c r="F75" i="8" l="1"/>
  <c r="G75" i="8"/>
  <c r="H75" i="8"/>
  <c r="I75" i="8"/>
  <c r="K75" i="8"/>
  <c r="D75" i="8"/>
  <c r="E75" i="8"/>
  <c r="G21" i="8" l="1"/>
  <c r="F107" i="8"/>
  <c r="G107" i="8"/>
  <c r="H107" i="8"/>
  <c r="I107" i="8"/>
  <c r="K107" i="8"/>
  <c r="D107" i="8"/>
  <c r="E107" i="8"/>
  <c r="E103" i="8"/>
  <c r="F103" i="8"/>
  <c r="G103" i="8"/>
  <c r="H103" i="8"/>
  <c r="I103" i="8"/>
  <c r="K103" i="8"/>
  <c r="D103" i="8"/>
  <c r="F32" i="9"/>
  <c r="F103" i="9" s="1"/>
  <c r="G32" i="9"/>
  <c r="G103" i="9" s="1"/>
  <c r="H32" i="9"/>
  <c r="H103" i="9" s="1"/>
  <c r="J32" i="8"/>
  <c r="I32" i="9" s="1"/>
  <c r="J103" i="8" l="1"/>
  <c r="L32" i="8"/>
  <c r="I103" i="9"/>
  <c r="E32" i="9"/>
  <c r="E103" i="9" s="1"/>
  <c r="J27" i="9"/>
  <c r="J26" i="9"/>
  <c r="J25" i="9"/>
  <c r="J24" i="9"/>
  <c r="J22" i="9"/>
  <c r="J21" i="9"/>
  <c r="J20" i="9"/>
  <c r="J19" i="9"/>
  <c r="J87" i="9" s="1"/>
  <c r="J18" i="9"/>
  <c r="J17" i="9"/>
  <c r="J16" i="9"/>
  <c r="J15" i="9"/>
  <c r="J14" i="9"/>
  <c r="J13" i="9"/>
  <c r="J12" i="9"/>
  <c r="J11" i="9"/>
  <c r="J10" i="9"/>
  <c r="J9" i="9"/>
  <c r="J8" i="9"/>
  <c r="J7" i="9"/>
  <c r="J85" i="9" s="1"/>
  <c r="J6" i="9"/>
  <c r="J83" i="9" l="1"/>
  <c r="J88" i="9"/>
  <c r="J86" i="9"/>
  <c r="J82" i="9"/>
  <c r="J89" i="9"/>
  <c r="J90" i="9"/>
  <c r="J84" i="9"/>
  <c r="J91" i="9"/>
  <c r="J28" i="9"/>
  <c r="H74" i="9"/>
  <c r="G74" i="9"/>
  <c r="F74" i="9"/>
  <c r="H73" i="9"/>
  <c r="G73" i="9"/>
  <c r="F73" i="9"/>
  <c r="H72" i="9"/>
  <c r="G72" i="9"/>
  <c r="F72" i="9"/>
  <c r="H71" i="9"/>
  <c r="G71" i="9"/>
  <c r="F71" i="9"/>
  <c r="H69" i="9"/>
  <c r="G69" i="9"/>
  <c r="F69" i="9"/>
  <c r="H68" i="9"/>
  <c r="H108" i="9" s="1"/>
  <c r="G68" i="9"/>
  <c r="G108" i="9" s="1"/>
  <c r="F68" i="9"/>
  <c r="F108" i="9" s="1"/>
  <c r="H67" i="9"/>
  <c r="G67" i="9"/>
  <c r="F67" i="9"/>
  <c r="H66" i="9"/>
  <c r="G66" i="9"/>
  <c r="F66" i="9"/>
  <c r="H65" i="9"/>
  <c r="H102" i="9" s="1"/>
  <c r="G65" i="9"/>
  <c r="G102" i="9" s="1"/>
  <c r="F65" i="9"/>
  <c r="F102" i="9" s="1"/>
  <c r="H64" i="9"/>
  <c r="G64" i="9"/>
  <c r="F64" i="9"/>
  <c r="H63" i="9"/>
  <c r="G63" i="9"/>
  <c r="F63" i="9"/>
  <c r="H62" i="9"/>
  <c r="H99" i="9" s="1"/>
  <c r="G62" i="9"/>
  <c r="G99" i="9" s="1"/>
  <c r="F62" i="9"/>
  <c r="F99" i="9" s="1"/>
  <c r="H61" i="9"/>
  <c r="H97" i="9" s="1"/>
  <c r="G61" i="9"/>
  <c r="G97" i="9" s="1"/>
  <c r="F61" i="9"/>
  <c r="F97" i="9" s="1"/>
  <c r="H60" i="9"/>
  <c r="G60" i="9"/>
  <c r="F60" i="9"/>
  <c r="H59" i="9"/>
  <c r="G59" i="9"/>
  <c r="F59" i="9"/>
  <c r="H58" i="9"/>
  <c r="G58" i="9"/>
  <c r="F58" i="9"/>
  <c r="H57" i="9"/>
  <c r="G57" i="9"/>
  <c r="F57" i="9"/>
  <c r="H56" i="9"/>
  <c r="G56" i="9"/>
  <c r="F56" i="9"/>
  <c r="H55" i="9"/>
  <c r="G55" i="9"/>
  <c r="F55" i="9"/>
  <c r="H54" i="9"/>
  <c r="G54" i="9"/>
  <c r="F54" i="9"/>
  <c r="H53" i="9"/>
  <c r="G53" i="9"/>
  <c r="F53" i="9"/>
  <c r="H52" i="9"/>
  <c r="G52" i="9"/>
  <c r="F52" i="9"/>
  <c r="H51" i="9"/>
  <c r="H113" i="9" s="1"/>
  <c r="G51" i="9"/>
  <c r="G113" i="9" s="1"/>
  <c r="F51" i="9"/>
  <c r="F113" i="9" s="1"/>
  <c r="H50" i="9"/>
  <c r="G50" i="9"/>
  <c r="F50" i="9"/>
  <c r="H49" i="9"/>
  <c r="G49" i="9"/>
  <c r="F49" i="9"/>
  <c r="H48" i="9"/>
  <c r="G48" i="9"/>
  <c r="F48" i="9"/>
  <c r="H47" i="9"/>
  <c r="G47" i="9"/>
  <c r="F47" i="9"/>
  <c r="H46" i="9"/>
  <c r="G46" i="9"/>
  <c r="F46" i="9"/>
  <c r="H45" i="9"/>
  <c r="G45" i="9"/>
  <c r="F45" i="9"/>
  <c r="H44" i="9"/>
  <c r="G44" i="9"/>
  <c r="F44" i="9"/>
  <c r="H43" i="9"/>
  <c r="G43" i="9"/>
  <c r="F43" i="9"/>
  <c r="H42" i="9"/>
  <c r="G42" i="9"/>
  <c r="F42" i="9"/>
  <c r="H41" i="9"/>
  <c r="H120" i="9" s="1"/>
  <c r="G41" i="9"/>
  <c r="G120" i="9" s="1"/>
  <c r="F41" i="9"/>
  <c r="F120" i="9" s="1"/>
  <c r="H40" i="9"/>
  <c r="G40" i="9"/>
  <c r="F40" i="9"/>
  <c r="H39" i="9"/>
  <c r="G39" i="9"/>
  <c r="F39" i="9"/>
  <c r="H38" i="9"/>
  <c r="G38" i="9"/>
  <c r="F38" i="9"/>
  <c r="H121" i="9"/>
  <c r="G121" i="9"/>
  <c r="F37" i="9"/>
  <c r="F121" i="9" s="1"/>
  <c r="H36" i="9"/>
  <c r="G36" i="9"/>
  <c r="F36" i="9"/>
  <c r="H35" i="9"/>
  <c r="G35" i="9"/>
  <c r="F35" i="9"/>
  <c r="H34" i="9"/>
  <c r="H105" i="9" s="1"/>
  <c r="G34" i="9"/>
  <c r="G105" i="9" s="1"/>
  <c r="F34" i="9"/>
  <c r="F105" i="9" s="1"/>
  <c r="H33" i="9"/>
  <c r="G33" i="9"/>
  <c r="F33" i="9"/>
  <c r="H31" i="9"/>
  <c r="G31" i="9"/>
  <c r="F31" i="9"/>
  <c r="H30" i="9"/>
  <c r="H98" i="9" s="1"/>
  <c r="G30" i="9"/>
  <c r="G98" i="9" s="1"/>
  <c r="F30" i="9"/>
  <c r="F98" i="9" s="1"/>
  <c r="H29" i="9"/>
  <c r="G29" i="9"/>
  <c r="F29" i="9"/>
  <c r="H27" i="9"/>
  <c r="G27" i="9"/>
  <c r="F27" i="9"/>
  <c r="H26" i="9"/>
  <c r="G26" i="9"/>
  <c r="F26" i="9"/>
  <c r="H25" i="9"/>
  <c r="G25" i="9"/>
  <c r="F25" i="9"/>
  <c r="H24" i="9"/>
  <c r="G24" i="9"/>
  <c r="F24" i="9"/>
  <c r="H22" i="9"/>
  <c r="G22" i="9"/>
  <c r="F22" i="9"/>
  <c r="H21" i="9"/>
  <c r="G21" i="9"/>
  <c r="F21" i="9"/>
  <c r="H20" i="9"/>
  <c r="G20" i="9"/>
  <c r="F20" i="9"/>
  <c r="H19" i="9"/>
  <c r="H87" i="9" s="1"/>
  <c r="G19" i="9"/>
  <c r="G87" i="9" s="1"/>
  <c r="F19" i="9"/>
  <c r="F87" i="9" s="1"/>
  <c r="H18" i="9"/>
  <c r="G18" i="9"/>
  <c r="F18" i="9"/>
  <c r="H17" i="9"/>
  <c r="G17" i="9"/>
  <c r="F17" i="9"/>
  <c r="H16" i="9"/>
  <c r="G16" i="9"/>
  <c r="F16" i="9"/>
  <c r="H15" i="9"/>
  <c r="G15" i="9"/>
  <c r="F15" i="9"/>
  <c r="H14" i="9"/>
  <c r="G14" i="9"/>
  <c r="F14" i="9"/>
  <c r="H13" i="9"/>
  <c r="G13" i="9"/>
  <c r="F13" i="9"/>
  <c r="H12" i="9"/>
  <c r="G12" i="9"/>
  <c r="F12" i="9"/>
  <c r="H11" i="9"/>
  <c r="G11" i="9"/>
  <c r="F11" i="9"/>
  <c r="H10" i="9"/>
  <c r="G10" i="9"/>
  <c r="F10" i="9"/>
  <c r="F9" i="9"/>
  <c r="H8" i="9"/>
  <c r="G8" i="9"/>
  <c r="F8" i="9"/>
  <c r="H7" i="9"/>
  <c r="H85" i="9" s="1"/>
  <c r="G7" i="9"/>
  <c r="G85" i="9" s="1"/>
  <c r="F7" i="9"/>
  <c r="F85" i="9" s="1"/>
  <c r="H6" i="9"/>
  <c r="G6" i="9"/>
  <c r="F6" i="9"/>
  <c r="G75" i="9" l="1"/>
  <c r="H116" i="9"/>
  <c r="H122" i="9"/>
  <c r="H75" i="9"/>
  <c r="F116" i="9"/>
  <c r="F122" i="9"/>
  <c r="F75" i="9"/>
  <c r="G116" i="9"/>
  <c r="G92" i="9"/>
  <c r="G100" i="9"/>
  <c r="G112" i="9"/>
  <c r="G91" i="9"/>
  <c r="G84" i="9"/>
  <c r="F83" i="9"/>
  <c r="H83" i="9"/>
  <c r="G89" i="9"/>
  <c r="G90" i="9"/>
  <c r="F88" i="9"/>
  <c r="F86" i="9"/>
  <c r="H88" i="9"/>
  <c r="H86" i="9"/>
  <c r="G82" i="9"/>
  <c r="F109" i="9"/>
  <c r="H109" i="9"/>
  <c r="G110" i="9"/>
  <c r="G111" i="9"/>
  <c r="F94" i="9"/>
  <c r="F93" i="9"/>
  <c r="H93" i="9"/>
  <c r="H94" i="9"/>
  <c r="G95" i="9"/>
  <c r="F96" i="9"/>
  <c r="H96" i="9"/>
  <c r="F101" i="9"/>
  <c r="H101" i="9"/>
  <c r="F104" i="9"/>
  <c r="H104" i="9"/>
  <c r="G106" i="9"/>
  <c r="G107" i="9"/>
  <c r="F114" i="9"/>
  <c r="H114" i="9"/>
  <c r="G115" i="9"/>
  <c r="F117" i="9"/>
  <c r="H117" i="9"/>
  <c r="G118" i="9"/>
  <c r="G119" i="9"/>
  <c r="F84" i="9"/>
  <c r="F91" i="9"/>
  <c r="H84" i="9"/>
  <c r="H91" i="9"/>
  <c r="G83" i="9"/>
  <c r="F90" i="9"/>
  <c r="F89" i="9"/>
  <c r="H90" i="9"/>
  <c r="H89" i="9"/>
  <c r="G88" i="9"/>
  <c r="G86" i="9"/>
  <c r="F82" i="9"/>
  <c r="H82" i="9"/>
  <c r="G122" i="9"/>
  <c r="G109" i="9"/>
  <c r="F110" i="9"/>
  <c r="F111" i="9"/>
  <c r="H110" i="9"/>
  <c r="H111" i="9"/>
  <c r="F92" i="9"/>
  <c r="H92" i="9"/>
  <c r="G93" i="9"/>
  <c r="G94" i="9"/>
  <c r="F95" i="9"/>
  <c r="H95" i="9"/>
  <c r="G96" i="9"/>
  <c r="F100" i="9"/>
  <c r="H100" i="9"/>
  <c r="G101" i="9"/>
  <c r="G104" i="9"/>
  <c r="F106" i="9"/>
  <c r="F107" i="9"/>
  <c r="H107" i="9"/>
  <c r="H106" i="9"/>
  <c r="F112" i="9"/>
  <c r="H112" i="9"/>
  <c r="G114" i="9"/>
  <c r="F115" i="9"/>
  <c r="H115" i="9"/>
  <c r="G117" i="9"/>
  <c r="F119" i="9"/>
  <c r="F118" i="9"/>
  <c r="H118" i="9"/>
  <c r="H119" i="9"/>
  <c r="H28" i="9"/>
  <c r="G28" i="9"/>
  <c r="F28" i="9"/>
  <c r="D28" i="9"/>
  <c r="K28" i="8"/>
  <c r="E27" i="7"/>
  <c r="D72" i="7"/>
  <c r="E72" i="7"/>
  <c r="E28" i="8"/>
  <c r="F28" i="8"/>
  <c r="G28" i="8"/>
  <c r="H28" i="8"/>
  <c r="I28" i="8"/>
  <c r="E88" i="8"/>
  <c r="E86" i="8"/>
  <c r="E90" i="8"/>
  <c r="K122" i="8"/>
  <c r="I122" i="8"/>
  <c r="H122" i="8"/>
  <c r="G122" i="8"/>
  <c r="F122" i="8"/>
  <c r="E122" i="8"/>
  <c r="D122" i="8"/>
  <c r="K121" i="8"/>
  <c r="I121" i="8"/>
  <c r="H121" i="8"/>
  <c r="G121" i="8"/>
  <c r="F121" i="8"/>
  <c r="E121" i="8"/>
  <c r="D121" i="8"/>
  <c r="K120" i="8"/>
  <c r="I120" i="8"/>
  <c r="H120" i="8"/>
  <c r="G120" i="8"/>
  <c r="F120" i="8"/>
  <c r="E120" i="8"/>
  <c r="D120" i="8"/>
  <c r="K119" i="8"/>
  <c r="I119" i="8"/>
  <c r="H119" i="8"/>
  <c r="G119" i="8"/>
  <c r="F119" i="8"/>
  <c r="E119" i="8"/>
  <c r="D119" i="8"/>
  <c r="K118" i="8"/>
  <c r="I118" i="8"/>
  <c r="H118" i="8"/>
  <c r="G118" i="8"/>
  <c r="F118" i="8"/>
  <c r="E118" i="8"/>
  <c r="D118" i="8"/>
  <c r="K117" i="8"/>
  <c r="I117" i="8"/>
  <c r="H117" i="8"/>
  <c r="G117" i="8"/>
  <c r="F117" i="8"/>
  <c r="E117" i="8"/>
  <c r="D117" i="8"/>
  <c r="K116" i="8"/>
  <c r="I116" i="8"/>
  <c r="H116" i="8"/>
  <c r="G116" i="8"/>
  <c r="F116" i="8"/>
  <c r="E116" i="8"/>
  <c r="D116" i="8"/>
  <c r="K115" i="8"/>
  <c r="I115" i="8"/>
  <c r="H115" i="8"/>
  <c r="G115" i="8"/>
  <c r="F115" i="8"/>
  <c r="E115" i="8"/>
  <c r="D115" i="8"/>
  <c r="K114" i="8"/>
  <c r="I114" i="8"/>
  <c r="H114" i="8"/>
  <c r="G114" i="8"/>
  <c r="F114" i="8"/>
  <c r="E114" i="8"/>
  <c r="D114" i="8"/>
  <c r="K112" i="8"/>
  <c r="I112" i="8"/>
  <c r="H112" i="8"/>
  <c r="G112" i="8"/>
  <c r="F112" i="8"/>
  <c r="E112" i="8"/>
  <c r="D112" i="8"/>
  <c r="K111" i="8"/>
  <c r="I111" i="8"/>
  <c r="H111" i="8"/>
  <c r="G111" i="8"/>
  <c r="F111" i="8"/>
  <c r="E111" i="8"/>
  <c r="D111" i="8"/>
  <c r="K110" i="8"/>
  <c r="I110" i="8"/>
  <c r="H110" i="8"/>
  <c r="G110" i="8"/>
  <c r="F110" i="8"/>
  <c r="E110" i="8"/>
  <c r="D110" i="8"/>
  <c r="K109" i="8"/>
  <c r="I109" i="8"/>
  <c r="H109" i="8"/>
  <c r="G109" i="8"/>
  <c r="F109" i="8"/>
  <c r="E109" i="8"/>
  <c r="D109" i="8"/>
  <c r="K108" i="8"/>
  <c r="I108" i="8"/>
  <c r="H108" i="8"/>
  <c r="G108" i="8"/>
  <c r="F108" i="8"/>
  <c r="E108" i="8"/>
  <c r="D108" i="8"/>
  <c r="K106" i="8"/>
  <c r="I106" i="8"/>
  <c r="H106" i="8"/>
  <c r="G106" i="8"/>
  <c r="F106" i="8"/>
  <c r="E106" i="8"/>
  <c r="D106" i="8"/>
  <c r="K105" i="8"/>
  <c r="I105" i="8"/>
  <c r="H105" i="8"/>
  <c r="G105" i="8"/>
  <c r="F105" i="8"/>
  <c r="E105" i="8"/>
  <c r="D105" i="8"/>
  <c r="K104" i="8"/>
  <c r="I104" i="8"/>
  <c r="H104" i="8"/>
  <c r="G104" i="8"/>
  <c r="F104" i="8"/>
  <c r="E104" i="8"/>
  <c r="D104" i="8"/>
  <c r="K102" i="8"/>
  <c r="I102" i="8"/>
  <c r="H102" i="8"/>
  <c r="G102" i="8"/>
  <c r="F102" i="8"/>
  <c r="E102" i="8"/>
  <c r="D102" i="8"/>
  <c r="K101" i="8"/>
  <c r="I101" i="8"/>
  <c r="H101" i="8"/>
  <c r="G101" i="8"/>
  <c r="F101" i="8"/>
  <c r="E101" i="8"/>
  <c r="D101" i="8"/>
  <c r="K100" i="8"/>
  <c r="I100" i="8"/>
  <c r="H100" i="8"/>
  <c r="G100" i="8"/>
  <c r="F100" i="8"/>
  <c r="E100" i="8"/>
  <c r="D100" i="8"/>
  <c r="K99" i="8"/>
  <c r="I99" i="8"/>
  <c r="H99" i="8"/>
  <c r="G99" i="8"/>
  <c r="F99" i="8"/>
  <c r="E99" i="8"/>
  <c r="D99" i="8"/>
  <c r="K98" i="8"/>
  <c r="I98" i="8"/>
  <c r="H98" i="8"/>
  <c r="G98" i="8"/>
  <c r="F98" i="8"/>
  <c r="E98" i="8"/>
  <c r="D98" i="8"/>
  <c r="K97" i="8"/>
  <c r="I97" i="8"/>
  <c r="H97" i="8"/>
  <c r="G97" i="8"/>
  <c r="F97" i="8"/>
  <c r="E97" i="8"/>
  <c r="D97" i="8"/>
  <c r="K96" i="8"/>
  <c r="I96" i="8"/>
  <c r="H96" i="8"/>
  <c r="G96" i="8"/>
  <c r="F96" i="8"/>
  <c r="E96" i="8"/>
  <c r="D96" i="8"/>
  <c r="K95" i="8"/>
  <c r="I95" i="8"/>
  <c r="H95" i="8"/>
  <c r="G95" i="8"/>
  <c r="F95" i="8"/>
  <c r="E95" i="8"/>
  <c r="D95" i="8"/>
  <c r="K94" i="8"/>
  <c r="I94" i="8"/>
  <c r="H94" i="8"/>
  <c r="G94" i="8"/>
  <c r="F94" i="8"/>
  <c r="E94" i="8"/>
  <c r="D94" i="8"/>
  <c r="K93" i="8"/>
  <c r="I93" i="8"/>
  <c r="H93" i="8"/>
  <c r="G93" i="8"/>
  <c r="F93" i="8"/>
  <c r="E93" i="8"/>
  <c r="D93" i="8"/>
  <c r="K92" i="8"/>
  <c r="I92" i="8"/>
  <c r="H92" i="8"/>
  <c r="G92" i="8"/>
  <c r="F92" i="8"/>
  <c r="E92" i="8"/>
  <c r="D92" i="8"/>
  <c r="K91" i="8"/>
  <c r="I91" i="8"/>
  <c r="H91" i="8"/>
  <c r="G91" i="8"/>
  <c r="F91" i="8"/>
  <c r="E91" i="8"/>
  <c r="D91" i="8"/>
  <c r="K90" i="8"/>
  <c r="I90" i="8"/>
  <c r="H90" i="8"/>
  <c r="G90" i="8"/>
  <c r="F90" i="8"/>
  <c r="D90" i="8"/>
  <c r="K89" i="8"/>
  <c r="I89" i="8"/>
  <c r="H89" i="8"/>
  <c r="G89" i="8"/>
  <c r="F89" i="8"/>
  <c r="E89" i="8"/>
  <c r="D89" i="8"/>
  <c r="K88" i="8"/>
  <c r="I88" i="8"/>
  <c r="H88" i="8"/>
  <c r="G88" i="8"/>
  <c r="F88" i="8"/>
  <c r="D88" i="8"/>
  <c r="K86" i="8"/>
  <c r="I86" i="8"/>
  <c r="H86" i="8"/>
  <c r="G86" i="8"/>
  <c r="F86" i="8"/>
  <c r="D86" i="8"/>
  <c r="K85" i="8"/>
  <c r="I85" i="8"/>
  <c r="H85" i="8"/>
  <c r="G85" i="8"/>
  <c r="F85" i="8"/>
  <c r="E85" i="8"/>
  <c r="D85" i="8"/>
  <c r="K84" i="8"/>
  <c r="I84" i="8"/>
  <c r="H84" i="8"/>
  <c r="G84" i="8"/>
  <c r="F84" i="8"/>
  <c r="E84" i="8"/>
  <c r="D84" i="8"/>
  <c r="K83" i="8"/>
  <c r="I83" i="8"/>
  <c r="H83" i="8"/>
  <c r="G83" i="8"/>
  <c r="F83" i="8"/>
  <c r="E83" i="8"/>
  <c r="D83" i="8"/>
  <c r="K82" i="8"/>
  <c r="I82" i="8"/>
  <c r="H82" i="8"/>
  <c r="G82" i="8"/>
  <c r="F82" i="8"/>
  <c r="D82" i="8"/>
  <c r="J74" i="8"/>
  <c r="I74" i="9" s="1"/>
  <c r="J73" i="8"/>
  <c r="I73" i="9" s="1"/>
  <c r="J72" i="8"/>
  <c r="I72" i="9" s="1"/>
  <c r="J71" i="8"/>
  <c r="I71" i="9" s="1"/>
  <c r="J69" i="8"/>
  <c r="I69" i="9" s="1"/>
  <c r="J68" i="8"/>
  <c r="I68" i="9" s="1"/>
  <c r="I108" i="9" s="1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I43" i="9" s="1"/>
  <c r="J42" i="8"/>
  <c r="I42" i="9" s="1"/>
  <c r="J41" i="8"/>
  <c r="I41" i="9" s="1"/>
  <c r="J40" i="8"/>
  <c r="J39" i="8"/>
  <c r="J38" i="8"/>
  <c r="J37" i="8"/>
  <c r="I37" i="9" s="1"/>
  <c r="J36" i="8"/>
  <c r="J35" i="8"/>
  <c r="J34" i="8"/>
  <c r="J33" i="8"/>
  <c r="J31" i="8"/>
  <c r="J30" i="8"/>
  <c r="J29" i="8"/>
  <c r="I29" i="9" s="1"/>
  <c r="D28" i="8"/>
  <c r="J27" i="8"/>
  <c r="L27" i="8" s="1"/>
  <c r="J26" i="8"/>
  <c r="L26" i="8" s="1"/>
  <c r="J25" i="8"/>
  <c r="L25" i="8" s="1"/>
  <c r="J24" i="8"/>
  <c r="L24" i="8" s="1"/>
  <c r="J22" i="8"/>
  <c r="L22" i="8" s="1"/>
  <c r="J21" i="8"/>
  <c r="L21" i="8" s="1"/>
  <c r="J20" i="8"/>
  <c r="L20" i="8" s="1"/>
  <c r="J19" i="8"/>
  <c r="J18" i="8"/>
  <c r="L18" i="8" s="1"/>
  <c r="J17" i="8"/>
  <c r="L17" i="8" s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J10" i="8"/>
  <c r="L10" i="8" s="1"/>
  <c r="J9" i="8"/>
  <c r="L9" i="8" s="1"/>
  <c r="J8" i="8"/>
  <c r="L8" i="8" s="1"/>
  <c r="J7" i="8"/>
  <c r="L7" i="8" s="1"/>
  <c r="J6" i="8"/>
  <c r="J84" i="8" s="1"/>
  <c r="I51" i="9" l="1"/>
  <c r="I113" i="9" s="1"/>
  <c r="J113" i="8"/>
  <c r="L19" i="8"/>
  <c r="J87" i="8"/>
  <c r="I6" i="9"/>
  <c r="I84" i="9" s="1"/>
  <c r="L31" i="8"/>
  <c r="I31" i="9"/>
  <c r="E31" i="9" s="1"/>
  <c r="L34" i="8"/>
  <c r="I34" i="9"/>
  <c r="E34" i="9" s="1"/>
  <c r="E105" i="9" s="1"/>
  <c r="L36" i="8"/>
  <c r="I36" i="9"/>
  <c r="L38" i="8"/>
  <c r="I38" i="9"/>
  <c r="L40" i="8"/>
  <c r="I40" i="9"/>
  <c r="L44" i="8"/>
  <c r="I44" i="9"/>
  <c r="L46" i="8"/>
  <c r="I46" i="9"/>
  <c r="L48" i="8"/>
  <c r="I48" i="9"/>
  <c r="L50" i="8"/>
  <c r="I50" i="9"/>
  <c r="I112" i="9" s="1"/>
  <c r="L52" i="8"/>
  <c r="I52" i="9"/>
  <c r="I114" i="9" s="1"/>
  <c r="L54" i="8"/>
  <c r="I54" i="9"/>
  <c r="L56" i="8"/>
  <c r="I56" i="9"/>
  <c r="L58" i="8"/>
  <c r="I58" i="9"/>
  <c r="E58" i="9" s="1"/>
  <c r="E93" i="9" s="1"/>
  <c r="L60" i="8"/>
  <c r="I60" i="9"/>
  <c r="I96" i="9" s="1"/>
  <c r="L62" i="8"/>
  <c r="I62" i="9"/>
  <c r="I99" i="9" s="1"/>
  <c r="L64" i="8"/>
  <c r="I64" i="9"/>
  <c r="E64" i="9" s="1"/>
  <c r="L66" i="8"/>
  <c r="I66" i="9"/>
  <c r="E66" i="9" s="1"/>
  <c r="L30" i="8"/>
  <c r="I30" i="9"/>
  <c r="I98" i="9" s="1"/>
  <c r="L33" i="8"/>
  <c r="I33" i="9"/>
  <c r="E33" i="9" s="1"/>
  <c r="L35" i="8"/>
  <c r="I35" i="9"/>
  <c r="E35" i="9" s="1"/>
  <c r="L39" i="8"/>
  <c r="I39" i="9"/>
  <c r="L45" i="8"/>
  <c r="I45" i="9"/>
  <c r="E45" i="9" s="1"/>
  <c r="L47" i="8"/>
  <c r="I47" i="9"/>
  <c r="L49" i="8"/>
  <c r="I49" i="9"/>
  <c r="E49" i="9" s="1"/>
  <c r="L53" i="8"/>
  <c r="I53" i="9"/>
  <c r="E53" i="9" s="1"/>
  <c r="L55" i="8"/>
  <c r="I55" i="9"/>
  <c r="E55" i="9" s="1"/>
  <c r="L57" i="8"/>
  <c r="I57" i="9"/>
  <c r="I94" i="9" s="1"/>
  <c r="L59" i="8"/>
  <c r="I59" i="9"/>
  <c r="E59" i="9" s="1"/>
  <c r="E95" i="9" s="1"/>
  <c r="L61" i="8"/>
  <c r="I61" i="9"/>
  <c r="I97" i="9" s="1"/>
  <c r="L63" i="8"/>
  <c r="I63" i="9"/>
  <c r="E63" i="9" s="1"/>
  <c r="L65" i="8"/>
  <c r="I65" i="9"/>
  <c r="E65" i="9" s="1"/>
  <c r="E102" i="9" s="1"/>
  <c r="I67" i="9"/>
  <c r="J107" i="8"/>
  <c r="J75" i="8"/>
  <c r="I27" i="9"/>
  <c r="I25" i="9"/>
  <c r="E25" i="9" s="1"/>
  <c r="I22" i="9"/>
  <c r="I20" i="9"/>
  <c r="E20" i="9" s="1"/>
  <c r="I18" i="9"/>
  <c r="E18" i="9" s="1"/>
  <c r="I16" i="9"/>
  <c r="E16" i="9" s="1"/>
  <c r="I14" i="9"/>
  <c r="E14" i="9" s="1"/>
  <c r="I12" i="9"/>
  <c r="E12" i="9" s="1"/>
  <c r="I10" i="9"/>
  <c r="E10" i="9" s="1"/>
  <c r="I8" i="9"/>
  <c r="E8" i="9" s="1"/>
  <c r="J98" i="8"/>
  <c r="I26" i="9"/>
  <c r="E26" i="9" s="1"/>
  <c r="I24" i="9"/>
  <c r="I21" i="9"/>
  <c r="I19" i="9"/>
  <c r="I87" i="9" s="1"/>
  <c r="I17" i="9"/>
  <c r="E17" i="9" s="1"/>
  <c r="I15" i="9"/>
  <c r="E15" i="9" s="1"/>
  <c r="I13" i="9"/>
  <c r="E13" i="9" s="1"/>
  <c r="I11" i="9"/>
  <c r="E11" i="9" s="1"/>
  <c r="I9" i="9"/>
  <c r="E9" i="9" s="1"/>
  <c r="I7" i="9"/>
  <c r="I85" i="9" s="1"/>
  <c r="J106" i="8"/>
  <c r="J97" i="8"/>
  <c r="J95" i="8"/>
  <c r="J102" i="8"/>
  <c r="E82" i="8"/>
  <c r="L29" i="8"/>
  <c r="J122" i="8"/>
  <c r="L42" i="8"/>
  <c r="J109" i="8"/>
  <c r="L68" i="8"/>
  <c r="J108" i="8"/>
  <c r="L71" i="8"/>
  <c r="J114" i="8"/>
  <c r="L73" i="8"/>
  <c r="J117" i="8"/>
  <c r="J82" i="8"/>
  <c r="J83" i="8"/>
  <c r="J85" i="8"/>
  <c r="J86" i="8"/>
  <c r="J88" i="8"/>
  <c r="J89" i="8"/>
  <c r="J90" i="8"/>
  <c r="J91" i="8"/>
  <c r="J92" i="8"/>
  <c r="J93" i="8"/>
  <c r="J94" i="8"/>
  <c r="J96" i="8"/>
  <c r="J99" i="8"/>
  <c r="J100" i="8"/>
  <c r="J101" i="8"/>
  <c r="J104" i="8"/>
  <c r="J105" i="8"/>
  <c r="J28" i="8"/>
  <c r="L6" i="8"/>
  <c r="L37" i="8"/>
  <c r="I121" i="9" s="1"/>
  <c r="J121" i="8"/>
  <c r="L41" i="8"/>
  <c r="I120" i="9" s="1"/>
  <c r="J120" i="8"/>
  <c r="L43" i="8"/>
  <c r="J111" i="8"/>
  <c r="J110" i="8"/>
  <c r="L51" i="8"/>
  <c r="L67" i="8"/>
  <c r="L69" i="8"/>
  <c r="J112" i="8"/>
  <c r="L72" i="8"/>
  <c r="J116" i="8"/>
  <c r="J115" i="8"/>
  <c r="L74" i="8"/>
  <c r="J119" i="8"/>
  <c r="J118" i="8"/>
  <c r="E116" i="7"/>
  <c r="F116" i="7"/>
  <c r="G116" i="7"/>
  <c r="H116" i="7"/>
  <c r="I116" i="7"/>
  <c r="K116" i="7"/>
  <c r="D116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7" i="7"/>
  <c r="D118" i="7"/>
  <c r="D27" i="7"/>
  <c r="E6" i="9" l="1"/>
  <c r="E84" i="9" s="1"/>
  <c r="E60" i="9"/>
  <c r="I110" i="9"/>
  <c r="L28" i="8"/>
  <c r="I101" i="9"/>
  <c r="I115" i="9"/>
  <c r="I116" i="9"/>
  <c r="I92" i="9"/>
  <c r="I75" i="9"/>
  <c r="E30" i="9"/>
  <c r="E98" i="9" s="1"/>
  <c r="E62" i="9"/>
  <c r="E99" i="9" s="1"/>
  <c r="I104" i="9"/>
  <c r="E61" i="9"/>
  <c r="E97" i="9" s="1"/>
  <c r="I93" i="9"/>
  <c r="E56" i="9"/>
  <c r="E54" i="9"/>
  <c r="E52" i="9"/>
  <c r="E50" i="9"/>
  <c r="E48" i="9"/>
  <c r="E104" i="9" s="1"/>
  <c r="E46" i="9"/>
  <c r="E100" i="9" s="1"/>
  <c r="E44" i="9"/>
  <c r="E40" i="9"/>
  <c r="E38" i="9"/>
  <c r="E36" i="9"/>
  <c r="I105" i="9"/>
  <c r="I88" i="9"/>
  <c r="I86" i="9"/>
  <c r="I89" i="9"/>
  <c r="I90" i="9"/>
  <c r="I82" i="9"/>
  <c r="I91" i="9"/>
  <c r="I118" i="9"/>
  <c r="I106" i="9"/>
  <c r="I83" i="9"/>
  <c r="E57" i="9"/>
  <c r="E94" i="9" s="1"/>
  <c r="I102" i="9"/>
  <c r="I100" i="9"/>
  <c r="I95" i="9"/>
  <c r="E47" i="9"/>
  <c r="E39" i="9"/>
  <c r="I117" i="9"/>
  <c r="I119" i="9"/>
  <c r="I107" i="9"/>
  <c r="I111" i="9"/>
  <c r="I109" i="9"/>
  <c r="I122" i="9"/>
  <c r="E69" i="9"/>
  <c r="E43" i="9"/>
  <c r="E41" i="9"/>
  <c r="E120" i="9" s="1"/>
  <c r="E37" i="9"/>
  <c r="E121" i="9" s="1"/>
  <c r="E73" i="9"/>
  <c r="E71" i="9"/>
  <c r="E68" i="9"/>
  <c r="E108" i="9" s="1"/>
  <c r="E42" i="9"/>
  <c r="E29" i="9"/>
  <c r="E7" i="9"/>
  <c r="E19" i="9"/>
  <c r="E87" i="9" s="1"/>
  <c r="E24" i="9"/>
  <c r="E22" i="9"/>
  <c r="E27" i="9"/>
  <c r="E82" i="9" s="1"/>
  <c r="E74" i="9"/>
  <c r="E118" i="9" s="1"/>
  <c r="E67" i="9"/>
  <c r="E106" i="9" s="1"/>
  <c r="E51" i="9"/>
  <c r="E113" i="9" s="1"/>
  <c r="E21" i="9"/>
  <c r="E83" i="9" s="1"/>
  <c r="L75" i="8"/>
  <c r="I28" i="9"/>
  <c r="F103" i="7"/>
  <c r="G103" i="7"/>
  <c r="H103" i="7"/>
  <c r="I103" i="7"/>
  <c r="K103" i="7"/>
  <c r="E103" i="7"/>
  <c r="F98" i="7"/>
  <c r="G98" i="7"/>
  <c r="H98" i="7"/>
  <c r="I98" i="7"/>
  <c r="K98" i="7"/>
  <c r="E98" i="7"/>
  <c r="J54" i="7"/>
  <c r="E92" i="9" l="1"/>
  <c r="E112" i="9"/>
  <c r="E96" i="9"/>
  <c r="E111" i="9"/>
  <c r="E114" i="9"/>
  <c r="E110" i="9"/>
  <c r="E101" i="9"/>
  <c r="E89" i="9"/>
  <c r="E90" i="9"/>
  <c r="E91" i="9"/>
  <c r="E88" i="9"/>
  <c r="E86" i="9"/>
  <c r="E28" i="9"/>
  <c r="E85" i="9"/>
  <c r="E117" i="9"/>
  <c r="E119" i="9"/>
  <c r="E107" i="9"/>
  <c r="E109" i="9"/>
  <c r="E72" i="9"/>
  <c r="E116" i="9" s="1"/>
  <c r="L54" i="7"/>
  <c r="K72" i="7"/>
  <c r="K27" i="7"/>
  <c r="E75" i="9" l="1"/>
  <c r="E115" i="9"/>
  <c r="E122" i="9"/>
  <c r="E92" i="7"/>
  <c r="E113" i="7"/>
  <c r="E100" i="7"/>
  <c r="E101" i="7"/>
  <c r="J24" i="7"/>
  <c r="L24" i="7" s="1"/>
  <c r="J22" i="7"/>
  <c r="J20" i="7"/>
  <c r="L20" i="7" s="1"/>
  <c r="J18" i="7"/>
  <c r="L18" i="7" s="1"/>
  <c r="E80" i="7"/>
  <c r="J14" i="7"/>
  <c r="L14" i="7" s="1"/>
  <c r="J12" i="7"/>
  <c r="L12" i="7" s="1"/>
  <c r="J10" i="7"/>
  <c r="L10" i="7" s="1"/>
  <c r="J8" i="7"/>
  <c r="L8" i="7" s="1"/>
  <c r="K118" i="7"/>
  <c r="I118" i="7"/>
  <c r="H118" i="7"/>
  <c r="G118" i="7"/>
  <c r="F118" i="7"/>
  <c r="K117" i="7"/>
  <c r="I117" i="7"/>
  <c r="H117" i="7"/>
  <c r="G117" i="7"/>
  <c r="F117" i="7"/>
  <c r="E117" i="7"/>
  <c r="K115" i="7"/>
  <c r="I115" i="7"/>
  <c r="H115" i="7"/>
  <c r="G115" i="7"/>
  <c r="F115" i="7"/>
  <c r="E115" i="7"/>
  <c r="K114" i="7"/>
  <c r="I114" i="7"/>
  <c r="H114" i="7"/>
  <c r="G114" i="7"/>
  <c r="F114" i="7"/>
  <c r="E114" i="7"/>
  <c r="K113" i="7"/>
  <c r="I113" i="7"/>
  <c r="H113" i="7"/>
  <c r="G113" i="7"/>
  <c r="F113" i="7"/>
  <c r="K112" i="7"/>
  <c r="I112" i="7"/>
  <c r="H112" i="7"/>
  <c r="G112" i="7"/>
  <c r="F112" i="7"/>
  <c r="K111" i="7"/>
  <c r="I111" i="7"/>
  <c r="H111" i="7"/>
  <c r="G111" i="7"/>
  <c r="F111" i="7"/>
  <c r="E111" i="7"/>
  <c r="K110" i="7"/>
  <c r="I110" i="7"/>
  <c r="H110" i="7"/>
  <c r="G110" i="7"/>
  <c r="F110" i="7"/>
  <c r="E110" i="7"/>
  <c r="K109" i="7"/>
  <c r="I109" i="7"/>
  <c r="H109" i="7"/>
  <c r="G109" i="7"/>
  <c r="F109" i="7"/>
  <c r="E109" i="7"/>
  <c r="K108" i="7"/>
  <c r="I108" i="7"/>
  <c r="H108" i="7"/>
  <c r="G108" i="7"/>
  <c r="F108" i="7"/>
  <c r="K107" i="7"/>
  <c r="I107" i="7"/>
  <c r="H107" i="7"/>
  <c r="G107" i="7"/>
  <c r="F107" i="7"/>
  <c r="E107" i="7"/>
  <c r="K106" i="7"/>
  <c r="I106" i="7"/>
  <c r="H106" i="7"/>
  <c r="G106" i="7"/>
  <c r="F106" i="7"/>
  <c r="E106" i="7"/>
  <c r="K105" i="7"/>
  <c r="I105" i="7"/>
  <c r="H105" i="7"/>
  <c r="G105" i="7"/>
  <c r="F105" i="7"/>
  <c r="K104" i="7"/>
  <c r="I104" i="7"/>
  <c r="H104" i="7"/>
  <c r="G104" i="7"/>
  <c r="F104" i="7"/>
  <c r="E104" i="7"/>
  <c r="K102" i="7"/>
  <c r="I102" i="7"/>
  <c r="H102" i="7"/>
  <c r="G102" i="7"/>
  <c r="F102" i="7"/>
  <c r="E102" i="7"/>
  <c r="K101" i="7"/>
  <c r="I101" i="7"/>
  <c r="H101" i="7"/>
  <c r="G101" i="7"/>
  <c r="F101" i="7"/>
  <c r="K100" i="7"/>
  <c r="I100" i="7"/>
  <c r="H100" i="7"/>
  <c r="G100" i="7"/>
  <c r="F100" i="7"/>
  <c r="K99" i="7"/>
  <c r="I99" i="7"/>
  <c r="H99" i="7"/>
  <c r="G99" i="7"/>
  <c r="F99" i="7"/>
  <c r="E99" i="7"/>
  <c r="K97" i="7"/>
  <c r="I97" i="7"/>
  <c r="H97" i="7"/>
  <c r="G97" i="7"/>
  <c r="F97" i="7"/>
  <c r="K96" i="7"/>
  <c r="I96" i="7"/>
  <c r="H96" i="7"/>
  <c r="G96" i="7"/>
  <c r="F96" i="7"/>
  <c r="E96" i="7"/>
  <c r="K95" i="7"/>
  <c r="I95" i="7"/>
  <c r="H95" i="7"/>
  <c r="G95" i="7"/>
  <c r="F95" i="7"/>
  <c r="E95" i="7"/>
  <c r="K94" i="7"/>
  <c r="I94" i="7"/>
  <c r="H94" i="7"/>
  <c r="G94" i="7"/>
  <c r="F94" i="7"/>
  <c r="E94" i="7"/>
  <c r="K93" i="7"/>
  <c r="I93" i="7"/>
  <c r="H93" i="7"/>
  <c r="G93" i="7"/>
  <c r="F93" i="7"/>
  <c r="K92" i="7"/>
  <c r="I92" i="7"/>
  <c r="H92" i="7"/>
  <c r="G92" i="7"/>
  <c r="F92" i="7"/>
  <c r="K91" i="7"/>
  <c r="I91" i="7"/>
  <c r="H91" i="7"/>
  <c r="G91" i="7"/>
  <c r="F91" i="7"/>
  <c r="E91" i="7"/>
  <c r="K90" i="7"/>
  <c r="I90" i="7"/>
  <c r="H90" i="7"/>
  <c r="G90" i="7"/>
  <c r="F90" i="7"/>
  <c r="E90" i="7"/>
  <c r="K89" i="7"/>
  <c r="I89" i="7"/>
  <c r="H89" i="7"/>
  <c r="G89" i="7"/>
  <c r="F89" i="7"/>
  <c r="K88" i="7"/>
  <c r="I88" i="7"/>
  <c r="H88" i="7"/>
  <c r="G88" i="7"/>
  <c r="F88" i="7"/>
  <c r="K87" i="7"/>
  <c r="I87" i="7"/>
  <c r="H87" i="7"/>
  <c r="G87" i="7"/>
  <c r="F87" i="7"/>
  <c r="E87" i="7"/>
  <c r="K86" i="7"/>
  <c r="I86" i="7"/>
  <c r="H86" i="7"/>
  <c r="G86" i="7"/>
  <c r="F86" i="7"/>
  <c r="E86" i="7"/>
  <c r="K85" i="7"/>
  <c r="I85" i="7"/>
  <c r="H85" i="7"/>
  <c r="G85" i="7"/>
  <c r="F85" i="7"/>
  <c r="K84" i="7"/>
  <c r="I84" i="7"/>
  <c r="H84" i="7"/>
  <c r="G84" i="7"/>
  <c r="F84" i="7"/>
  <c r="E84" i="7"/>
  <c r="K83" i="7"/>
  <c r="I83" i="7"/>
  <c r="H83" i="7"/>
  <c r="G83" i="7"/>
  <c r="F83" i="7"/>
  <c r="E83" i="7"/>
  <c r="K82" i="7"/>
  <c r="I82" i="7"/>
  <c r="H82" i="7"/>
  <c r="G82" i="7"/>
  <c r="F82" i="7"/>
  <c r="E82" i="7"/>
  <c r="K81" i="7"/>
  <c r="I81" i="7"/>
  <c r="H81" i="7"/>
  <c r="G81" i="7"/>
  <c r="F81" i="7"/>
  <c r="K80" i="7"/>
  <c r="I80" i="7"/>
  <c r="H80" i="7"/>
  <c r="G80" i="7"/>
  <c r="F80" i="7"/>
  <c r="K79" i="7"/>
  <c r="I79" i="7"/>
  <c r="H79" i="7"/>
  <c r="G79" i="7"/>
  <c r="F79" i="7"/>
  <c r="I72" i="7"/>
  <c r="H72" i="7"/>
  <c r="G72" i="7"/>
  <c r="F72" i="7"/>
  <c r="J71" i="7"/>
  <c r="J70" i="7"/>
  <c r="L70" i="7" s="1"/>
  <c r="J69" i="7"/>
  <c r="J68" i="7"/>
  <c r="J67" i="7"/>
  <c r="J66" i="7"/>
  <c r="J65" i="7"/>
  <c r="J64" i="7"/>
  <c r="J63" i="7"/>
  <c r="J62" i="7"/>
  <c r="J61" i="7"/>
  <c r="L61" i="7" s="1"/>
  <c r="J60" i="7"/>
  <c r="J59" i="7"/>
  <c r="J58" i="7"/>
  <c r="L58" i="7" s="1"/>
  <c r="J57" i="7"/>
  <c r="J56" i="7"/>
  <c r="J55" i="7"/>
  <c r="L55" i="7" s="1"/>
  <c r="J53" i="7"/>
  <c r="L53" i="7" s="1"/>
  <c r="J52" i="7"/>
  <c r="L52" i="7" s="1"/>
  <c r="J51" i="7"/>
  <c r="L51" i="7" s="1"/>
  <c r="J50" i="7"/>
  <c r="L50" i="7" s="1"/>
  <c r="J49" i="7"/>
  <c r="L49" i="7" s="1"/>
  <c r="J48" i="7"/>
  <c r="L48" i="7" s="1"/>
  <c r="J47" i="7"/>
  <c r="L47" i="7" s="1"/>
  <c r="J46" i="7"/>
  <c r="L46" i="7" s="1"/>
  <c r="J45" i="7"/>
  <c r="L45" i="7" s="1"/>
  <c r="J44" i="7"/>
  <c r="L44" i="7" s="1"/>
  <c r="J43" i="7"/>
  <c r="L43" i="7" s="1"/>
  <c r="J42" i="7"/>
  <c r="L42" i="7" s="1"/>
  <c r="J41" i="7"/>
  <c r="J40" i="7"/>
  <c r="L40" i="7" s="1"/>
  <c r="J39" i="7"/>
  <c r="J38" i="7"/>
  <c r="L38" i="7" s="1"/>
  <c r="J37" i="7"/>
  <c r="L37" i="7" s="1"/>
  <c r="J36" i="7"/>
  <c r="L36" i="7" s="1"/>
  <c r="J35" i="7"/>
  <c r="J34" i="7"/>
  <c r="L34" i="7" s="1"/>
  <c r="J33" i="7"/>
  <c r="L33" i="7" s="1"/>
  <c r="J32" i="7"/>
  <c r="L32" i="7" s="1"/>
  <c r="J31" i="7"/>
  <c r="L31" i="7" s="1"/>
  <c r="J30" i="7"/>
  <c r="L30" i="7" s="1"/>
  <c r="J29" i="7"/>
  <c r="J28" i="7"/>
  <c r="L28" i="7" s="1"/>
  <c r="I27" i="7"/>
  <c r="H27" i="7"/>
  <c r="G27" i="7"/>
  <c r="F27" i="7"/>
  <c r="J25" i="7"/>
  <c r="L25" i="7" s="1"/>
  <c r="J23" i="7"/>
  <c r="J21" i="7"/>
  <c r="J19" i="7"/>
  <c r="J17" i="7"/>
  <c r="L17" i="7" s="1"/>
  <c r="J15" i="7"/>
  <c r="L15" i="7" s="1"/>
  <c r="J13" i="7"/>
  <c r="L13" i="7" s="1"/>
  <c r="J11" i="7"/>
  <c r="L11" i="7" s="1"/>
  <c r="J9" i="7"/>
  <c r="L9" i="7" s="1"/>
  <c r="J7" i="7"/>
  <c r="J82" i="7" s="1"/>
  <c r="L39" i="7" l="1"/>
  <c r="J116" i="7"/>
  <c r="J103" i="7"/>
  <c r="J98" i="7"/>
  <c r="L7" i="7"/>
  <c r="J86" i="7"/>
  <c r="J87" i="7"/>
  <c r="L22" i="7"/>
  <c r="J84" i="7"/>
  <c r="L19" i="7"/>
  <c r="L21" i="7"/>
  <c r="J83" i="7"/>
  <c r="L23" i="7"/>
  <c r="J92" i="7"/>
  <c r="L57" i="7"/>
  <c r="J94" i="7"/>
  <c r="L59" i="7"/>
  <c r="J99" i="7"/>
  <c r="L63" i="7"/>
  <c r="J102" i="7"/>
  <c r="L65" i="7"/>
  <c r="J108" i="7"/>
  <c r="L67" i="7"/>
  <c r="J112" i="7"/>
  <c r="J111" i="7"/>
  <c r="L69" i="7"/>
  <c r="J114" i="7"/>
  <c r="J115" i="7"/>
  <c r="L71" i="7"/>
  <c r="J93" i="7"/>
  <c r="J97" i="7"/>
  <c r="J113" i="7"/>
  <c r="J118" i="7"/>
  <c r="E88" i="7"/>
  <c r="E81" i="7"/>
  <c r="E85" i="7"/>
  <c r="J6" i="7"/>
  <c r="J16" i="7"/>
  <c r="L16" i="7" s="1"/>
  <c r="J26" i="7"/>
  <c r="J95" i="7"/>
  <c r="L29" i="7"/>
  <c r="J117" i="7"/>
  <c r="L35" i="7"/>
  <c r="J106" i="7"/>
  <c r="J107" i="7"/>
  <c r="L41" i="7"/>
  <c r="J90" i="7"/>
  <c r="J91" i="7"/>
  <c r="L56" i="7"/>
  <c r="J96" i="7"/>
  <c r="L60" i="7"/>
  <c r="L62" i="7"/>
  <c r="J100" i="7"/>
  <c r="L64" i="7"/>
  <c r="J104" i="7"/>
  <c r="L66" i="7"/>
  <c r="J110" i="7"/>
  <c r="L68" i="7"/>
  <c r="J72" i="7"/>
  <c r="E79" i="7"/>
  <c r="J89" i="7"/>
  <c r="J101" i="7"/>
  <c r="J105" i="7"/>
  <c r="J109" i="7"/>
  <c r="E118" i="7"/>
  <c r="E93" i="7"/>
  <c r="E105" i="7"/>
  <c r="E89" i="7"/>
  <c r="E97" i="7"/>
  <c r="E108" i="7"/>
  <c r="E112" i="7"/>
  <c r="E87" i="6"/>
  <c r="F87" i="6"/>
  <c r="G87" i="6"/>
  <c r="H87" i="6"/>
  <c r="J87" i="6"/>
  <c r="L72" i="7" l="1"/>
  <c r="J80" i="7"/>
  <c r="J79" i="7"/>
  <c r="L26" i="7"/>
  <c r="J85" i="7"/>
  <c r="J88" i="7"/>
  <c r="J81" i="7"/>
  <c r="J27" i="7"/>
  <c r="L6" i="7"/>
  <c r="E89" i="6"/>
  <c r="F89" i="6"/>
  <c r="G89" i="6"/>
  <c r="H89" i="6"/>
  <c r="J89" i="6"/>
  <c r="E90" i="6"/>
  <c r="F90" i="6"/>
  <c r="G90" i="6"/>
  <c r="H90" i="6"/>
  <c r="J90" i="6"/>
  <c r="E91" i="6"/>
  <c r="F91" i="6"/>
  <c r="G91" i="6"/>
  <c r="H91" i="6"/>
  <c r="J91" i="6"/>
  <c r="E92" i="6"/>
  <c r="F92" i="6"/>
  <c r="G92" i="6"/>
  <c r="H92" i="6"/>
  <c r="J92" i="6"/>
  <c r="E93" i="6"/>
  <c r="F93" i="6"/>
  <c r="G93" i="6"/>
  <c r="H93" i="6"/>
  <c r="J93" i="6"/>
  <c r="E94" i="6"/>
  <c r="F94" i="6"/>
  <c r="G94" i="6"/>
  <c r="H94" i="6"/>
  <c r="J94" i="6"/>
  <c r="E95" i="6"/>
  <c r="F95" i="6"/>
  <c r="G95" i="6"/>
  <c r="H95" i="6"/>
  <c r="J95" i="6"/>
  <c r="E96" i="6"/>
  <c r="F96" i="6"/>
  <c r="G96" i="6"/>
  <c r="H96" i="6"/>
  <c r="J96" i="6"/>
  <c r="E97" i="6"/>
  <c r="F97" i="6"/>
  <c r="G97" i="6"/>
  <c r="H97" i="6"/>
  <c r="J97" i="6"/>
  <c r="E98" i="6"/>
  <c r="F98" i="6"/>
  <c r="G98" i="6"/>
  <c r="H98" i="6"/>
  <c r="J98" i="6"/>
  <c r="E99" i="6"/>
  <c r="F99" i="6"/>
  <c r="G99" i="6"/>
  <c r="H99" i="6"/>
  <c r="J99" i="6"/>
  <c r="E100" i="6"/>
  <c r="F100" i="6"/>
  <c r="G100" i="6"/>
  <c r="H100" i="6"/>
  <c r="J100" i="6"/>
  <c r="E101" i="6"/>
  <c r="F101" i="6"/>
  <c r="G101" i="6"/>
  <c r="H101" i="6"/>
  <c r="J101" i="6"/>
  <c r="E102" i="6"/>
  <c r="F102" i="6"/>
  <c r="G102" i="6"/>
  <c r="H102" i="6"/>
  <c r="J102" i="6"/>
  <c r="E103" i="6"/>
  <c r="F103" i="6"/>
  <c r="G103" i="6"/>
  <c r="H103" i="6"/>
  <c r="J103" i="6"/>
  <c r="E104" i="6"/>
  <c r="F104" i="6"/>
  <c r="G104" i="6"/>
  <c r="H104" i="6"/>
  <c r="J104" i="6"/>
  <c r="E105" i="6"/>
  <c r="F105" i="6"/>
  <c r="G105" i="6"/>
  <c r="H105" i="6"/>
  <c r="J105" i="6"/>
  <c r="E106" i="6"/>
  <c r="F106" i="6"/>
  <c r="G106" i="6"/>
  <c r="H106" i="6"/>
  <c r="J106" i="6"/>
  <c r="E107" i="6"/>
  <c r="F107" i="6"/>
  <c r="G107" i="6"/>
  <c r="H107" i="6"/>
  <c r="J107" i="6"/>
  <c r="E108" i="6"/>
  <c r="F108" i="6"/>
  <c r="G108" i="6"/>
  <c r="H108" i="6"/>
  <c r="J108" i="6"/>
  <c r="E109" i="6"/>
  <c r="F109" i="6"/>
  <c r="G109" i="6"/>
  <c r="H109" i="6"/>
  <c r="J109" i="6"/>
  <c r="E110" i="6"/>
  <c r="F110" i="6"/>
  <c r="G110" i="6"/>
  <c r="H110" i="6"/>
  <c r="J110" i="6"/>
  <c r="E111" i="6"/>
  <c r="F111" i="6"/>
  <c r="G111" i="6"/>
  <c r="H111" i="6"/>
  <c r="J111" i="6"/>
  <c r="E112" i="6"/>
  <c r="F112" i="6"/>
  <c r="G112" i="6"/>
  <c r="H112" i="6"/>
  <c r="J112" i="6"/>
  <c r="E113" i="6"/>
  <c r="F113" i="6"/>
  <c r="G113" i="6"/>
  <c r="H113" i="6"/>
  <c r="J113" i="6"/>
  <c r="E114" i="6"/>
  <c r="F114" i="6"/>
  <c r="G114" i="6"/>
  <c r="H114" i="6"/>
  <c r="J114" i="6"/>
  <c r="E115" i="6"/>
  <c r="F115" i="6"/>
  <c r="G115" i="6"/>
  <c r="H115" i="6"/>
  <c r="J115" i="6"/>
  <c r="E116" i="6"/>
  <c r="F116" i="6"/>
  <c r="G116" i="6"/>
  <c r="H116" i="6"/>
  <c r="J116" i="6"/>
  <c r="D8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L27" i="7" l="1"/>
  <c r="D101" i="6"/>
  <c r="D100" i="6"/>
  <c r="D99" i="6"/>
  <c r="D98" i="6"/>
  <c r="D97" i="6"/>
  <c r="D96" i="6"/>
  <c r="D95" i="6"/>
  <c r="D94" i="6"/>
  <c r="D93" i="6"/>
  <c r="D92" i="6"/>
  <c r="D91" i="6"/>
  <c r="D90" i="6"/>
  <c r="E78" i="6"/>
  <c r="F78" i="6"/>
  <c r="G78" i="6"/>
  <c r="H78" i="6"/>
  <c r="J78" i="6"/>
  <c r="E79" i="6"/>
  <c r="F79" i="6"/>
  <c r="G79" i="6"/>
  <c r="H79" i="6"/>
  <c r="J79" i="6"/>
  <c r="E80" i="6"/>
  <c r="F80" i="6"/>
  <c r="G80" i="6"/>
  <c r="H80" i="6"/>
  <c r="J80" i="6"/>
  <c r="E81" i="6"/>
  <c r="F81" i="6"/>
  <c r="G81" i="6"/>
  <c r="H81" i="6"/>
  <c r="J81" i="6"/>
  <c r="E82" i="6"/>
  <c r="F82" i="6"/>
  <c r="G82" i="6"/>
  <c r="H82" i="6"/>
  <c r="J82" i="6"/>
  <c r="E83" i="6"/>
  <c r="F83" i="6"/>
  <c r="G83" i="6"/>
  <c r="H83" i="6"/>
  <c r="J83" i="6"/>
  <c r="E84" i="6"/>
  <c r="F84" i="6"/>
  <c r="G84" i="6"/>
  <c r="H84" i="6"/>
  <c r="J84" i="6"/>
  <c r="E85" i="6"/>
  <c r="F85" i="6"/>
  <c r="G85" i="6"/>
  <c r="H85" i="6"/>
  <c r="J85" i="6"/>
  <c r="E86" i="6"/>
  <c r="F86" i="6"/>
  <c r="G86" i="6"/>
  <c r="H86" i="6"/>
  <c r="J86" i="6"/>
  <c r="E88" i="6"/>
  <c r="F88" i="6"/>
  <c r="G88" i="6"/>
  <c r="H88" i="6"/>
  <c r="J88" i="6"/>
  <c r="D89" i="6"/>
  <c r="D88" i="6"/>
  <c r="D86" i="6"/>
  <c r="D85" i="6"/>
  <c r="D84" i="6"/>
  <c r="D83" i="6"/>
  <c r="D82" i="6"/>
  <c r="D81" i="6"/>
  <c r="D80" i="6"/>
  <c r="D79" i="6"/>
  <c r="D78" i="6"/>
  <c r="I32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83" i="6" l="1"/>
  <c r="I81" i="6"/>
  <c r="K8" i="6"/>
  <c r="K32" i="6"/>
  <c r="I100" i="6"/>
  <c r="I82" i="6"/>
  <c r="I79" i="6"/>
  <c r="I78" i="6"/>
  <c r="I85" i="6"/>
  <c r="I86" i="6"/>
  <c r="E27" i="6"/>
  <c r="F27" i="6"/>
  <c r="G27" i="6"/>
  <c r="H27" i="6"/>
  <c r="J27" i="6"/>
  <c r="E71" i="6"/>
  <c r="F71" i="6"/>
  <c r="G71" i="6"/>
  <c r="H71" i="6"/>
  <c r="J71" i="6"/>
  <c r="I29" i="6"/>
  <c r="I30" i="6"/>
  <c r="I31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28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8" i="6" l="1"/>
  <c r="I116" i="6"/>
  <c r="K69" i="6"/>
  <c r="I112" i="6"/>
  <c r="K67" i="6"/>
  <c r="I109" i="6"/>
  <c r="K65" i="6"/>
  <c r="I103" i="6"/>
  <c r="K63" i="6"/>
  <c r="I99" i="6"/>
  <c r="K61" i="6"/>
  <c r="I97" i="6"/>
  <c r="K59" i="6"/>
  <c r="I95" i="6"/>
  <c r="K57" i="6"/>
  <c r="I92" i="6"/>
  <c r="I89" i="6"/>
  <c r="I90" i="6"/>
  <c r="K53" i="6"/>
  <c r="K51" i="6"/>
  <c r="K49" i="6"/>
  <c r="I108" i="6"/>
  <c r="K47" i="6"/>
  <c r="K45" i="6"/>
  <c r="K43" i="6"/>
  <c r="K41" i="6"/>
  <c r="I105" i="6"/>
  <c r="I106" i="6"/>
  <c r="K39" i="6"/>
  <c r="K37" i="6"/>
  <c r="K35" i="6"/>
  <c r="I115" i="6"/>
  <c r="K33" i="6"/>
  <c r="K30" i="6"/>
  <c r="K70" i="6"/>
  <c r="I113" i="6"/>
  <c r="I114" i="6"/>
  <c r="K68" i="6"/>
  <c r="I110" i="6"/>
  <c r="I111" i="6"/>
  <c r="K66" i="6"/>
  <c r="I107" i="6"/>
  <c r="K64" i="6"/>
  <c r="I101" i="6"/>
  <c r="I102" i="6"/>
  <c r="K62" i="6"/>
  <c r="I98" i="6"/>
  <c r="K60" i="6"/>
  <c r="I96" i="6"/>
  <c r="K58" i="6"/>
  <c r="I93" i="6"/>
  <c r="K56" i="6"/>
  <c r="I91" i="6"/>
  <c r="K52" i="6"/>
  <c r="K50" i="6"/>
  <c r="K48" i="6"/>
  <c r="K46" i="6"/>
  <c r="K44" i="6"/>
  <c r="K42" i="6"/>
  <c r="K40" i="6"/>
  <c r="I104" i="6"/>
  <c r="K38" i="6"/>
  <c r="K36" i="6"/>
  <c r="K34" i="6"/>
  <c r="K31" i="6"/>
  <c r="K29" i="6"/>
  <c r="I94" i="6"/>
  <c r="K55" i="6"/>
  <c r="K54" i="6"/>
  <c r="I88" i="6"/>
  <c r="I71" i="6"/>
  <c r="I6" i="6"/>
  <c r="K71" i="6" l="1"/>
  <c r="I87" i="6"/>
  <c r="I80" i="6"/>
  <c r="I84" i="6"/>
  <c r="I27" i="6"/>
  <c r="K6" i="6"/>
  <c r="K27" i="6" s="1"/>
  <c r="D71" i="6"/>
  <c r="D27" i="6"/>
  <c r="F202" i="6" l="1"/>
  <c r="F201" i="6"/>
  <c r="F200" i="6"/>
  <c r="F199" i="6"/>
  <c r="F198" i="6"/>
  <c r="F195" i="6"/>
  <c r="F194" i="6"/>
  <c r="F184" i="6"/>
  <c r="F220" i="6" s="1"/>
  <c r="F183" i="6"/>
  <c r="F219" i="6" s="1"/>
  <c r="F182" i="6"/>
  <c r="F218" i="6" s="1"/>
  <c r="F181" i="6"/>
  <c r="F180" i="6"/>
  <c r="F216" i="6" s="1"/>
  <c r="F179" i="6"/>
  <c r="F178" i="6"/>
  <c r="F171" i="6"/>
  <c r="F149" i="6"/>
  <c r="F147" i="6"/>
  <c r="F215" i="6" s="1"/>
  <c r="F146" i="6"/>
  <c r="F214" i="6" s="1"/>
  <c r="F145" i="6"/>
  <c r="F133" i="6"/>
  <c r="F203" i="6" s="1"/>
  <c r="F127" i="6"/>
  <c r="F197" i="6" s="1"/>
  <c r="F126" i="6"/>
  <c r="F134" i="6" l="1"/>
  <c r="F154" i="6"/>
  <c r="F185" i="6"/>
  <c r="F217" i="6"/>
  <c r="F213" i="6"/>
  <c r="F196" i="6"/>
  <c r="F204" i="6" s="1"/>
  <c r="F221" i="6" l="1"/>
</calcChain>
</file>

<file path=xl/sharedStrings.xml><?xml version="1.0" encoding="utf-8"?>
<sst xmlns="http://schemas.openxmlformats.org/spreadsheetml/2006/main" count="3049" uniqueCount="217">
  <si>
    <t>COFOG</t>
  </si>
  <si>
    <t>011130</t>
  </si>
  <si>
    <t>K337</t>
  </si>
  <si>
    <t>K915</t>
  </si>
  <si>
    <t>018030</t>
  </si>
  <si>
    <t>K512</t>
  </si>
  <si>
    <t>072112</t>
  </si>
  <si>
    <t>K1101</t>
  </si>
  <si>
    <t>104042</t>
  </si>
  <si>
    <t>K2</t>
  </si>
  <si>
    <t>K336</t>
  </si>
  <si>
    <t>K351</t>
  </si>
  <si>
    <t>K355</t>
  </si>
  <si>
    <t>K64</t>
  </si>
  <si>
    <t>K67</t>
  </si>
  <si>
    <t>K71</t>
  </si>
  <si>
    <t>K74</t>
  </si>
  <si>
    <t>074031</t>
  </si>
  <si>
    <t xml:space="preserve">5100 - Komlói Kistérség Többcélú Önkormányzati Társulás
</t>
  </si>
  <si>
    <t>Részletező kód</t>
  </si>
  <si>
    <t xml:space="preserve"> 5103 - Háziorvosi ügyeleti ellátási díj</t>
  </si>
  <si>
    <t>Eredeti ei.</t>
  </si>
  <si>
    <t>K311</t>
  </si>
  <si>
    <t>K506</t>
  </si>
  <si>
    <t>5101-Gyepmesteri hozzájárulás</t>
  </si>
  <si>
    <t>B16</t>
  </si>
  <si>
    <t>1102- Tagdíj</t>
  </si>
  <si>
    <t>B403</t>
  </si>
  <si>
    <t>B8131</t>
  </si>
  <si>
    <t>1221- Normatíva</t>
  </si>
  <si>
    <t>5102-Tagdíj</t>
  </si>
  <si>
    <t>K61</t>
  </si>
  <si>
    <t>K63</t>
  </si>
  <si>
    <t>K312</t>
  </si>
  <si>
    <t>K333</t>
  </si>
  <si>
    <t>K341</t>
  </si>
  <si>
    <t>K47</t>
  </si>
  <si>
    <t>B25</t>
  </si>
  <si>
    <t>1100 - Komlói Kistérség Többcélú Önkormányzati Társulás</t>
  </si>
  <si>
    <t>B407</t>
  </si>
  <si>
    <t>B4082</t>
  </si>
  <si>
    <t>B411</t>
  </si>
  <si>
    <t>1223- Szociális ágazati pótlék</t>
  </si>
  <si>
    <t>Átcsoportosítás</t>
  </si>
  <si>
    <t>Rovat</t>
  </si>
  <si>
    <t>1103 - Háziorvosi ügyeleti ellátási díj</t>
  </si>
  <si>
    <t xml:space="preserve">1104 - TOP-4.2.1.-15-BA-2016-00004
   </t>
  </si>
  <si>
    <t xml:space="preserve">1105 - EFOP-1.5.2-16 Humán szolgáltatások fejlesztései a Komlói járásban
      </t>
  </si>
  <si>
    <t xml:space="preserve">5104 - TOP-4.2.1.-15-BA-2016-00004
   </t>
  </si>
  <si>
    <t xml:space="preserve">5105 - EFOP-1.5.2-16 Humán szolgáltatások fejlesztései a Komlói járásban
      </t>
  </si>
  <si>
    <t>1101- Gyepmesteri hozzájárulás</t>
  </si>
  <si>
    <t>Módosított ei.</t>
  </si>
  <si>
    <t>Módosított bevételek</t>
  </si>
  <si>
    <t>B166 Műk. c. tám. ért. bev. helyi önkormányzattól (szoc.ágazati pótlék)</t>
  </si>
  <si>
    <t>B166 Műk. c. tám. ért. bev. helyi önkormányzattól (bérkomp.)</t>
  </si>
  <si>
    <t>B166 Műk. c. tám. ért. bev. helyi önkormányzattól (finanszírozás)</t>
  </si>
  <si>
    <t>B166 Műk.c.tám.ért.bev. Helyi önkormányzattól</t>
  </si>
  <si>
    <t>B165 Műk.c.tám.ért.bev. elk.állami pénzalapoktól</t>
  </si>
  <si>
    <t>B1632 Egyéb fejezeti kezelésű működési c. támogatás</t>
  </si>
  <si>
    <t>B2516 Felhalmozási célú tám. ért. bev. helyi önkormányzattól</t>
  </si>
  <si>
    <t>B816 Központi, irányító szervi támogatás</t>
  </si>
  <si>
    <t>B8131 Előző évi ktgv. maradvány igénybevétele</t>
  </si>
  <si>
    <t>B4 Működési bevételek</t>
  </si>
  <si>
    <t>ÖSSZESEN:</t>
  </si>
  <si>
    <t>Módosított kiadások</t>
  </si>
  <si>
    <t>K915 Központi. Irányító szervi támogatás</t>
  </si>
  <si>
    <t>K1 Személyi juttatások</t>
  </si>
  <si>
    <t>K2 Járulékok</t>
  </si>
  <si>
    <t>K3 Dologi és folyó kiadások</t>
  </si>
  <si>
    <t>K50632 Egyéb műk. c. tám. Áht-n belülről</t>
  </si>
  <si>
    <t>Átcsoportosított bevételek</t>
  </si>
  <si>
    <t>Átcsoportosított kiadások</t>
  </si>
  <si>
    <t>K6 Beruházási kiadások</t>
  </si>
  <si>
    <t>K7 Felújítási kiadások</t>
  </si>
  <si>
    <t>BEVÉTELEK</t>
  </si>
  <si>
    <t>B166 Műk. c. tám. ért. bev. helyi önkormányzattól ( szoc.ágazati pótlék)</t>
  </si>
  <si>
    <t>KIADÁSOK</t>
  </si>
  <si>
    <t>K512 Műk.c.tám.ért.kiadás Áht-n kívülre</t>
  </si>
  <si>
    <t>K506 Műk.c.tám.ért.kiadás helyi önkormányzatnak</t>
  </si>
  <si>
    <t>K7 Felújítások</t>
  </si>
  <si>
    <t>K6 Beruházások</t>
  </si>
  <si>
    <t>Tény</t>
  </si>
  <si>
    <t>Komlói Kistérség Többcélú Önkormányzati Társulás 2019</t>
  </si>
  <si>
    <t>Módosítás</t>
  </si>
  <si>
    <t>Különbözet (módosított ei. - tény)</t>
  </si>
  <si>
    <t>BEVÉTEL ÖSSZESEN</t>
  </si>
  <si>
    <t>KIADÁS ÖSSZESEN</t>
  </si>
  <si>
    <t>1222 - Bérkompenzáció</t>
  </si>
  <si>
    <t>K123</t>
  </si>
  <si>
    <t>K322</t>
  </si>
  <si>
    <t>K84</t>
  </si>
  <si>
    <t>K352</t>
  </si>
  <si>
    <t>B8</t>
  </si>
  <si>
    <t>B4</t>
  </si>
  <si>
    <t>K1</t>
  </si>
  <si>
    <t>K3</t>
  </si>
  <si>
    <t>K5</t>
  </si>
  <si>
    <t>K6</t>
  </si>
  <si>
    <t>K7</t>
  </si>
  <si>
    <t>K</t>
  </si>
  <si>
    <t>PM INFO egyeztető:</t>
  </si>
  <si>
    <t>Komlói Kistérségi Többcélú Önkormányzati Társulás</t>
  </si>
  <si>
    <t>B</t>
  </si>
  <si>
    <t>Módosított ei. 04.30</t>
  </si>
  <si>
    <t>Tény 04.30</t>
  </si>
  <si>
    <t>Előirányzat változás 03.31</t>
  </si>
  <si>
    <t>Módosított ei. 03.31.</t>
  </si>
  <si>
    <t>Tény 03.31.</t>
  </si>
  <si>
    <t>Különbözet (módosított ei. - tény) 04.30</t>
  </si>
  <si>
    <t>Előirányzat változás 04.30.</t>
  </si>
  <si>
    <t>K8</t>
  </si>
  <si>
    <t>Tény 05.31.</t>
  </si>
  <si>
    <t>Módosított ei. 05.31.</t>
  </si>
  <si>
    <t>Módosított ei. 04.30.</t>
  </si>
  <si>
    <t>Különbözet (módosított ei. - tény) 05.31</t>
  </si>
  <si>
    <t>Előirányzat változás 05.31-ig</t>
  </si>
  <si>
    <t>Előirányzat változás 05.31.</t>
  </si>
  <si>
    <t>K342</t>
  </si>
  <si>
    <t>Módosítás EFOP-ár kül. Fin.</t>
  </si>
  <si>
    <t>Módosítás-Májusi normativa felmérés</t>
  </si>
  <si>
    <t>Módosítás-zárszámadás normativa</t>
  </si>
  <si>
    <t>Módosított ei. 06.30.</t>
  </si>
  <si>
    <t>Tény 06.30.</t>
  </si>
  <si>
    <t>Előirányzat változás 06.30.</t>
  </si>
  <si>
    <t>Különbözet (módosított ei. - tény) 06.30</t>
  </si>
  <si>
    <t>1111-EFOP-2.2.3.-17-2017-00050 Hajléktalanok életminőségének javítása és önálló életvitelének elősegítése Komlón</t>
  </si>
  <si>
    <t>Módosítás-EFOP 2.2.3. pályázat</t>
  </si>
  <si>
    <t>5111-EFOP-2.2.3.-17-2017-00050 Hajléktalanok életminőségének javítása és önálló életvitelének elősegítése Komlón</t>
  </si>
  <si>
    <t>107013</t>
  </si>
  <si>
    <t>Módosított ei. 07.31.</t>
  </si>
  <si>
    <t>Előirányzat változás 07.31.</t>
  </si>
  <si>
    <t>Különbözet (módosított ei. - tény) 07.31</t>
  </si>
  <si>
    <t>1111 - EFOP-2.2.3.-17-2017-00050 Hajléktalanok életminőségének javítása és önálló életvitelének elősegítése Komlón</t>
  </si>
  <si>
    <t>Tény 07.31.</t>
  </si>
  <si>
    <t>Előirányzat változás 08.31.</t>
  </si>
  <si>
    <t>Tény 08.31.</t>
  </si>
  <si>
    <t>Különbözet (módosított ei. - tény) 08.31</t>
  </si>
  <si>
    <t>Módosított ei. 08.31.</t>
  </si>
  <si>
    <t>5103 - Háziorvosi ügyeleti ellátási díj</t>
  </si>
  <si>
    <t>B406</t>
  </si>
  <si>
    <t>FŐKÖNYV egyeztető:</t>
  </si>
  <si>
    <t>Módosítás Bevételi többlet</t>
  </si>
  <si>
    <t>Módosított ei. 09.30.</t>
  </si>
  <si>
    <t xml:space="preserve">Előirányzat változás </t>
  </si>
  <si>
    <t>Módosítás Min.bér és gar.bérmin. tám.</t>
  </si>
  <si>
    <t>B816 Központi irányító szervi támogatás (bérkomp/szoc.ág.)</t>
  </si>
  <si>
    <t>B816 Központi irányító szervi támogatás (normatíva)</t>
  </si>
  <si>
    <t>B16  Műk.c.tám.ért.bev.helyi önkormányzattól</t>
  </si>
  <si>
    <t>B16  Műk.c.tám.ért.bev. elk.állami pénzalapoktól</t>
  </si>
  <si>
    <t>B5 Felhalmozási bevételek</t>
  </si>
  <si>
    <t>K5066 Műk.c.tám.ért.kiadás helyi önkormányzatnak</t>
  </si>
  <si>
    <t>K6 Felhalmozási kiadások</t>
  </si>
  <si>
    <t>K50233 Elvonások és befizetések</t>
  </si>
  <si>
    <t>B16  Egyéb fejezeti kezelésű működési c. támogatás</t>
  </si>
  <si>
    <t>B25 Felhalmozási célú tám. ért. bev. helyi önkormányzattól</t>
  </si>
  <si>
    <t>B16 Műk.c.tám.ért.bev. Helyi önkormányzattól</t>
  </si>
  <si>
    <t>B16 Egyéb fejezeti kezelésű működési c. támogatás</t>
  </si>
  <si>
    <t>K7 felújítások</t>
  </si>
  <si>
    <t>B25  Felhalmozási célú tám. ért. bev. (EU-s támogatás)</t>
  </si>
  <si>
    <t>B16  Műk.c.tám.ért.bev. (EU-s támogatás)</t>
  </si>
  <si>
    <t>B16 Műk.c.tám.ért.bev. (EU-s támogatás)</t>
  </si>
  <si>
    <t>B25 Felhalmozási célú tám. ért. bev. (EU-s támogatás)</t>
  </si>
  <si>
    <t>K5066 egyéb fejezeti kezelésű kiadás</t>
  </si>
  <si>
    <t>Módosítás Augusztusi norm.korrekció</t>
  </si>
  <si>
    <t>Előirányzat változás 09.30.</t>
  </si>
  <si>
    <t>Különbözet (módosított ei. - tény) 09.30.</t>
  </si>
  <si>
    <t>Tény 09.30.</t>
  </si>
  <si>
    <t>Előirányzat változás 10.31.</t>
  </si>
  <si>
    <t>Módosított ei. 10.31.</t>
  </si>
  <si>
    <t>Tény 10.31.</t>
  </si>
  <si>
    <t>Különbözet (módosított ei. - tény) 10.31.</t>
  </si>
  <si>
    <t>Módosítás Belső ellenőri megtakarítás</t>
  </si>
  <si>
    <t>Módosított ei. 11.30.</t>
  </si>
  <si>
    <t>Módosítás Központi tám.korrekciója</t>
  </si>
  <si>
    <t>Módosítás-Októberi norm.változás</t>
  </si>
  <si>
    <t>Atcsoportosítás - Metaki</t>
  </si>
  <si>
    <t>Saját bevételi többlet</t>
  </si>
  <si>
    <t>Előirányzat változás 11.30.</t>
  </si>
  <si>
    <t>Tény 11.30.</t>
  </si>
  <si>
    <t>Különbözet (módosított ei. - tény) 11.30.</t>
  </si>
  <si>
    <t>Előirányzat változás 12.31.</t>
  </si>
  <si>
    <t>Módosított ei. 12.31.</t>
  </si>
  <si>
    <t>Tény 12.31.</t>
  </si>
  <si>
    <t>Különbözet (módosított ei. - tény) 12.31.</t>
  </si>
  <si>
    <t>K321</t>
  </si>
  <si>
    <t>Módosítás-EFOP-1.5.2 támogatás csökkentése</t>
  </si>
  <si>
    <t>Módosítás-Jelzőrendszeres támogatás visszafiz.2018</t>
  </si>
  <si>
    <t>Módosítás-EFOP-2.2.3-17-2017-00050 támog.1.sz. kifizetés</t>
  </si>
  <si>
    <t>Módosítás-Saját bevételi többlet</t>
  </si>
  <si>
    <t>Módosítás-Központi támogatás korrek.(bérkomp.)</t>
  </si>
  <si>
    <t>Módosítás-Szászvár hj. levétele</t>
  </si>
  <si>
    <t>B16 Központi irányító szervi támogatás (bérkomp/szoc.ág.)</t>
  </si>
  <si>
    <t>B16 Központi irányító szervi támogatás (normatíva)</t>
  </si>
  <si>
    <t>B16 Központi irányító szervi támogatás (jelzőrendszeres hs.tám)</t>
  </si>
  <si>
    <t>Módosítás-Működési bevétel változás</t>
  </si>
  <si>
    <t>Módosítás - Szociális ágazati összevont pótlék</t>
  </si>
  <si>
    <t>Módosítás - Szociális ágazati összevont pótlék (Tóth Andrea)</t>
  </si>
  <si>
    <t>K335</t>
  </si>
  <si>
    <t>107014</t>
  </si>
  <si>
    <t xml:space="preserve">Különbözet (módosított ei. - tény) </t>
  </si>
  <si>
    <t>Módosított ei.05.31.</t>
  </si>
  <si>
    <t>Komlói Kistérség Többcélú Önkormányzati Társulás 2021.</t>
  </si>
  <si>
    <t>Óvodai és isk.szoc.seg.tevékenység tám.</t>
  </si>
  <si>
    <t>Min.bér és gar.bérmin.évközi kieg.tám.</t>
  </si>
  <si>
    <t>Előirányzat változás 2021.01.01 - 06.30.</t>
  </si>
  <si>
    <t>Saját bevételi többlet (EFOP kerekítés)</t>
  </si>
  <si>
    <t>Májusi normatíva felmérés (alap normatíva)</t>
  </si>
  <si>
    <t>Májusi normatíva felmérés (étkezés normatíva)</t>
  </si>
  <si>
    <t>Előirányzat változás 2021.06.01 - 09.30.</t>
  </si>
  <si>
    <t>2020.évi beszámoló alapján járó tám.ért.műk.c.tám.</t>
  </si>
  <si>
    <t>B816 Központi irányító szervi támogatás (kieg.tám.)</t>
  </si>
  <si>
    <t>B816 Központi irányító szervi támogatás (bérkomp)</t>
  </si>
  <si>
    <t>B16  Műk.c.tám.ért.bev. EU-s támogatás</t>
  </si>
  <si>
    <t>B25  Felhalmozási célú tám. ért. bev. helyi önkormányzattól</t>
  </si>
  <si>
    <t>B16  Műk.c.tám.ért.bev.helyi önk-tól</t>
  </si>
  <si>
    <t>B16 Egyéb műk.c.tám.ért.bev.</t>
  </si>
  <si>
    <t>2021.évi kieső bérkomp. Tám.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</si>
</sst>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Ft&quot;;[Red]\-#,##0\ &quot;Ft&quot;"/>
    <numFmt numFmtId="43" formatCode="_-* #,##0.00_-;\-* #,##0.00_-;_-* &quot;-&quot;??_-;_-@_-"/>
    <numFmt numFmtId="164" formatCode="#,##0\ &quot;Ft&quot;"/>
    <numFmt numFmtId="165" formatCode="_-* #,##0_-;\-* #,##0_-;_-* &quot;-&quot;??_-;_-@_-"/>
    <numFmt numFmtId="166" formatCode="#,##0_ ;\-#,##0\ "/>
  </numFmts>
  <fonts count="17" x14ac:knownFonts="1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DF4AA"/>
        <bgColor indexed="64"/>
      </patternFill>
    </fill>
    <fill>
      <patternFill patternType="solid">
        <fgColor rgb="FFD4E53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72"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3" fontId="0" fillId="2" borderId="0" xfId="0" applyNumberFormat="1" applyFill="1" applyProtection="1">
      <protection locked="0"/>
    </xf>
    <xf numFmtId="3" fontId="2" fillId="2" borderId="0" xfId="0" applyNumberFormat="1" applyFont="1" applyFill="1" applyProtection="1">
      <protection locked="0"/>
    </xf>
    <xf numFmtId="3" fontId="0" fillId="2" borderId="1" xfId="0" applyNumberFormat="1" applyFill="1" applyBorder="1" applyProtection="1">
      <protection locked="0"/>
    </xf>
    <xf numFmtId="0" fontId="2" fillId="2" borderId="0" xfId="0" applyFont="1" applyFill="1" applyProtection="1">
      <protection locked="0"/>
    </xf>
    <xf numFmtId="49" fontId="2" fillId="2" borderId="1" xfId="0" applyNumberFormat="1" applyFont="1" applyFill="1" applyBorder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0" fillId="2" borderId="0" xfId="0" applyFill="1"/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0" fontId="3" fillId="0" borderId="10" xfId="0" applyFont="1" applyBorder="1"/>
    <xf numFmtId="0" fontId="3" fillId="0" borderId="10" xfId="0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/>
    <xf numFmtId="0" fontId="1" fillId="0" borderId="10" xfId="0" applyFont="1" applyBorder="1" applyAlignment="1">
      <alignment horizontal="right"/>
    </xf>
    <xf numFmtId="3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3" fontId="0" fillId="0" borderId="8" xfId="0" applyNumberFormat="1" applyBorder="1" applyProtection="1">
      <protection locked="0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3" fontId="2" fillId="0" borderId="8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3" fontId="1" fillId="0" borderId="8" xfId="0" applyNumberFormat="1" applyFont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3" fontId="4" fillId="0" borderId="1" xfId="0" applyNumberFormat="1" applyFont="1" applyBorder="1" applyProtection="1">
      <protection locked="0"/>
    </xf>
    <xf numFmtId="3" fontId="1" fillId="5" borderId="1" xfId="0" applyNumberFormat="1" applyFont="1" applyFill="1" applyBorder="1" applyAlignment="1" applyProtection="1">
      <alignment vertical="center"/>
      <protection locked="0"/>
    </xf>
    <xf numFmtId="3" fontId="1" fillId="6" borderId="1" xfId="0" applyNumberFormat="1" applyFont="1" applyFill="1" applyBorder="1" applyAlignment="1" applyProtection="1">
      <alignment vertical="center"/>
      <protection locked="0"/>
    </xf>
    <xf numFmtId="165" fontId="0" fillId="2" borderId="1" xfId="1" applyNumberFormat="1" applyFont="1" applyFill="1" applyBorder="1" applyProtection="1">
      <protection locked="0"/>
    </xf>
    <xf numFmtId="165" fontId="0" fillId="2" borderId="0" xfId="1" applyNumberFormat="1" applyFont="1" applyFill="1" applyProtection="1">
      <protection locked="0"/>
    </xf>
    <xf numFmtId="165" fontId="1" fillId="5" borderId="1" xfId="1" applyNumberFormat="1" applyFont="1" applyFill="1" applyBorder="1" applyAlignment="1" applyProtection="1">
      <alignment vertical="center"/>
      <protection locked="0"/>
    </xf>
    <xf numFmtId="165" fontId="1" fillId="6" borderId="1" xfId="1" applyNumberFormat="1" applyFont="1" applyFill="1" applyBorder="1" applyAlignment="1" applyProtection="1">
      <alignment vertical="center"/>
      <protection locked="0"/>
    </xf>
    <xf numFmtId="165" fontId="0" fillId="0" borderId="0" xfId="1" applyNumberFormat="1" applyFont="1"/>
    <xf numFmtId="1" fontId="0" fillId="2" borderId="1" xfId="1" applyNumberFormat="1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3" fontId="1" fillId="7" borderId="1" xfId="0" applyNumberFormat="1" applyFont="1" applyFill="1" applyBorder="1" applyProtection="1">
      <protection locked="0"/>
    </xf>
    <xf numFmtId="165" fontId="1" fillId="7" borderId="1" xfId="1" applyNumberFormat="1" applyFont="1" applyFill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" fillId="8" borderId="1" xfId="0" applyFont="1" applyFill="1" applyBorder="1" applyProtection="1">
      <protection locked="0"/>
    </xf>
    <xf numFmtId="3" fontId="1" fillId="8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1" fillId="2" borderId="0" xfId="0" applyNumberFormat="1" applyFont="1" applyFill="1" applyProtection="1">
      <protection locked="0"/>
    </xf>
    <xf numFmtId="165" fontId="1" fillId="2" borderId="0" xfId="1" applyNumberFormat="1" applyFont="1" applyFill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4" fontId="0" fillId="2" borderId="0" xfId="0" applyNumberFormat="1" applyFill="1" applyProtection="1">
      <protection locked="0"/>
    </xf>
    <xf numFmtId="3" fontId="0" fillId="2" borderId="1" xfId="0" applyNumberFormat="1" applyFill="1" applyBorder="1" applyAlignment="1" applyProtection="1"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165" fontId="1" fillId="8" borderId="1" xfId="1" applyNumberFormat="1" applyFont="1" applyFill="1" applyBorder="1" applyProtection="1">
      <protection locked="0"/>
    </xf>
    <xf numFmtId="165" fontId="1" fillId="2" borderId="1" xfId="1" applyNumberFormat="1" applyFont="1" applyFill="1" applyBorder="1" applyProtection="1">
      <protection locked="0"/>
    </xf>
    <xf numFmtId="3" fontId="0" fillId="2" borderId="1" xfId="1" applyNumberFormat="1" applyFont="1" applyFill="1" applyBorder="1" applyProtection="1">
      <protection locked="0"/>
    </xf>
    <xf numFmtId="166" fontId="0" fillId="2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1" fillId="7" borderId="1" xfId="0" applyFont="1" applyFill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3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1" xfId="0" applyNumberFormat="1" applyFont="1" applyFill="1" applyBorder="1" applyAlignment="1" applyProtection="1">
      <alignment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1" xfId="0" applyNumberFormat="1" applyFont="1" applyFill="1" applyBorder="1" applyAlignment="1" applyProtection="1">
      <alignment vertical="center"/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/>
      <protection locked="0"/>
    </xf>
    <xf numFmtId="49" fontId="2" fillId="2" borderId="1" xfId="0" applyNumberFormat="1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165" fontId="4" fillId="2" borderId="0" xfId="1" applyNumberFormat="1" applyFont="1" applyFill="1" applyProtection="1">
      <protection locked="0"/>
    </xf>
    <xf numFmtId="14" fontId="4" fillId="2" borderId="0" xfId="1" applyNumberFormat="1" applyFont="1" applyFill="1" applyProtection="1">
      <protection locked="0"/>
    </xf>
    <xf numFmtId="3" fontId="4" fillId="2" borderId="1" xfId="1" applyNumberFormat="1" applyFont="1" applyFill="1" applyBorder="1" applyProtection="1">
      <protection locked="0"/>
    </xf>
    <xf numFmtId="3" fontId="8" fillId="11" borderId="1" xfId="0" applyNumberFormat="1" applyFont="1" applyFill="1" applyBorder="1" applyAlignment="1" applyProtection="1">
      <alignment vertical="center"/>
      <protection locked="0"/>
    </xf>
    <xf numFmtId="166" fontId="4" fillId="2" borderId="1" xfId="1" applyNumberFormat="1" applyFont="1" applyFill="1" applyBorder="1" applyProtection="1">
      <protection locked="0"/>
    </xf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1" applyNumberFormat="1" applyFont="1" applyFill="1" applyBorder="1" applyProtection="1">
      <protection locked="0"/>
    </xf>
    <xf numFmtId="3" fontId="4" fillId="2" borderId="1" xfId="0" applyNumberFormat="1" applyFont="1" applyFill="1" applyBorder="1" applyProtection="1">
      <protection locked="0"/>
    </xf>
    <xf numFmtId="165" fontId="8" fillId="8" borderId="1" xfId="1" applyNumberFormat="1" applyFont="1" applyFill="1" applyBorder="1" applyProtection="1">
      <protection locked="0"/>
    </xf>
    <xf numFmtId="3" fontId="8" fillId="8" borderId="1" xfId="0" applyNumberFormat="1" applyFont="1" applyFill="1" applyBorder="1" applyProtection="1">
      <protection locked="0"/>
    </xf>
    <xf numFmtId="165" fontId="8" fillId="2" borderId="1" xfId="1" applyNumberFormat="1" applyFont="1" applyFill="1" applyBorder="1" applyProtection="1">
      <protection locked="0"/>
    </xf>
    <xf numFmtId="165" fontId="8" fillId="2" borderId="0" xfId="1" applyNumberFormat="1" applyFont="1" applyFill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3" fontId="1" fillId="1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4" borderId="1" xfId="0" applyFont="1" applyFill="1" applyBorder="1" applyAlignment="1" applyProtection="1">
      <alignment horizontal="center" vertical="center" wrapText="1"/>
      <protection locked="0"/>
    </xf>
    <xf numFmtId="3" fontId="1" fillId="14" borderId="1" xfId="0" applyNumberFormat="1" applyFont="1" applyFill="1" applyBorder="1" applyAlignment="1" applyProtection="1">
      <alignment vertical="center"/>
      <protection locked="0"/>
    </xf>
    <xf numFmtId="3" fontId="8" fillId="14" borderId="1" xfId="0" applyNumberFormat="1" applyFont="1" applyFill="1" applyBorder="1" applyAlignment="1" applyProtection="1">
      <alignment vertical="center"/>
      <protection locked="0"/>
    </xf>
    <xf numFmtId="3" fontId="0" fillId="0" borderId="1" xfId="0" applyNumberFormat="1" applyFill="1" applyBorder="1" applyProtection="1"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3" fontId="1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1" xfId="0" applyFont="1" applyFill="1" applyBorder="1" applyAlignment="1" applyProtection="1">
      <alignment horizontal="center" vertical="center" wrapText="1"/>
      <protection locked="0"/>
    </xf>
    <xf numFmtId="3" fontId="1" fillId="16" borderId="1" xfId="0" applyNumberFormat="1" applyFont="1" applyFill="1" applyBorder="1" applyAlignment="1" applyProtection="1">
      <alignment vertical="center"/>
      <protection locked="0"/>
    </xf>
    <xf numFmtId="3" fontId="8" fillId="16" borderId="1" xfId="0" applyNumberFormat="1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3" fontId="4" fillId="0" borderId="1" xfId="1" applyNumberFormat="1" applyFont="1" applyFill="1" applyBorder="1" applyProtection="1">
      <protection locked="0"/>
    </xf>
    <xf numFmtId="166" fontId="4" fillId="0" borderId="1" xfId="1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165" fontId="4" fillId="0" borderId="1" xfId="1" applyNumberFormat="1" applyFont="1" applyFill="1" applyBorder="1" applyProtection="1">
      <protection locked="0"/>
    </xf>
    <xf numFmtId="3" fontId="1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3" fontId="1" fillId="19" borderId="1" xfId="0" applyNumberFormat="1" applyFont="1" applyFill="1" applyBorder="1" applyAlignment="1" applyProtection="1">
      <alignment vertical="center"/>
      <protection locked="0"/>
    </xf>
    <xf numFmtId="3" fontId="8" fillId="19" borderId="1" xfId="0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3" fontId="0" fillId="20" borderId="1" xfId="0" applyNumberFormat="1" applyFill="1" applyBorder="1" applyProtection="1"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1" fillId="0" borderId="10" xfId="0" applyNumberFormat="1" applyFont="1" applyBorder="1" applyAlignment="1">
      <alignment horizontal="right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3" fontId="1" fillId="21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1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3" fontId="4" fillId="0" borderId="1" xfId="0" applyNumberFormat="1" applyFon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7" fillId="21" borderId="4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3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10" fillId="7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right" vertical="center"/>
    </xf>
    <xf numFmtId="164" fontId="11" fillId="0" borderId="1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3" fontId="1" fillId="12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2" fillId="0" borderId="8" xfId="0" applyNumberFormat="1" applyFont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3" fontId="13" fillId="2" borderId="1" xfId="1" applyNumberFormat="1" applyFont="1" applyFill="1" applyBorder="1" applyProtection="1">
      <protection locked="0"/>
    </xf>
    <xf numFmtId="49" fontId="12" fillId="2" borderId="6" xfId="0" applyNumberFormat="1" applyFont="1" applyFill="1" applyBorder="1" applyAlignment="1" applyProtection="1">
      <alignment vertical="center"/>
      <protection locked="0"/>
    </xf>
    <xf numFmtId="3" fontId="13" fillId="0" borderId="1" xfId="1" applyNumberFormat="1" applyFont="1" applyFill="1" applyBorder="1" applyProtection="1">
      <protection locked="0"/>
    </xf>
    <xf numFmtId="3" fontId="12" fillId="0" borderId="1" xfId="0" applyNumberFormat="1" applyFont="1" applyFill="1" applyBorder="1" applyProtection="1">
      <protection locked="0"/>
    </xf>
    <xf numFmtId="49" fontId="12" fillId="2" borderId="7" xfId="0" applyNumberFormat="1" applyFont="1" applyFill="1" applyBorder="1" applyAlignment="1" applyProtection="1">
      <alignment vertical="center"/>
      <protection locked="0"/>
    </xf>
    <xf numFmtId="49" fontId="12" fillId="2" borderId="2" xfId="0" applyNumberFormat="1" applyFont="1" applyFill="1" applyBorder="1" applyAlignment="1" applyProtection="1">
      <alignment vertical="center"/>
      <protection locked="0"/>
    </xf>
    <xf numFmtId="49" fontId="12" fillId="2" borderId="4" xfId="0" applyNumberFormat="1" applyFont="1" applyFill="1" applyBorder="1" applyAlignment="1" applyProtection="1">
      <alignment vertical="center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49" fontId="12" fillId="2" borderId="1" xfId="0" applyNumberFormat="1" applyFont="1" applyFill="1" applyBorder="1" applyAlignment="1" applyProtection="1">
      <alignment vertical="center"/>
      <protection locked="0"/>
    </xf>
    <xf numFmtId="49" fontId="12" fillId="2" borderId="3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wrapText="1"/>
      <protection locked="0"/>
    </xf>
    <xf numFmtId="3" fontId="13" fillId="0" borderId="1" xfId="0" applyNumberFormat="1" applyFont="1" applyBorder="1" applyProtection="1">
      <protection locked="0"/>
    </xf>
    <xf numFmtId="0" fontId="12" fillId="2" borderId="1" xfId="0" applyFont="1" applyFill="1" applyBorder="1" applyAlignment="1" applyProtection="1">
      <protection locked="0"/>
    </xf>
    <xf numFmtId="3" fontId="14" fillId="12" borderId="2" xfId="0" applyNumberFormat="1" applyFont="1" applyFill="1" applyBorder="1" applyAlignment="1" applyProtection="1">
      <alignment vertical="center"/>
      <protection locked="0"/>
    </xf>
    <xf numFmtId="3" fontId="14" fillId="12" borderId="27" xfId="0" applyNumberFormat="1" applyFont="1" applyFill="1" applyBorder="1" applyAlignment="1" applyProtection="1">
      <alignment vertical="center"/>
      <protection locked="0"/>
    </xf>
    <xf numFmtId="3" fontId="15" fillId="12" borderId="2" xfId="0" applyNumberFormat="1" applyFont="1" applyFill="1" applyBorder="1" applyAlignment="1" applyProtection="1">
      <alignment vertical="center"/>
      <protection locked="0"/>
    </xf>
    <xf numFmtId="0" fontId="12" fillId="2" borderId="20" xfId="0" applyFont="1" applyFill="1" applyBorder="1" applyAlignment="1" applyProtection="1">
      <alignment vertical="center"/>
      <protection locked="0"/>
    </xf>
    <xf numFmtId="0" fontId="12" fillId="0" borderId="17" xfId="0" applyFont="1" applyBorder="1" applyProtection="1">
      <protection locked="0"/>
    </xf>
    <xf numFmtId="3" fontId="12" fillId="0" borderId="17" xfId="0" applyNumberFormat="1" applyFont="1" applyBorder="1" applyAlignment="1" applyProtection="1">
      <alignment horizontal="right"/>
      <protection locked="0"/>
    </xf>
    <xf numFmtId="3" fontId="14" fillId="0" borderId="18" xfId="0" applyNumberFormat="1" applyFont="1" applyBorder="1" applyProtection="1">
      <protection locked="0"/>
    </xf>
    <xf numFmtId="3" fontId="12" fillId="0" borderId="17" xfId="0" applyNumberFormat="1" applyFont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166" fontId="13" fillId="2" borderId="17" xfId="1" applyNumberFormat="1" applyFont="1" applyFill="1" applyBorder="1" applyProtection="1">
      <protection locked="0"/>
    </xf>
    <xf numFmtId="3" fontId="12" fillId="2" borderId="24" xfId="0" applyNumberFormat="1" applyFont="1" applyFill="1" applyBorder="1" applyProtection="1"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166" fontId="13" fillId="2" borderId="1" xfId="1" applyNumberFormat="1" applyFont="1" applyFill="1" applyBorder="1" applyProtection="1">
      <protection locked="0"/>
    </xf>
    <xf numFmtId="3" fontId="12" fillId="2" borderId="25" xfId="0" applyNumberFormat="1" applyFont="1" applyFill="1" applyBorder="1" applyProtection="1">
      <protection locked="0"/>
    </xf>
    <xf numFmtId="3" fontId="12" fillId="0" borderId="25" xfId="0" applyNumberFormat="1" applyFont="1" applyFill="1" applyBorder="1" applyProtection="1">
      <protection locked="0"/>
    </xf>
    <xf numFmtId="49" fontId="12" fillId="11" borderId="3" xfId="0" applyNumberFormat="1" applyFont="1" applyFill="1" applyBorder="1" applyAlignment="1" applyProtection="1">
      <alignment vertical="center"/>
      <protection locked="0"/>
    </xf>
    <xf numFmtId="0" fontId="12" fillId="11" borderId="1" xfId="0" applyFont="1" applyFill="1" applyBorder="1" applyProtection="1">
      <protection locked="0"/>
    </xf>
    <xf numFmtId="3" fontId="12" fillId="11" borderId="1" xfId="0" applyNumberFormat="1" applyFont="1" applyFill="1" applyBorder="1" applyProtection="1">
      <protection locked="0"/>
    </xf>
    <xf numFmtId="166" fontId="13" fillId="0" borderId="1" xfId="1" applyNumberFormat="1" applyFont="1" applyFill="1" applyBorder="1" applyProtection="1">
      <protection locked="0"/>
    </xf>
    <xf numFmtId="3" fontId="14" fillId="0" borderId="8" xfId="0" applyNumberFormat="1" applyFont="1" applyBorder="1" applyProtection="1">
      <protection locked="0"/>
    </xf>
    <xf numFmtId="49" fontId="12" fillId="11" borderId="2" xfId="0" applyNumberFormat="1" applyFont="1" applyFill="1" applyBorder="1" applyAlignment="1" applyProtection="1">
      <alignment vertical="center"/>
      <protection locked="0"/>
    </xf>
    <xf numFmtId="0" fontId="12" fillId="11" borderId="2" xfId="0" applyFont="1" applyFill="1" applyBorder="1" applyProtection="1">
      <protection locked="0"/>
    </xf>
    <xf numFmtId="3" fontId="12" fillId="11" borderId="2" xfId="0" applyNumberFormat="1" applyFont="1" applyFill="1" applyBorder="1" applyProtection="1">
      <protection locked="0"/>
    </xf>
    <xf numFmtId="3" fontId="12" fillId="11" borderId="14" xfId="0" applyNumberFormat="1" applyFont="1" applyFill="1" applyBorder="1" applyProtection="1">
      <protection locked="0"/>
    </xf>
    <xf numFmtId="166" fontId="13" fillId="11" borderId="2" xfId="1" applyNumberFormat="1" applyFont="1" applyFill="1" applyBorder="1" applyProtection="1">
      <protection locked="0"/>
    </xf>
    <xf numFmtId="3" fontId="12" fillId="11" borderId="38" xfId="0" applyNumberFormat="1" applyFont="1" applyFill="1" applyBorder="1" applyProtection="1">
      <protection locked="0"/>
    </xf>
    <xf numFmtId="49" fontId="12" fillId="11" borderId="41" xfId="0" applyNumberFormat="1" applyFont="1" applyFill="1" applyBorder="1" applyAlignment="1" applyProtection="1">
      <alignment horizontal="left" vertical="center"/>
      <protection locked="0"/>
    </xf>
    <xf numFmtId="0" fontId="12" fillId="11" borderId="42" xfId="0" applyFont="1" applyFill="1" applyBorder="1" applyProtection="1">
      <protection locked="0"/>
    </xf>
    <xf numFmtId="3" fontId="12" fillId="11" borderId="42" xfId="0" applyNumberFormat="1" applyFont="1" applyFill="1" applyBorder="1" applyProtection="1">
      <protection locked="0"/>
    </xf>
    <xf numFmtId="3" fontId="12" fillId="11" borderId="43" xfId="0" applyNumberFormat="1" applyFont="1" applyFill="1" applyBorder="1" applyProtection="1">
      <protection locked="0"/>
    </xf>
    <xf numFmtId="166" fontId="13" fillId="11" borderId="42" xfId="1" applyNumberFormat="1" applyFont="1" applyFill="1" applyBorder="1" applyProtection="1">
      <protection locked="0"/>
    </xf>
    <xf numFmtId="3" fontId="12" fillId="11" borderId="44" xfId="0" applyNumberFormat="1" applyFont="1" applyFill="1" applyBorder="1" applyProtection="1">
      <protection locked="0"/>
    </xf>
    <xf numFmtId="49" fontId="12" fillId="2" borderId="45" xfId="0" applyNumberFormat="1" applyFont="1" applyFill="1" applyBorder="1" applyAlignment="1" applyProtection="1">
      <alignment vertical="center"/>
      <protection locked="0"/>
    </xf>
    <xf numFmtId="0" fontId="12" fillId="0" borderId="7" xfId="0" applyFont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2" fillId="0" borderId="16" xfId="0" applyNumberFormat="1" applyFont="1" applyBorder="1" applyProtection="1">
      <protection locked="0"/>
    </xf>
    <xf numFmtId="166" fontId="13" fillId="2" borderId="7" xfId="1" applyNumberFormat="1" applyFont="1" applyFill="1" applyBorder="1" applyProtection="1">
      <protection locked="0"/>
    </xf>
    <xf numFmtId="3" fontId="12" fillId="2" borderId="36" xfId="0" applyNumberFormat="1" applyFont="1" applyFill="1" applyBorder="1" applyProtection="1">
      <protection locked="0"/>
    </xf>
    <xf numFmtId="49" fontId="12" fillId="2" borderId="31" xfId="0" applyNumberFormat="1" applyFont="1" applyFill="1" applyBorder="1" applyAlignment="1" applyProtection="1">
      <alignment vertical="center"/>
      <protection locked="0"/>
    </xf>
    <xf numFmtId="0" fontId="12" fillId="0" borderId="28" xfId="0" applyFont="1" applyBorder="1" applyProtection="1">
      <protection locked="0"/>
    </xf>
    <xf numFmtId="3" fontId="12" fillId="0" borderId="27" xfId="0" applyNumberFormat="1" applyFont="1" applyBorder="1" applyProtection="1">
      <protection locked="0"/>
    </xf>
    <xf numFmtId="3" fontId="12" fillId="0" borderId="29" xfId="0" applyNumberFormat="1" applyFont="1" applyBorder="1" applyProtection="1">
      <protection locked="0"/>
    </xf>
    <xf numFmtId="3" fontId="12" fillId="2" borderId="27" xfId="0" applyNumberFormat="1" applyFont="1" applyFill="1" applyBorder="1" applyProtection="1">
      <protection locked="0"/>
    </xf>
    <xf numFmtId="166" fontId="13" fillId="2" borderId="28" xfId="1" applyNumberFormat="1" applyFont="1" applyFill="1" applyBorder="1" applyProtection="1">
      <protection locked="0"/>
    </xf>
    <xf numFmtId="3" fontId="12" fillId="2" borderId="30" xfId="0" applyNumberFormat="1" applyFont="1" applyFill="1" applyBorder="1" applyProtection="1">
      <protection locked="0"/>
    </xf>
    <xf numFmtId="49" fontId="12" fillId="2" borderId="20" xfId="0" applyNumberFormat="1" applyFont="1" applyFill="1" applyBorder="1" applyAlignment="1" applyProtection="1">
      <alignment vertical="center"/>
      <protection locked="0"/>
    </xf>
    <xf numFmtId="3" fontId="12" fillId="0" borderId="18" xfId="0" applyNumberFormat="1" applyFont="1" applyBorder="1" applyProtection="1">
      <protection locked="0"/>
    </xf>
    <xf numFmtId="0" fontId="12" fillId="0" borderId="27" xfId="0" applyFont="1" applyBorder="1" applyProtection="1">
      <protection locked="0"/>
    </xf>
    <xf numFmtId="166" fontId="13" fillId="2" borderId="27" xfId="1" applyNumberFormat="1" applyFont="1" applyFill="1" applyBorder="1" applyProtection="1">
      <protection locked="0"/>
    </xf>
    <xf numFmtId="0" fontId="12" fillId="2" borderId="3" xfId="0" applyFont="1" applyFill="1" applyBorder="1" applyAlignment="1" applyProtection="1">
      <alignment vertical="center"/>
      <protection locked="0"/>
    </xf>
    <xf numFmtId="0" fontId="12" fillId="0" borderId="4" xfId="0" applyFont="1" applyBorder="1" applyProtection="1">
      <protection locked="0"/>
    </xf>
    <xf numFmtId="3" fontId="14" fillId="0" borderId="16" xfId="0" applyNumberFormat="1" applyFont="1" applyBorder="1" applyProtection="1">
      <protection locked="0"/>
    </xf>
    <xf numFmtId="166" fontId="13" fillId="2" borderId="4" xfId="1" applyNumberFormat="1" applyFont="1" applyFill="1" applyBorder="1" applyProtection="1">
      <protection locked="0"/>
    </xf>
    <xf numFmtId="0" fontId="12" fillId="2" borderId="17" xfId="0" applyFont="1" applyFill="1" applyBorder="1" applyAlignment="1" applyProtection="1">
      <alignment vertical="center"/>
      <protection locked="0"/>
    </xf>
    <xf numFmtId="0" fontId="12" fillId="11" borderId="17" xfId="0" applyFont="1" applyFill="1" applyBorder="1" applyProtection="1">
      <protection locked="0"/>
    </xf>
    <xf numFmtId="3" fontId="12" fillId="11" borderId="17" xfId="0" applyNumberFormat="1" applyFont="1" applyFill="1" applyBorder="1" applyProtection="1">
      <protection locked="0"/>
    </xf>
    <xf numFmtId="3" fontId="12" fillId="11" borderId="18" xfId="0" applyNumberFormat="1" applyFont="1" applyFill="1" applyBorder="1" applyProtection="1">
      <protection locked="0"/>
    </xf>
    <xf numFmtId="3" fontId="12" fillId="11" borderId="4" xfId="0" applyNumberFormat="1" applyFont="1" applyFill="1" applyBorder="1" applyProtection="1">
      <protection locked="0"/>
    </xf>
    <xf numFmtId="166" fontId="13" fillId="11" borderId="17" xfId="1" applyNumberFormat="1" applyFont="1" applyFill="1" applyBorder="1" applyProtection="1">
      <protection locked="0"/>
    </xf>
    <xf numFmtId="3" fontId="12" fillId="11" borderId="24" xfId="0" applyNumberFormat="1" applyFont="1" applyFill="1" applyBorder="1" applyProtection="1">
      <protection locked="0"/>
    </xf>
    <xf numFmtId="0" fontId="12" fillId="2" borderId="1" xfId="0" applyFont="1" applyFill="1" applyBorder="1" applyAlignment="1" applyProtection="1">
      <alignment vertical="center"/>
      <protection locked="0"/>
    </xf>
    <xf numFmtId="3" fontId="12" fillId="11" borderId="8" xfId="0" applyNumberFormat="1" applyFont="1" applyFill="1" applyBorder="1" applyProtection="1">
      <protection locked="0"/>
    </xf>
    <xf numFmtId="166" fontId="13" fillId="11" borderId="1" xfId="1" applyNumberFormat="1" applyFont="1" applyFill="1" applyBorder="1" applyProtection="1">
      <protection locked="0"/>
    </xf>
    <xf numFmtId="3" fontId="12" fillId="11" borderId="25" xfId="0" applyNumberFormat="1" applyFont="1" applyFill="1" applyBorder="1" applyProtection="1">
      <protection locked="0"/>
    </xf>
    <xf numFmtId="0" fontId="12" fillId="2" borderId="2" xfId="0" applyFont="1" applyFill="1" applyBorder="1" applyAlignment="1" applyProtection="1">
      <alignment vertical="center"/>
      <protection locked="0"/>
    </xf>
    <xf numFmtId="0" fontId="12" fillId="0" borderId="2" xfId="0" applyFont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2" fillId="0" borderId="14" xfId="0" applyNumberFormat="1" applyFont="1" applyBorder="1" applyProtection="1">
      <protection locked="0"/>
    </xf>
    <xf numFmtId="3" fontId="12" fillId="2" borderId="2" xfId="0" applyNumberFormat="1" applyFont="1" applyFill="1" applyBorder="1" applyProtection="1">
      <protection locked="0"/>
    </xf>
    <xf numFmtId="166" fontId="13" fillId="2" borderId="2" xfId="1" applyNumberFormat="1" applyFont="1" applyFill="1" applyBorder="1" applyProtection="1">
      <protection locked="0"/>
    </xf>
    <xf numFmtId="3" fontId="12" fillId="2" borderId="38" xfId="0" applyNumberFormat="1" applyFont="1" applyFill="1" applyBorder="1" applyProtection="1">
      <protection locked="0"/>
    </xf>
    <xf numFmtId="0" fontId="12" fillId="11" borderId="27" xfId="0" applyFont="1" applyFill="1" applyBorder="1" applyProtection="1">
      <protection locked="0"/>
    </xf>
    <xf numFmtId="3" fontId="12" fillId="11" borderId="27" xfId="0" applyNumberFormat="1" applyFont="1" applyFill="1" applyBorder="1" applyProtection="1">
      <protection locked="0"/>
    </xf>
    <xf numFmtId="49" fontId="12" fillId="2" borderId="20" xfId="0" applyNumberFormat="1" applyFont="1" applyFill="1" applyBorder="1" applyAlignment="1" applyProtection="1">
      <alignment horizontal="left" vertical="center"/>
      <protection locked="0"/>
    </xf>
    <xf numFmtId="0" fontId="12" fillId="11" borderId="20" xfId="0" applyFont="1" applyFill="1" applyBorder="1" applyProtection="1">
      <protection locked="0"/>
    </xf>
    <xf numFmtId="3" fontId="12" fillId="11" borderId="21" xfId="0" applyNumberFormat="1" applyFont="1" applyFill="1" applyBorder="1" applyProtection="1">
      <protection locked="0"/>
    </xf>
    <xf numFmtId="3" fontId="12" fillId="11" borderId="20" xfId="0" applyNumberFormat="1" applyFont="1" applyFill="1" applyBorder="1" applyProtection="1">
      <protection locked="0"/>
    </xf>
    <xf numFmtId="3" fontId="12" fillId="11" borderId="37" xfId="0" applyNumberFormat="1" applyFont="1" applyFill="1" applyBorder="1" applyProtection="1">
      <protection locked="0"/>
    </xf>
    <xf numFmtId="166" fontId="13" fillId="11" borderId="20" xfId="1" applyNumberFormat="1" applyFont="1" applyFill="1" applyBorder="1" applyProtection="1">
      <protection locked="0"/>
    </xf>
    <xf numFmtId="3" fontId="12" fillId="11" borderId="22" xfId="0" applyNumberFormat="1" applyFont="1" applyFill="1" applyBorder="1" applyProtection="1">
      <protection locked="0"/>
    </xf>
    <xf numFmtId="49" fontId="12" fillId="2" borderId="17" xfId="0" applyNumberFormat="1" applyFont="1" applyFill="1" applyBorder="1" applyAlignment="1" applyProtection="1">
      <alignment vertical="center"/>
      <protection locked="0"/>
    </xf>
    <xf numFmtId="49" fontId="12" fillId="2" borderId="27" xfId="0" applyNumberFormat="1" applyFont="1" applyFill="1" applyBorder="1" applyAlignment="1" applyProtection="1">
      <alignment vertical="center"/>
      <protection locked="0"/>
    </xf>
    <xf numFmtId="0" fontId="12" fillId="11" borderId="28" xfId="0" applyFont="1" applyFill="1" applyBorder="1" applyProtection="1">
      <protection locked="0"/>
    </xf>
    <xf numFmtId="0" fontId="12" fillId="11" borderId="35" xfId="0" applyFont="1" applyFill="1" applyBorder="1" applyAlignment="1" applyProtection="1">
      <alignment horizontal="left" vertical="center"/>
      <protection locked="0"/>
    </xf>
    <xf numFmtId="0" fontId="12" fillId="11" borderId="5" xfId="0" applyFont="1" applyFill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11" borderId="28" xfId="0" applyFont="1" applyFill="1" applyBorder="1" applyAlignment="1" applyProtection="1">
      <alignment horizontal="left" vertical="center"/>
      <protection locked="0"/>
    </xf>
    <xf numFmtId="3" fontId="12" fillId="11" borderId="30" xfId="0" applyNumberFormat="1" applyFont="1" applyFill="1" applyBorder="1" applyProtection="1">
      <protection locked="0"/>
    </xf>
    <xf numFmtId="3" fontId="14" fillId="12" borderId="4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Protection="1">
      <protection locked="0"/>
    </xf>
    <xf numFmtId="0" fontId="8" fillId="7" borderId="4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Protection="1">
      <protection locked="0"/>
    </xf>
    <xf numFmtId="0" fontId="14" fillId="8" borderId="1" xfId="0" applyFont="1" applyFill="1" applyBorder="1" applyProtection="1">
      <protection locked="0"/>
    </xf>
    <xf numFmtId="3" fontId="14" fillId="8" borderId="1" xfId="0" applyNumberFormat="1" applyFont="1" applyFill="1" applyBorder="1" applyProtection="1">
      <protection locked="0"/>
    </xf>
    <xf numFmtId="165" fontId="13" fillId="2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165" fontId="13" fillId="0" borderId="1" xfId="1" applyNumberFormat="1" applyFont="1" applyFill="1" applyBorder="1" applyProtection="1">
      <protection locked="0"/>
    </xf>
    <xf numFmtId="3" fontId="15" fillId="8" borderId="1" xfId="0" applyNumberFormat="1" applyFont="1" applyFill="1" applyBorder="1" applyProtection="1">
      <protection locked="0"/>
    </xf>
    <xf numFmtId="3" fontId="14" fillId="2" borderId="1" xfId="0" applyNumberFormat="1" applyFont="1" applyFill="1" applyBorder="1" applyProtection="1">
      <protection locked="0"/>
    </xf>
    <xf numFmtId="165" fontId="15" fillId="2" borderId="1" xfId="1" applyNumberFormat="1" applyFont="1" applyFill="1" applyBorder="1" applyProtection="1">
      <protection locked="0"/>
    </xf>
    <xf numFmtId="0" fontId="14" fillId="2" borderId="0" xfId="0" applyFont="1" applyFill="1" applyProtection="1">
      <protection locked="0"/>
    </xf>
    <xf numFmtId="3" fontId="14" fillId="2" borderId="0" xfId="0" applyNumberFormat="1" applyFont="1" applyFill="1" applyProtection="1">
      <protection locked="0"/>
    </xf>
    <xf numFmtId="165" fontId="15" fillId="2" borderId="0" xfId="1" applyNumberFormat="1" applyFont="1" applyFill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3" fontId="12" fillId="2" borderId="7" xfId="0" applyNumberFormat="1" applyFont="1" applyFill="1" applyBorder="1" applyProtection="1">
      <protection locked="0"/>
    </xf>
    <xf numFmtId="3" fontId="12" fillId="2" borderId="28" xfId="0" applyNumberFormat="1" applyFont="1" applyFill="1" applyBorder="1" applyProtection="1">
      <protection locked="0"/>
    </xf>
    <xf numFmtId="0" fontId="12" fillId="0" borderId="17" xfId="0" applyFont="1" applyFill="1" applyBorder="1" applyProtection="1"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6" fontId="4" fillId="2" borderId="0" xfId="0" applyNumberFormat="1" applyFont="1" applyFill="1" applyProtection="1"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right" vertical="center"/>
      <protection locked="0"/>
    </xf>
    <xf numFmtId="0" fontId="1" fillId="5" borderId="9" xfId="0" applyFont="1" applyFill="1" applyBorder="1" applyAlignment="1" applyProtection="1">
      <alignment horizontal="right" vertical="center"/>
      <protection locked="0"/>
    </xf>
    <xf numFmtId="0" fontId="1" fillId="5" borderId="5" xfId="0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center" wrapText="1"/>
      <protection locked="0"/>
    </xf>
    <xf numFmtId="0" fontId="2" fillId="2" borderId="3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3" fontId="1" fillId="4" borderId="8" xfId="0" applyNumberFormat="1" applyFont="1" applyFill="1" applyBorder="1" applyAlignment="1" applyProtection="1">
      <alignment horizontal="center" vertical="center"/>
      <protection locked="0"/>
    </xf>
    <xf numFmtId="3" fontId="1" fillId="4" borderId="9" xfId="0" applyNumberFormat="1" applyFont="1" applyFill="1" applyBorder="1" applyAlignment="1" applyProtection="1">
      <alignment horizontal="center" vertical="center"/>
      <protection locked="0"/>
    </xf>
    <xf numFmtId="3" fontId="1" fillId="4" borderId="5" xfId="0" applyNumberFormat="1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165" fontId="1" fillId="4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1" fillId="6" borderId="8" xfId="0" applyFont="1" applyFill="1" applyBorder="1" applyAlignment="1" applyProtection="1">
      <alignment horizontal="right" vertical="center"/>
      <protection locked="0"/>
    </xf>
    <xf numFmtId="0" fontId="1" fillId="6" borderId="9" xfId="0" applyFont="1" applyFill="1" applyBorder="1" applyAlignment="1" applyProtection="1">
      <alignment horizontal="right" vertical="center"/>
      <protection locked="0"/>
    </xf>
    <xf numFmtId="0" fontId="1" fillId="6" borderId="5" xfId="0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left" vertical="center"/>
      <protection locked="0"/>
    </xf>
    <xf numFmtId="49" fontId="2" fillId="2" borderId="6" xfId="0" applyNumberFormat="1" applyFont="1" applyFill="1" applyBorder="1" applyAlignment="1" applyProtection="1">
      <alignment horizontal="left" vertical="center"/>
      <protection locked="0"/>
    </xf>
    <xf numFmtId="49" fontId="2" fillId="2" borderId="7" xfId="0" applyNumberFormat="1" applyFont="1" applyFill="1" applyBorder="1" applyAlignment="1" applyProtection="1">
      <alignment horizontal="left" vertical="center"/>
      <protection locked="0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0" fillId="2" borderId="3" xfId="0" applyNumberFormat="1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9" borderId="12" xfId="0" applyFont="1" applyFill="1" applyBorder="1" applyAlignment="1" applyProtection="1">
      <alignment horizontal="center" vertical="center" wrapText="1"/>
      <protection locked="0"/>
    </xf>
    <xf numFmtId="0" fontId="1" fillId="9" borderId="0" xfId="0" applyFont="1" applyFill="1" applyAlignment="1" applyProtection="1">
      <alignment horizontal="center" vertical="center" wrapText="1"/>
      <protection locked="0"/>
    </xf>
    <xf numFmtId="0" fontId="1" fillId="5" borderId="2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  <protection locked="0"/>
    </xf>
    <xf numFmtId="0" fontId="1" fillId="5" borderId="4" xfId="0" applyFont="1" applyFill="1" applyBorder="1" applyAlignment="1" applyProtection="1">
      <alignment horizontal="center" vertical="center" wrapText="1"/>
      <protection locked="0"/>
    </xf>
    <xf numFmtId="3" fontId="1" fillId="5" borderId="8" xfId="0" applyNumberFormat="1" applyFont="1" applyFill="1" applyBorder="1" applyAlignment="1" applyProtection="1">
      <alignment horizontal="center" vertical="center"/>
      <protection locked="0"/>
    </xf>
    <xf numFmtId="3" fontId="1" fillId="5" borderId="9" xfId="0" applyNumberFormat="1" applyFont="1" applyFill="1" applyBorder="1" applyAlignment="1" applyProtection="1">
      <alignment horizontal="center" vertical="center"/>
      <protection locked="0"/>
    </xf>
    <xf numFmtId="3" fontId="1" fillId="5" borderId="5" xfId="0" applyNumberFormat="1" applyFont="1" applyFill="1" applyBorder="1" applyAlignment="1" applyProtection="1">
      <alignment horizontal="center" vertical="center"/>
      <protection locked="0"/>
    </xf>
    <xf numFmtId="165" fontId="1" fillId="5" borderId="1" xfId="1" applyNumberFormat="1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10" borderId="12" xfId="0" applyFont="1" applyFill="1" applyBorder="1" applyAlignment="1" applyProtection="1">
      <alignment horizontal="center" vertical="center" wrapText="1"/>
      <protection locked="0"/>
    </xf>
    <xf numFmtId="0" fontId="1" fillId="10" borderId="0" xfId="0" applyFont="1" applyFill="1" applyAlignment="1" applyProtection="1">
      <alignment horizontal="center" vertical="center" wrapText="1"/>
      <protection locked="0"/>
    </xf>
    <xf numFmtId="0" fontId="1" fillId="11" borderId="2" xfId="0" applyFont="1" applyFill="1" applyBorder="1" applyAlignment="1" applyProtection="1">
      <alignment horizontal="center" vertical="center"/>
      <protection locked="0"/>
    </xf>
    <xf numFmtId="0" fontId="1" fillId="11" borderId="4" xfId="0" applyFont="1" applyFill="1" applyBorder="1" applyAlignment="1" applyProtection="1">
      <alignment horizontal="center" vertical="center"/>
      <protection locked="0"/>
    </xf>
    <xf numFmtId="0" fontId="1" fillId="11" borderId="2" xfId="0" applyFont="1" applyFill="1" applyBorder="1" applyAlignment="1" applyProtection="1">
      <alignment horizontal="left" vertical="center"/>
      <protection locked="0"/>
    </xf>
    <xf numFmtId="0" fontId="1" fillId="11" borderId="4" xfId="0" applyFont="1" applyFill="1" applyBorder="1" applyAlignment="1" applyProtection="1">
      <alignment horizontal="left" vertical="center"/>
      <protection locked="0"/>
    </xf>
    <xf numFmtId="0" fontId="1" fillId="11" borderId="2" xfId="0" applyFont="1" applyFill="1" applyBorder="1" applyAlignment="1" applyProtection="1">
      <alignment horizontal="center" vertical="center" wrapText="1"/>
      <protection locked="0"/>
    </xf>
    <xf numFmtId="0" fontId="1" fillId="11" borderId="4" xfId="0" applyFont="1" applyFill="1" applyBorder="1" applyAlignment="1" applyProtection="1">
      <alignment horizontal="center" vertical="center" wrapText="1"/>
      <protection locked="0"/>
    </xf>
    <xf numFmtId="3" fontId="1" fillId="11" borderId="8" xfId="0" applyNumberFormat="1" applyFont="1" applyFill="1" applyBorder="1" applyAlignment="1" applyProtection="1">
      <alignment horizontal="center" vertical="center"/>
      <protection locked="0"/>
    </xf>
    <xf numFmtId="3" fontId="1" fillId="11" borderId="9" xfId="0" applyNumberFormat="1" applyFont="1" applyFill="1" applyBorder="1" applyAlignment="1" applyProtection="1">
      <alignment horizontal="center" vertical="center"/>
      <protection locked="0"/>
    </xf>
    <xf numFmtId="3" fontId="1" fillId="11" borderId="5" xfId="0" applyNumberFormat="1" applyFont="1" applyFill="1" applyBorder="1" applyAlignment="1" applyProtection="1">
      <alignment horizontal="center" vertical="center"/>
      <protection locked="0"/>
    </xf>
    <xf numFmtId="165" fontId="8" fillId="11" borderId="1" xfId="1" applyNumberFormat="1" applyFont="1" applyFill="1" applyBorder="1" applyAlignment="1" applyProtection="1">
      <alignment horizontal="center" vertical="center"/>
      <protection locked="0"/>
    </xf>
    <xf numFmtId="0" fontId="1" fillId="11" borderId="1" xfId="0" applyFont="1" applyFill="1" applyBorder="1" applyAlignment="1" applyProtection="1">
      <alignment horizontal="center" vertical="center" wrapText="1"/>
      <protection locked="0"/>
    </xf>
    <xf numFmtId="0" fontId="1" fillId="11" borderId="8" xfId="0" applyFont="1" applyFill="1" applyBorder="1" applyAlignment="1" applyProtection="1">
      <alignment horizontal="right" vertical="center"/>
      <protection locked="0"/>
    </xf>
    <xf numFmtId="0" fontId="1" fillId="11" borderId="9" xfId="0" applyFont="1" applyFill="1" applyBorder="1" applyAlignment="1" applyProtection="1">
      <alignment horizontal="right" vertical="center"/>
      <protection locked="0"/>
    </xf>
    <xf numFmtId="0" fontId="1" fillId="11" borderId="5" xfId="0" applyFont="1" applyFill="1" applyBorder="1" applyAlignment="1" applyProtection="1">
      <alignment horizontal="right" vertical="center"/>
      <protection locked="0"/>
    </xf>
    <xf numFmtId="0" fontId="0" fillId="2" borderId="4" xfId="0" applyFill="1" applyBorder="1" applyAlignment="1" applyProtection="1">
      <alignment horizontal="left" vertical="center"/>
      <protection locked="0"/>
    </xf>
    <xf numFmtId="0" fontId="1" fillId="12" borderId="2" xfId="0" applyFont="1" applyFill="1" applyBorder="1" applyAlignment="1" applyProtection="1">
      <alignment horizontal="center" vertical="center" wrapText="1"/>
      <protection locked="0"/>
    </xf>
    <xf numFmtId="0" fontId="1" fillId="12" borderId="4" xfId="0" applyFont="1" applyFill="1" applyBorder="1" applyAlignment="1" applyProtection="1">
      <alignment horizontal="center" vertical="center" wrapText="1"/>
      <protection locked="0"/>
    </xf>
    <xf numFmtId="0" fontId="1" fillId="13" borderId="12" xfId="0" applyFont="1" applyFill="1" applyBorder="1" applyAlignment="1" applyProtection="1">
      <alignment horizontal="center" vertical="center" wrapText="1"/>
      <protection locked="0"/>
    </xf>
    <xf numFmtId="0" fontId="1" fillId="13" borderId="0" xfId="0" applyFont="1" applyFill="1" applyBorder="1" applyAlignment="1" applyProtection="1">
      <alignment horizontal="center" vertical="center" wrapText="1"/>
      <protection locked="0"/>
    </xf>
    <xf numFmtId="0" fontId="1" fillId="12" borderId="2" xfId="0" applyFont="1" applyFill="1" applyBorder="1" applyAlignment="1" applyProtection="1">
      <alignment horizontal="center" vertical="center"/>
      <protection locked="0"/>
    </xf>
    <xf numFmtId="0" fontId="1" fillId="12" borderId="4" xfId="0" applyFont="1" applyFill="1" applyBorder="1" applyAlignment="1" applyProtection="1">
      <alignment horizontal="center" vertical="center"/>
      <protection locked="0"/>
    </xf>
    <xf numFmtId="0" fontId="1" fillId="12" borderId="2" xfId="0" applyFont="1" applyFill="1" applyBorder="1" applyAlignment="1" applyProtection="1">
      <alignment horizontal="left" vertical="center"/>
      <protection locked="0"/>
    </xf>
    <xf numFmtId="0" fontId="1" fillId="12" borderId="4" xfId="0" applyFont="1" applyFill="1" applyBorder="1" applyAlignment="1" applyProtection="1">
      <alignment horizontal="left" vertical="center"/>
      <protection locked="0"/>
    </xf>
    <xf numFmtId="3" fontId="1" fillId="12" borderId="8" xfId="0" applyNumberFormat="1" applyFont="1" applyFill="1" applyBorder="1" applyAlignment="1" applyProtection="1">
      <alignment horizontal="center" vertical="center"/>
      <protection locked="0"/>
    </xf>
    <xf numFmtId="3" fontId="1" fillId="12" borderId="9" xfId="0" applyNumberFormat="1" applyFont="1" applyFill="1" applyBorder="1" applyAlignment="1" applyProtection="1">
      <alignment horizontal="center" vertical="center"/>
      <protection locked="0"/>
    </xf>
    <xf numFmtId="3" fontId="1" fillId="12" borderId="5" xfId="0" applyNumberFormat="1" applyFont="1" applyFill="1" applyBorder="1" applyAlignment="1" applyProtection="1">
      <alignment horizontal="center" vertical="center"/>
      <protection locked="0"/>
    </xf>
    <xf numFmtId="0" fontId="1" fillId="12" borderId="8" xfId="0" applyFont="1" applyFill="1" applyBorder="1" applyAlignment="1" applyProtection="1">
      <alignment horizontal="right" vertical="center"/>
      <protection locked="0"/>
    </xf>
    <xf numFmtId="0" fontId="1" fillId="12" borderId="9" xfId="0" applyFont="1" applyFill="1" applyBorder="1" applyAlignment="1" applyProtection="1">
      <alignment horizontal="right" vertical="center"/>
      <protection locked="0"/>
    </xf>
    <xf numFmtId="0" fontId="1" fillId="12" borderId="5" xfId="0" applyFont="1" applyFill="1" applyBorder="1" applyAlignment="1" applyProtection="1">
      <alignment horizontal="right" vertical="center"/>
      <protection locked="0"/>
    </xf>
    <xf numFmtId="0" fontId="1" fillId="15" borderId="12" xfId="0" applyFont="1" applyFill="1" applyBorder="1" applyAlignment="1" applyProtection="1">
      <alignment horizontal="center" vertical="center" wrapText="1"/>
      <protection locked="0"/>
    </xf>
    <xf numFmtId="0" fontId="1" fillId="15" borderId="0" xfId="0" applyFont="1" applyFill="1" applyAlignment="1" applyProtection="1">
      <alignment horizontal="center" vertical="center" wrapText="1"/>
      <protection locked="0"/>
    </xf>
    <xf numFmtId="0" fontId="1" fillId="14" borderId="2" xfId="0" applyFont="1" applyFill="1" applyBorder="1" applyAlignment="1" applyProtection="1">
      <alignment horizontal="center" vertical="center"/>
      <protection locked="0"/>
    </xf>
    <xf numFmtId="0" fontId="1" fillId="14" borderId="4" xfId="0" applyFont="1" applyFill="1" applyBorder="1" applyAlignment="1" applyProtection="1">
      <alignment horizontal="center" vertical="center"/>
      <protection locked="0"/>
    </xf>
    <xf numFmtId="0" fontId="1" fillId="14" borderId="2" xfId="0" applyFont="1" applyFill="1" applyBorder="1" applyAlignment="1" applyProtection="1">
      <alignment horizontal="left" vertical="center"/>
      <protection locked="0"/>
    </xf>
    <xf numFmtId="0" fontId="1" fillId="14" borderId="4" xfId="0" applyFont="1" applyFill="1" applyBorder="1" applyAlignment="1" applyProtection="1">
      <alignment horizontal="left" vertical="center"/>
      <protection locked="0"/>
    </xf>
    <xf numFmtId="0" fontId="1" fillId="14" borderId="2" xfId="0" applyFont="1" applyFill="1" applyBorder="1" applyAlignment="1" applyProtection="1">
      <alignment horizontal="center" vertical="center" wrapText="1"/>
      <protection locked="0"/>
    </xf>
    <xf numFmtId="0" fontId="1" fillId="14" borderId="4" xfId="0" applyFont="1" applyFill="1" applyBorder="1" applyAlignment="1" applyProtection="1">
      <alignment horizontal="center" vertical="center" wrapText="1"/>
      <protection locked="0"/>
    </xf>
    <xf numFmtId="3" fontId="1" fillId="14" borderId="8" xfId="0" applyNumberFormat="1" applyFont="1" applyFill="1" applyBorder="1" applyAlignment="1" applyProtection="1">
      <alignment horizontal="center" vertical="center"/>
      <protection locked="0"/>
    </xf>
    <xf numFmtId="3" fontId="1" fillId="14" borderId="9" xfId="0" applyNumberFormat="1" applyFont="1" applyFill="1" applyBorder="1" applyAlignment="1" applyProtection="1">
      <alignment horizontal="center" vertical="center"/>
      <protection locked="0"/>
    </xf>
    <xf numFmtId="3" fontId="1" fillId="14" borderId="5" xfId="0" applyNumberFormat="1" applyFont="1" applyFill="1" applyBorder="1" applyAlignment="1" applyProtection="1">
      <alignment horizontal="center" vertical="center"/>
      <protection locked="0"/>
    </xf>
    <xf numFmtId="165" fontId="8" fillId="14" borderId="1" xfId="1" applyNumberFormat="1" applyFont="1" applyFill="1" applyBorder="1" applyAlignment="1" applyProtection="1">
      <alignment horizontal="center" vertical="center"/>
      <protection locked="0"/>
    </xf>
    <xf numFmtId="0" fontId="1" fillId="14" borderId="1" xfId="0" applyFont="1" applyFill="1" applyBorder="1" applyAlignment="1" applyProtection="1">
      <alignment horizontal="center" vertical="center" wrapText="1"/>
      <protection locked="0"/>
    </xf>
    <xf numFmtId="0" fontId="1" fillId="14" borderId="8" xfId="0" applyFont="1" applyFill="1" applyBorder="1" applyAlignment="1" applyProtection="1">
      <alignment horizontal="right" vertical="center"/>
      <protection locked="0"/>
    </xf>
    <xf numFmtId="0" fontId="1" fillId="14" borderId="9" xfId="0" applyFont="1" applyFill="1" applyBorder="1" applyAlignment="1" applyProtection="1">
      <alignment horizontal="right" vertical="center"/>
      <protection locked="0"/>
    </xf>
    <xf numFmtId="0" fontId="1" fillId="14" borderId="5" xfId="0" applyFont="1" applyFill="1" applyBorder="1" applyAlignment="1" applyProtection="1">
      <alignment horizontal="right" vertical="center"/>
      <protection locked="0"/>
    </xf>
    <xf numFmtId="0" fontId="1" fillId="17" borderId="12" xfId="0" applyFont="1" applyFill="1" applyBorder="1" applyAlignment="1" applyProtection="1">
      <alignment horizontal="center" vertical="center" wrapText="1"/>
      <protection locked="0"/>
    </xf>
    <xf numFmtId="0" fontId="1" fillId="17" borderId="0" xfId="0" applyFont="1" applyFill="1" applyAlignment="1" applyProtection="1">
      <alignment horizontal="center" vertical="center" wrapText="1"/>
      <protection locked="0"/>
    </xf>
    <xf numFmtId="0" fontId="1" fillId="16" borderId="2" xfId="0" applyFont="1" applyFill="1" applyBorder="1" applyAlignment="1" applyProtection="1">
      <alignment horizontal="center" vertical="center"/>
      <protection locked="0"/>
    </xf>
    <xf numFmtId="0" fontId="1" fillId="16" borderId="4" xfId="0" applyFont="1" applyFill="1" applyBorder="1" applyAlignment="1" applyProtection="1">
      <alignment horizontal="center" vertical="center"/>
      <protection locked="0"/>
    </xf>
    <xf numFmtId="0" fontId="1" fillId="16" borderId="2" xfId="0" applyFont="1" applyFill="1" applyBorder="1" applyAlignment="1" applyProtection="1">
      <alignment horizontal="left" vertical="center"/>
      <protection locked="0"/>
    </xf>
    <xf numFmtId="0" fontId="1" fillId="16" borderId="4" xfId="0" applyFont="1" applyFill="1" applyBorder="1" applyAlignment="1" applyProtection="1">
      <alignment horizontal="left" vertical="center"/>
      <protection locked="0"/>
    </xf>
    <xf numFmtId="0" fontId="1" fillId="16" borderId="2" xfId="0" applyFont="1" applyFill="1" applyBorder="1" applyAlignment="1" applyProtection="1">
      <alignment horizontal="center" vertical="center" wrapText="1"/>
      <protection locked="0"/>
    </xf>
    <xf numFmtId="0" fontId="1" fillId="16" borderId="4" xfId="0" applyFont="1" applyFill="1" applyBorder="1" applyAlignment="1" applyProtection="1">
      <alignment horizontal="center" vertical="center" wrapText="1"/>
      <protection locked="0"/>
    </xf>
    <xf numFmtId="3" fontId="1" fillId="16" borderId="8" xfId="0" applyNumberFormat="1" applyFont="1" applyFill="1" applyBorder="1" applyAlignment="1" applyProtection="1">
      <alignment horizontal="center" vertical="center"/>
      <protection locked="0"/>
    </xf>
    <xf numFmtId="3" fontId="1" fillId="16" borderId="9" xfId="0" applyNumberFormat="1" applyFont="1" applyFill="1" applyBorder="1" applyAlignment="1" applyProtection="1">
      <alignment horizontal="center" vertical="center"/>
      <protection locked="0"/>
    </xf>
    <xf numFmtId="3" fontId="1" fillId="16" borderId="5" xfId="0" applyNumberFormat="1" applyFont="1" applyFill="1" applyBorder="1" applyAlignment="1" applyProtection="1">
      <alignment horizontal="center" vertical="center"/>
      <protection locked="0"/>
    </xf>
    <xf numFmtId="165" fontId="8" fillId="16" borderId="1" xfId="1" applyNumberFormat="1" applyFont="1" applyFill="1" applyBorder="1" applyAlignment="1" applyProtection="1">
      <alignment horizontal="center" vertical="center"/>
      <protection locked="0"/>
    </xf>
    <xf numFmtId="0" fontId="1" fillId="16" borderId="1" xfId="0" applyFont="1" applyFill="1" applyBorder="1" applyAlignment="1" applyProtection="1">
      <alignment horizontal="center" vertical="center" wrapText="1"/>
      <protection locked="0"/>
    </xf>
    <xf numFmtId="0" fontId="1" fillId="16" borderId="8" xfId="0" applyFont="1" applyFill="1" applyBorder="1" applyAlignment="1" applyProtection="1">
      <alignment horizontal="right" vertical="center"/>
      <protection locked="0"/>
    </xf>
    <xf numFmtId="0" fontId="1" fillId="16" borderId="9" xfId="0" applyFont="1" applyFill="1" applyBorder="1" applyAlignment="1" applyProtection="1">
      <alignment horizontal="right" vertical="center"/>
      <protection locked="0"/>
    </xf>
    <xf numFmtId="0" fontId="1" fillId="16" borderId="5" xfId="0" applyFont="1" applyFill="1" applyBorder="1" applyAlignment="1" applyProtection="1">
      <alignment horizontal="right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 applyProtection="1">
      <alignment horizontal="left" vertical="center" wrapText="1"/>
      <protection locked="0"/>
    </xf>
    <xf numFmtId="0" fontId="2" fillId="2" borderId="16" xfId="0" applyFont="1" applyFill="1" applyBorder="1" applyAlignment="1" applyProtection="1">
      <alignment horizontal="left" vertical="center" wrapText="1"/>
      <protection locked="0"/>
    </xf>
    <xf numFmtId="0" fontId="1" fillId="19" borderId="8" xfId="0" applyFont="1" applyFill="1" applyBorder="1" applyAlignment="1" applyProtection="1">
      <alignment horizontal="right" vertical="center"/>
      <protection locked="0"/>
    </xf>
    <xf numFmtId="0" fontId="1" fillId="19" borderId="9" xfId="0" applyFont="1" applyFill="1" applyBorder="1" applyAlignment="1" applyProtection="1">
      <alignment horizontal="right" vertical="center"/>
      <protection locked="0"/>
    </xf>
    <xf numFmtId="0" fontId="1" fillId="19" borderId="5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wrapText="1"/>
      <protection locked="0"/>
    </xf>
    <xf numFmtId="0" fontId="2" fillId="2" borderId="3" xfId="0" applyFont="1" applyFill="1" applyBorder="1" applyAlignment="1" applyProtection="1">
      <alignment wrapText="1"/>
      <protection locked="0"/>
    </xf>
    <xf numFmtId="0" fontId="2" fillId="2" borderId="4" xfId="0" applyFont="1" applyFill="1" applyBorder="1" applyAlignment="1" applyProtection="1">
      <alignment wrapText="1"/>
      <protection locked="0"/>
    </xf>
    <xf numFmtId="0" fontId="1" fillId="18" borderId="12" xfId="0" applyFont="1" applyFill="1" applyBorder="1" applyAlignment="1" applyProtection="1">
      <alignment horizontal="center" vertical="center" wrapText="1"/>
      <protection locked="0"/>
    </xf>
    <xf numFmtId="0" fontId="1" fillId="18" borderId="0" xfId="0" applyFont="1" applyFill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2" xfId="0" applyFont="1" applyFill="1" applyBorder="1" applyAlignment="1" applyProtection="1">
      <alignment horizontal="center" vertical="center" wrapText="1"/>
      <protection locked="0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3" fontId="1" fillId="6" borderId="8" xfId="0" applyNumberFormat="1" applyFont="1" applyFill="1" applyBorder="1" applyAlignment="1" applyProtection="1">
      <alignment horizontal="center" vertical="center"/>
      <protection locked="0"/>
    </xf>
    <xf numFmtId="3" fontId="1" fillId="6" borderId="9" xfId="0" applyNumberFormat="1" applyFont="1" applyFill="1" applyBorder="1" applyAlignment="1" applyProtection="1">
      <alignment horizontal="center" vertical="center"/>
      <protection locked="0"/>
    </xf>
    <xf numFmtId="3" fontId="1" fillId="6" borderId="5" xfId="0" applyNumberFormat="1" applyFont="1" applyFill="1" applyBorder="1" applyAlignment="1" applyProtection="1">
      <alignment horizontal="center" vertical="center"/>
      <protection locked="0"/>
    </xf>
    <xf numFmtId="165" fontId="8" fillId="6" borderId="1" xfId="1" applyNumberFormat="1" applyFont="1" applyFill="1" applyBorder="1" applyAlignment="1" applyProtection="1">
      <alignment horizontal="center" vertical="center"/>
      <protection locked="0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0" fontId="1" fillId="21" borderId="2" xfId="0" applyFont="1" applyFill="1" applyBorder="1" applyAlignment="1" applyProtection="1">
      <alignment horizontal="center" vertical="center"/>
      <protection locked="0"/>
    </xf>
    <xf numFmtId="0" fontId="1" fillId="21" borderId="4" xfId="0" applyFont="1" applyFill="1" applyBorder="1" applyAlignment="1" applyProtection="1">
      <alignment horizontal="center" vertical="center"/>
      <protection locked="0"/>
    </xf>
    <xf numFmtId="0" fontId="1" fillId="21" borderId="2" xfId="0" applyFont="1" applyFill="1" applyBorder="1" applyAlignment="1" applyProtection="1">
      <alignment horizontal="left" vertical="center"/>
      <protection locked="0"/>
    </xf>
    <xf numFmtId="0" fontId="1" fillId="21" borderId="4" xfId="0" applyFont="1" applyFill="1" applyBorder="1" applyAlignment="1" applyProtection="1">
      <alignment horizontal="left" vertical="center"/>
      <protection locked="0"/>
    </xf>
    <xf numFmtId="0" fontId="1" fillId="21" borderId="2" xfId="0" applyFont="1" applyFill="1" applyBorder="1" applyAlignment="1" applyProtection="1">
      <alignment horizontal="center" vertical="center" wrapText="1"/>
      <protection locked="0"/>
    </xf>
    <xf numFmtId="0" fontId="1" fillId="21" borderId="4" xfId="0" applyFont="1" applyFill="1" applyBorder="1" applyAlignment="1" applyProtection="1">
      <alignment horizontal="center" vertical="center" wrapText="1"/>
      <protection locked="0"/>
    </xf>
    <xf numFmtId="3" fontId="1" fillId="21" borderId="8" xfId="0" applyNumberFormat="1" applyFont="1" applyFill="1" applyBorder="1" applyAlignment="1" applyProtection="1">
      <alignment horizontal="center" vertical="center"/>
      <protection locked="0"/>
    </xf>
    <xf numFmtId="3" fontId="1" fillId="21" borderId="9" xfId="0" applyNumberFormat="1" applyFont="1" applyFill="1" applyBorder="1" applyAlignment="1" applyProtection="1">
      <alignment horizontal="center" vertical="center"/>
      <protection locked="0"/>
    </xf>
    <xf numFmtId="3" fontId="1" fillId="21" borderId="5" xfId="0" applyNumberFormat="1" applyFont="1" applyFill="1" applyBorder="1" applyAlignment="1" applyProtection="1">
      <alignment horizontal="center" vertical="center"/>
      <protection locked="0"/>
    </xf>
    <xf numFmtId="165" fontId="8" fillId="21" borderId="1" xfId="1" applyNumberFormat="1" applyFont="1" applyFill="1" applyBorder="1" applyAlignment="1" applyProtection="1">
      <alignment horizontal="center" vertical="center"/>
      <protection locked="0"/>
    </xf>
    <xf numFmtId="0" fontId="1" fillId="21" borderId="1" xfId="0" applyFont="1" applyFill="1" applyBorder="1" applyAlignment="1" applyProtection="1">
      <alignment horizontal="center" vertical="center" wrapText="1"/>
      <protection locked="0"/>
    </xf>
    <xf numFmtId="0" fontId="1" fillId="22" borderId="12" xfId="0" applyFont="1" applyFill="1" applyBorder="1" applyAlignment="1" applyProtection="1">
      <alignment horizontal="center" vertical="center" wrapText="1"/>
      <protection locked="0"/>
    </xf>
    <xf numFmtId="0" fontId="1" fillId="22" borderId="0" xfId="0" applyFont="1" applyFill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2" xfId="0" applyFont="1" applyFill="1" applyBorder="1" applyAlignment="1" applyProtection="1">
      <alignment horizontal="left" vertical="center"/>
      <protection locked="0"/>
    </xf>
    <xf numFmtId="0" fontId="1" fillId="7" borderId="4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4" xfId="0" applyFont="1" applyFill="1" applyBorder="1" applyAlignment="1" applyProtection="1">
      <alignment horizontal="center" vertical="center" wrapText="1"/>
      <protection locked="0"/>
    </xf>
    <xf numFmtId="3" fontId="1" fillId="7" borderId="8" xfId="0" applyNumberFormat="1" applyFont="1" applyFill="1" applyBorder="1" applyAlignment="1" applyProtection="1">
      <alignment horizontal="center" vertical="center"/>
      <protection locked="0"/>
    </xf>
    <xf numFmtId="3" fontId="1" fillId="7" borderId="9" xfId="0" applyNumberFormat="1" applyFont="1" applyFill="1" applyBorder="1" applyAlignment="1" applyProtection="1">
      <alignment horizontal="center" vertical="center"/>
      <protection locked="0"/>
    </xf>
    <xf numFmtId="3" fontId="1" fillId="7" borderId="5" xfId="0" applyNumberFormat="1" applyFont="1" applyFill="1" applyBorder="1" applyAlignment="1" applyProtection="1">
      <alignment horizontal="center" vertical="center"/>
      <protection locked="0"/>
    </xf>
    <xf numFmtId="165" fontId="8" fillId="7" borderId="1" xfId="1" applyNumberFormat="1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20" borderId="12" xfId="0" applyFont="1" applyFill="1" applyBorder="1" applyAlignment="1" applyProtection="1">
      <alignment horizontal="center" vertical="center" wrapText="1"/>
      <protection locked="0"/>
    </xf>
    <xf numFmtId="0" fontId="1" fillId="20" borderId="0" xfId="0" applyFont="1" applyFill="1" applyAlignment="1" applyProtection="1">
      <alignment horizontal="center" vertical="center" wrapText="1"/>
      <protection locked="0"/>
    </xf>
    <xf numFmtId="0" fontId="6" fillId="12" borderId="12" xfId="0" applyFont="1" applyFill="1" applyBorder="1" applyAlignment="1" applyProtection="1">
      <alignment horizontal="center" vertical="center" wrapText="1"/>
      <protection locked="0"/>
    </xf>
    <xf numFmtId="0" fontId="6" fillId="12" borderId="0" xfId="0" applyFont="1" applyFill="1" applyAlignment="1" applyProtection="1">
      <alignment horizontal="center" vertical="center" wrapText="1"/>
      <protection locked="0"/>
    </xf>
    <xf numFmtId="165" fontId="8" fillId="12" borderId="1" xfId="1" applyNumberFormat="1" applyFont="1" applyFill="1" applyBorder="1" applyAlignment="1" applyProtection="1">
      <alignment horizontal="center" vertical="center"/>
      <protection locked="0"/>
    </xf>
    <xf numFmtId="0" fontId="1" fillId="12" borderId="1" xfId="0" applyFont="1" applyFill="1" applyBorder="1" applyAlignment="1" applyProtection="1">
      <alignment horizontal="center" vertical="center" wrapText="1"/>
      <protection locked="0"/>
    </xf>
    <xf numFmtId="0" fontId="1" fillId="12" borderId="8" xfId="0" applyFont="1" applyFill="1" applyBorder="1" applyAlignment="1" applyProtection="1">
      <alignment horizontal="center" vertical="center" wrapText="1"/>
      <protection locked="0"/>
    </xf>
    <xf numFmtId="0" fontId="1" fillId="12" borderId="9" xfId="0" applyFont="1" applyFill="1" applyBorder="1" applyAlignment="1" applyProtection="1">
      <alignment horizontal="center" vertical="center" wrapText="1"/>
      <protection locked="0"/>
    </xf>
    <xf numFmtId="0" fontId="1" fillId="12" borderId="5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vertical="center" wrapText="1"/>
      <protection locked="0"/>
    </xf>
    <xf numFmtId="0" fontId="12" fillId="2" borderId="4" xfId="0" applyFont="1" applyFill="1" applyBorder="1" applyAlignment="1" applyProtection="1">
      <alignment vertical="center" wrapText="1"/>
      <protection locked="0"/>
    </xf>
    <xf numFmtId="0" fontId="12" fillId="2" borderId="3" xfId="0" applyFont="1" applyFill="1" applyBorder="1" applyAlignment="1" applyProtection="1">
      <alignment vertical="center" wrapText="1"/>
      <protection locked="0"/>
    </xf>
    <xf numFmtId="0" fontId="12" fillId="2" borderId="2" xfId="0" applyFont="1" applyFill="1" applyBorder="1" applyAlignment="1" applyProtection="1">
      <alignment wrapText="1"/>
      <protection locked="0"/>
    </xf>
    <xf numFmtId="0" fontId="12" fillId="2" borderId="3" xfId="0" applyFont="1" applyFill="1" applyBorder="1" applyAlignment="1" applyProtection="1">
      <alignment wrapText="1"/>
      <protection locked="0"/>
    </xf>
    <xf numFmtId="0" fontId="12" fillId="2" borderId="4" xfId="0" applyFont="1" applyFill="1" applyBorder="1" applyAlignment="1" applyProtection="1">
      <alignment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  <protection locked="0"/>
    </xf>
    <xf numFmtId="0" fontId="12" fillId="2" borderId="23" xfId="0" applyFont="1" applyFill="1" applyBorder="1" applyAlignment="1" applyProtection="1">
      <alignment horizontal="center" vertical="center" wrapText="1"/>
      <protection locked="0"/>
    </xf>
    <xf numFmtId="0" fontId="12" fillId="2" borderId="33" xfId="0" applyFont="1" applyFill="1" applyBorder="1" applyAlignment="1" applyProtection="1">
      <alignment horizontal="center" vertical="center" wrapText="1"/>
      <protection locked="0"/>
    </xf>
    <xf numFmtId="0" fontId="12" fillId="2" borderId="34" xfId="0" applyFont="1" applyFill="1" applyBorder="1" applyAlignment="1" applyProtection="1">
      <alignment horizontal="left" vertical="center" wrapText="1"/>
      <protection locked="0"/>
    </xf>
    <xf numFmtId="0" fontId="12" fillId="2" borderId="33" xfId="0" applyFont="1" applyFill="1" applyBorder="1" applyAlignment="1" applyProtection="1">
      <alignment horizontal="left" vertical="center" wrapText="1"/>
      <protection locked="0"/>
    </xf>
    <xf numFmtId="0" fontId="12" fillId="2" borderId="19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 vertical="center" wrapText="1"/>
      <protection locked="0"/>
    </xf>
    <xf numFmtId="0" fontId="12" fillId="2" borderId="39" xfId="0" applyFont="1" applyFill="1" applyBorder="1" applyAlignment="1" applyProtection="1">
      <alignment horizontal="center" vertical="center" wrapText="1"/>
      <protection locked="0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2" fillId="2" borderId="40" xfId="0" applyFont="1" applyFill="1" applyBorder="1" applyAlignment="1" applyProtection="1">
      <alignment horizontal="center" vertical="center" wrapText="1"/>
      <protection locked="0"/>
    </xf>
    <xf numFmtId="0" fontId="14" fillId="12" borderId="14" xfId="0" applyFont="1" applyFill="1" applyBorder="1" applyAlignment="1" applyProtection="1">
      <alignment horizontal="right" vertical="center"/>
      <protection locked="0"/>
    </xf>
    <xf numFmtId="0" fontId="14" fillId="12" borderId="11" xfId="0" applyFont="1" applyFill="1" applyBorder="1" applyAlignment="1" applyProtection="1">
      <alignment horizontal="right" vertical="center"/>
      <protection locked="0"/>
    </xf>
    <xf numFmtId="0" fontId="14" fillId="12" borderId="6" xfId="0" applyFont="1" applyFill="1" applyBorder="1" applyAlignment="1" applyProtection="1">
      <alignment horizontal="right" vertical="center"/>
      <protection locked="0"/>
    </xf>
    <xf numFmtId="0" fontId="14" fillId="12" borderId="16" xfId="0" applyFont="1" applyFill="1" applyBorder="1" applyAlignment="1" applyProtection="1">
      <alignment horizontal="right" vertical="center"/>
      <protection locked="0"/>
    </xf>
    <xf numFmtId="0" fontId="14" fillId="12" borderId="10" xfId="0" applyFont="1" applyFill="1" applyBorder="1" applyAlignment="1" applyProtection="1">
      <alignment horizontal="right" vertical="center"/>
      <protection locked="0"/>
    </xf>
    <xf numFmtId="0" fontId="14" fillId="12" borderId="7" xfId="0" applyFont="1" applyFill="1" applyBorder="1" applyAlignment="1" applyProtection="1">
      <alignment horizontal="right" vertical="center"/>
      <protection locked="0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12" fillId="2" borderId="13" xfId="0" applyFont="1" applyFill="1" applyBorder="1" applyAlignment="1" applyProtection="1">
      <alignment horizontal="center" vertical="center"/>
      <protection locked="0"/>
    </xf>
    <xf numFmtId="0" fontId="12" fillId="2" borderId="16" xfId="0" applyFont="1" applyFill="1" applyBorder="1" applyAlignment="1" applyProtection="1">
      <alignment horizontal="center" vertical="center"/>
      <protection locked="0"/>
    </xf>
    <xf numFmtId="0" fontId="12" fillId="2" borderId="7" xfId="0" applyFont="1" applyFill="1" applyBorder="1" applyAlignment="1" applyProtection="1">
      <alignment horizontal="center" vertical="center"/>
      <protection locked="0"/>
    </xf>
    <xf numFmtId="0" fontId="12" fillId="2" borderId="26" xfId="0" applyFont="1" applyFill="1" applyBorder="1" applyAlignment="1" applyProtection="1">
      <alignment horizontal="center" vertical="center" wrapText="1"/>
      <protection locked="0"/>
    </xf>
    <xf numFmtId="0" fontId="12" fillId="2" borderId="34" xfId="0" applyFont="1" applyFill="1" applyBorder="1" applyAlignment="1" applyProtection="1">
      <alignment horizontal="center" vertical="center" wrapText="1"/>
      <protection locked="0"/>
    </xf>
    <xf numFmtId="0" fontId="12" fillId="2" borderId="32" xfId="0" applyFont="1" applyFill="1" applyBorder="1" applyAlignment="1" applyProtection="1">
      <alignment horizontal="center" vertical="center" wrapText="1"/>
      <protection locked="0"/>
    </xf>
    <xf numFmtId="0" fontId="12" fillId="2" borderId="23" xfId="0" applyFont="1" applyFill="1" applyBorder="1" applyAlignment="1" applyProtection="1">
      <alignment horizontal="left" vertical="center" wrapText="1"/>
      <protection locked="0"/>
    </xf>
    <xf numFmtId="0" fontId="12" fillId="2" borderId="26" xfId="0" applyFont="1" applyFill="1" applyBorder="1" applyAlignment="1" applyProtection="1">
      <alignment horizontal="left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/>
  <colors>
    <mruColors>
      <color rgb="FFD4E533"/>
      <color rgb="FFEDF4AA"/>
      <color rgb="FFE1E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K221"/>
  <sheetViews>
    <sheetView workbookViewId="0">
      <pane xSplit="2" ySplit="5" topLeftCell="C21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4.5703125" customWidth="1"/>
    <col min="2" max="2" width="9.85546875" customWidth="1"/>
    <col min="3" max="3" width="10.7109375" customWidth="1"/>
    <col min="4" max="4" width="13.5703125" customWidth="1"/>
    <col min="5" max="5" width="13.5703125" style="2" customWidth="1"/>
    <col min="6" max="8" width="10.28515625" customWidth="1"/>
    <col min="9" max="9" width="19.140625" bestFit="1" customWidth="1"/>
    <col min="10" max="10" width="12" style="55" customWidth="1"/>
    <col min="11" max="11" width="12" customWidth="1"/>
  </cols>
  <sheetData>
    <row r="1" spans="1:11" ht="21" customHeight="1" x14ac:dyDescent="0.2">
      <c r="A1" s="343" t="s">
        <v>82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</row>
    <row r="3" spans="1:11" x14ac:dyDescent="0.2">
      <c r="D3" s="5"/>
      <c r="E3" s="3"/>
    </row>
    <row r="4" spans="1:11" s="49" customFormat="1" ht="18.75" customHeight="1" x14ac:dyDescent="0.2">
      <c r="A4" s="351" t="s">
        <v>19</v>
      </c>
      <c r="B4" s="351" t="s">
        <v>0</v>
      </c>
      <c r="C4" s="351" t="s">
        <v>44</v>
      </c>
      <c r="D4" s="351" t="s">
        <v>21</v>
      </c>
      <c r="E4" s="353" t="s">
        <v>105</v>
      </c>
      <c r="F4" s="354"/>
      <c r="G4" s="354"/>
      <c r="H4" s="355"/>
      <c r="I4" s="351" t="s">
        <v>106</v>
      </c>
      <c r="J4" s="357" t="s">
        <v>107</v>
      </c>
      <c r="K4" s="356" t="s">
        <v>84</v>
      </c>
    </row>
    <row r="5" spans="1:11" s="49" customFormat="1" ht="27" customHeight="1" x14ac:dyDescent="0.2">
      <c r="A5" s="352"/>
      <c r="B5" s="352"/>
      <c r="C5" s="352"/>
      <c r="D5" s="352"/>
      <c r="E5" s="47" t="s">
        <v>43</v>
      </c>
      <c r="F5" s="48" t="s">
        <v>83</v>
      </c>
      <c r="G5" s="48" t="s">
        <v>83</v>
      </c>
      <c r="H5" s="48" t="s">
        <v>83</v>
      </c>
      <c r="I5" s="352"/>
      <c r="J5" s="357"/>
      <c r="K5" s="356"/>
    </row>
    <row r="6" spans="1:11" x14ac:dyDescent="0.2">
      <c r="A6" s="370" t="s">
        <v>38</v>
      </c>
      <c r="B6" s="378" t="s">
        <v>1</v>
      </c>
      <c r="C6" s="41" t="s">
        <v>27</v>
      </c>
      <c r="D6" s="42">
        <v>0</v>
      </c>
      <c r="E6" s="43"/>
      <c r="F6" s="38"/>
      <c r="G6" s="38"/>
      <c r="H6" s="38"/>
      <c r="I6" s="4">
        <f>SUM(D6:H6)</f>
        <v>0</v>
      </c>
      <c r="J6" s="59">
        <v>0</v>
      </c>
      <c r="K6" s="4">
        <f>I6-J6</f>
        <v>0</v>
      </c>
    </row>
    <row r="7" spans="1:11" x14ac:dyDescent="0.2">
      <c r="A7" s="370"/>
      <c r="B7" s="378"/>
      <c r="C7" s="41" t="s">
        <v>39</v>
      </c>
      <c r="D7" s="42">
        <v>0</v>
      </c>
      <c r="E7" s="43"/>
      <c r="F7" s="38"/>
      <c r="G7" s="38"/>
      <c r="H7" s="38"/>
      <c r="I7" s="4">
        <f t="shared" ref="I7:I26" si="0">SUM(D7:H7)</f>
        <v>0</v>
      </c>
      <c r="J7" s="59">
        <v>0</v>
      </c>
      <c r="K7" s="4">
        <f t="shared" ref="K7:K26" si="1">I7-J7</f>
        <v>0</v>
      </c>
    </row>
    <row r="8" spans="1:11" x14ac:dyDescent="0.2">
      <c r="A8" s="370"/>
      <c r="B8" s="378"/>
      <c r="C8" s="41" t="s">
        <v>40</v>
      </c>
      <c r="D8" s="42">
        <v>1500</v>
      </c>
      <c r="E8" s="43"/>
      <c r="F8" s="38"/>
      <c r="G8" s="38"/>
      <c r="H8" s="38"/>
      <c r="I8" s="4">
        <f t="shared" si="0"/>
        <v>1500</v>
      </c>
      <c r="J8" s="54">
        <v>477</v>
      </c>
      <c r="K8" s="4">
        <f t="shared" si="1"/>
        <v>1023</v>
      </c>
    </row>
    <row r="9" spans="1:11" x14ac:dyDescent="0.2">
      <c r="A9" s="370"/>
      <c r="B9" s="379" t="s">
        <v>4</v>
      </c>
      <c r="C9" s="41" t="s">
        <v>25</v>
      </c>
      <c r="D9" s="42">
        <v>2468000</v>
      </c>
      <c r="E9" s="43"/>
      <c r="F9" s="38"/>
      <c r="G9" s="38"/>
      <c r="H9" s="38"/>
      <c r="I9" s="4">
        <f t="shared" si="0"/>
        <v>2468000</v>
      </c>
      <c r="J9" s="59">
        <v>0</v>
      </c>
      <c r="K9" s="4">
        <f t="shared" si="1"/>
        <v>2468000</v>
      </c>
    </row>
    <row r="10" spans="1:11" x14ac:dyDescent="0.2">
      <c r="A10" s="370"/>
      <c r="B10" s="380"/>
      <c r="C10" s="41" t="s">
        <v>28</v>
      </c>
      <c r="D10" s="42">
        <v>10810958</v>
      </c>
      <c r="E10" s="43"/>
      <c r="F10" s="38"/>
      <c r="G10" s="38"/>
      <c r="H10" s="38"/>
      <c r="I10" s="4">
        <f t="shared" si="0"/>
        <v>10810958</v>
      </c>
      <c r="J10" s="54">
        <v>10810958</v>
      </c>
      <c r="K10" s="4">
        <f t="shared" si="1"/>
        <v>0</v>
      </c>
    </row>
    <row r="11" spans="1:11" x14ac:dyDescent="0.2">
      <c r="A11" s="7" t="s">
        <v>45</v>
      </c>
      <c r="B11" s="6" t="s">
        <v>4</v>
      </c>
      <c r="C11" s="41" t="s">
        <v>25</v>
      </c>
      <c r="D11" s="42">
        <v>16258950</v>
      </c>
      <c r="E11" s="43"/>
      <c r="F11" s="38"/>
      <c r="G11" s="38"/>
      <c r="H11" s="38"/>
      <c r="I11" s="4">
        <f t="shared" si="0"/>
        <v>16258950</v>
      </c>
      <c r="J11" s="54">
        <v>2776876</v>
      </c>
      <c r="K11" s="4">
        <f t="shared" si="1"/>
        <v>13482074</v>
      </c>
    </row>
    <row r="12" spans="1:11" x14ac:dyDescent="0.2">
      <c r="A12" s="339" t="s">
        <v>50</v>
      </c>
      <c r="B12" s="341" t="s">
        <v>4</v>
      </c>
      <c r="C12" s="41" t="s">
        <v>25</v>
      </c>
      <c r="D12" s="42">
        <v>7005263</v>
      </c>
      <c r="E12" s="43"/>
      <c r="F12" s="38"/>
      <c r="G12" s="38"/>
      <c r="H12" s="38"/>
      <c r="I12" s="4">
        <f t="shared" si="0"/>
        <v>7005263</v>
      </c>
      <c r="J12" s="54">
        <v>564234</v>
      </c>
      <c r="K12" s="4">
        <f t="shared" si="1"/>
        <v>6441029</v>
      </c>
    </row>
    <row r="13" spans="1:11" x14ac:dyDescent="0.2">
      <c r="A13" s="340"/>
      <c r="B13" s="342"/>
      <c r="C13" s="41" t="s">
        <v>37</v>
      </c>
      <c r="D13" s="42">
        <v>4500000</v>
      </c>
      <c r="E13" s="43"/>
      <c r="F13" s="38"/>
      <c r="G13" s="38"/>
      <c r="H13" s="38"/>
      <c r="I13" s="4">
        <f t="shared" si="0"/>
        <v>4500000</v>
      </c>
      <c r="J13" s="54">
        <v>201895</v>
      </c>
      <c r="K13" s="4">
        <f t="shared" si="1"/>
        <v>4298105</v>
      </c>
    </row>
    <row r="14" spans="1:11" x14ac:dyDescent="0.2">
      <c r="A14" s="8" t="s">
        <v>26</v>
      </c>
      <c r="B14" s="6" t="s">
        <v>4</v>
      </c>
      <c r="C14" s="41" t="s">
        <v>25</v>
      </c>
      <c r="D14" s="42">
        <v>19746500</v>
      </c>
      <c r="E14" s="43"/>
      <c r="F14" s="38"/>
      <c r="G14" s="38"/>
      <c r="H14" s="38"/>
      <c r="I14" s="4">
        <f t="shared" si="0"/>
        <v>19746500</v>
      </c>
      <c r="J14" s="54">
        <v>1985901</v>
      </c>
      <c r="K14" s="4">
        <f t="shared" si="1"/>
        <v>17760599</v>
      </c>
    </row>
    <row r="15" spans="1:11" x14ac:dyDescent="0.2">
      <c r="A15" s="339" t="s">
        <v>46</v>
      </c>
      <c r="B15" s="381" t="s">
        <v>4</v>
      </c>
      <c r="C15" s="41" t="s">
        <v>25</v>
      </c>
      <c r="D15" s="42">
        <v>0</v>
      </c>
      <c r="E15" s="43"/>
      <c r="F15" s="38"/>
      <c r="G15" s="38"/>
      <c r="H15" s="38"/>
      <c r="I15" s="4">
        <f t="shared" si="0"/>
        <v>0</v>
      </c>
      <c r="J15" s="59">
        <v>0</v>
      </c>
      <c r="K15" s="4">
        <f t="shared" si="1"/>
        <v>0</v>
      </c>
    </row>
    <row r="16" spans="1:11" x14ac:dyDescent="0.2">
      <c r="A16" s="367"/>
      <c r="B16" s="381"/>
      <c r="C16" s="41" t="s">
        <v>37</v>
      </c>
      <c r="D16" s="42">
        <v>0</v>
      </c>
      <c r="E16" s="43"/>
      <c r="F16" s="38"/>
      <c r="G16" s="38"/>
      <c r="H16" s="38"/>
      <c r="I16" s="4">
        <f t="shared" si="0"/>
        <v>0</v>
      </c>
      <c r="J16" s="59">
        <v>0</v>
      </c>
      <c r="K16" s="4">
        <f t="shared" si="1"/>
        <v>0</v>
      </c>
    </row>
    <row r="17" spans="1:11" x14ac:dyDescent="0.2">
      <c r="A17" s="367"/>
      <c r="B17" s="381"/>
      <c r="C17" s="41" t="s">
        <v>28</v>
      </c>
      <c r="D17" s="42">
        <v>199713</v>
      </c>
      <c r="E17" s="43"/>
      <c r="F17" s="38"/>
      <c r="G17" s="38"/>
      <c r="H17" s="38"/>
      <c r="I17" s="4">
        <f t="shared" si="0"/>
        <v>199713</v>
      </c>
      <c r="J17" s="54">
        <v>199713</v>
      </c>
      <c r="K17" s="4">
        <f t="shared" si="1"/>
        <v>0</v>
      </c>
    </row>
    <row r="18" spans="1:11" x14ac:dyDescent="0.2">
      <c r="A18" s="367"/>
      <c r="B18" s="381" t="s">
        <v>8</v>
      </c>
      <c r="C18" s="41" t="s">
        <v>40</v>
      </c>
      <c r="D18" s="42">
        <v>0</v>
      </c>
      <c r="E18" s="43"/>
      <c r="F18" s="38"/>
      <c r="G18" s="38"/>
      <c r="H18" s="38"/>
      <c r="I18" s="4">
        <f t="shared" si="0"/>
        <v>0</v>
      </c>
      <c r="J18" s="59">
        <v>0</v>
      </c>
      <c r="K18" s="4">
        <f t="shared" si="1"/>
        <v>0</v>
      </c>
    </row>
    <row r="19" spans="1:11" x14ac:dyDescent="0.2">
      <c r="A19" s="367"/>
      <c r="B19" s="381"/>
      <c r="C19" s="41" t="s">
        <v>41</v>
      </c>
      <c r="D19" s="42">
        <v>0</v>
      </c>
      <c r="E19" s="43"/>
      <c r="F19" s="38"/>
      <c r="G19" s="38"/>
      <c r="H19" s="38"/>
      <c r="I19" s="4">
        <f t="shared" si="0"/>
        <v>0</v>
      </c>
      <c r="J19" s="59">
        <v>0</v>
      </c>
      <c r="K19" s="4">
        <f t="shared" si="1"/>
        <v>0</v>
      </c>
    </row>
    <row r="20" spans="1:11" ht="12.75" customHeight="1" x14ac:dyDescent="0.2">
      <c r="A20" s="348" t="s">
        <v>47</v>
      </c>
      <c r="B20" s="341" t="s">
        <v>4</v>
      </c>
      <c r="C20" s="41" t="s">
        <v>25</v>
      </c>
      <c r="D20" s="42">
        <v>37214812</v>
      </c>
      <c r="E20" s="43"/>
      <c r="F20" s="38"/>
      <c r="G20" s="38"/>
      <c r="H20" s="38"/>
      <c r="I20" s="4">
        <f t="shared" si="0"/>
        <v>37214812</v>
      </c>
      <c r="J20" s="59">
        <v>0</v>
      </c>
      <c r="K20" s="4">
        <f t="shared" si="1"/>
        <v>37214812</v>
      </c>
    </row>
    <row r="21" spans="1:11" x14ac:dyDescent="0.2">
      <c r="A21" s="349"/>
      <c r="B21" s="382"/>
      <c r="C21" s="41" t="s">
        <v>37</v>
      </c>
      <c r="D21" s="42">
        <v>0</v>
      </c>
      <c r="E21" s="43"/>
      <c r="F21" s="38"/>
      <c r="G21" s="38"/>
      <c r="H21" s="38"/>
      <c r="I21" s="4">
        <f t="shared" si="0"/>
        <v>0</v>
      </c>
      <c r="J21" s="59">
        <v>0</v>
      </c>
      <c r="K21" s="4">
        <f t="shared" si="1"/>
        <v>0</v>
      </c>
    </row>
    <row r="22" spans="1:11" x14ac:dyDescent="0.2">
      <c r="A22" s="349"/>
      <c r="B22" s="342"/>
      <c r="C22" s="41" t="s">
        <v>28</v>
      </c>
      <c r="D22" s="42">
        <v>17033910</v>
      </c>
      <c r="E22" s="43"/>
      <c r="F22" s="38"/>
      <c r="G22" s="38"/>
      <c r="H22" s="38"/>
      <c r="I22" s="4">
        <f t="shared" si="0"/>
        <v>17033910</v>
      </c>
      <c r="J22" s="54">
        <v>17033910</v>
      </c>
      <c r="K22" s="4">
        <f t="shared" si="1"/>
        <v>0</v>
      </c>
    </row>
    <row r="23" spans="1:11" x14ac:dyDescent="0.2">
      <c r="A23" s="350"/>
      <c r="B23" s="46" t="s">
        <v>17</v>
      </c>
      <c r="C23" s="41" t="s">
        <v>40</v>
      </c>
      <c r="D23" s="42">
        <v>800</v>
      </c>
      <c r="E23" s="43"/>
      <c r="F23" s="38"/>
      <c r="G23" s="38"/>
      <c r="H23" s="38"/>
      <c r="I23" s="4">
        <f t="shared" si="0"/>
        <v>800</v>
      </c>
      <c r="J23" s="59">
        <v>0</v>
      </c>
      <c r="K23" s="4">
        <f t="shared" si="1"/>
        <v>800</v>
      </c>
    </row>
    <row r="24" spans="1:11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43"/>
      <c r="F24" s="38"/>
      <c r="G24" s="38"/>
      <c r="H24" s="38"/>
      <c r="I24" s="4">
        <f t="shared" si="0"/>
        <v>260269918</v>
      </c>
      <c r="J24" s="54">
        <v>65363778</v>
      </c>
      <c r="K24" s="4">
        <f t="shared" si="1"/>
        <v>194906140</v>
      </c>
    </row>
    <row r="25" spans="1:11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43"/>
      <c r="F25" s="38"/>
      <c r="G25" s="38"/>
      <c r="H25" s="38"/>
      <c r="I25" s="4">
        <f t="shared" si="0"/>
        <v>3196558</v>
      </c>
      <c r="J25" s="54">
        <v>428860</v>
      </c>
      <c r="K25" s="4">
        <f t="shared" si="1"/>
        <v>2767698</v>
      </c>
    </row>
    <row r="26" spans="1:11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3"/>
      <c r="F26" s="38"/>
      <c r="G26" s="38"/>
      <c r="H26" s="38"/>
      <c r="I26" s="4">
        <f t="shared" si="0"/>
        <v>47502672</v>
      </c>
      <c r="J26" s="54">
        <v>10883369</v>
      </c>
      <c r="K26" s="4">
        <f t="shared" si="1"/>
        <v>36619303</v>
      </c>
    </row>
    <row r="27" spans="1:11" s="50" customFormat="1" ht="27" customHeight="1" x14ac:dyDescent="0.2">
      <c r="A27" s="345" t="s">
        <v>85</v>
      </c>
      <c r="B27" s="346"/>
      <c r="C27" s="347"/>
      <c r="D27" s="52">
        <f>SUM(D6:D26)</f>
        <v>426209554</v>
      </c>
      <c r="E27" s="52">
        <f t="shared" ref="E27:K27" si="2">SUM(E6:E26)</f>
        <v>0</v>
      </c>
      <c r="F27" s="52">
        <f t="shared" si="2"/>
        <v>0</v>
      </c>
      <c r="G27" s="52">
        <f t="shared" si="2"/>
        <v>0</v>
      </c>
      <c r="H27" s="52">
        <f t="shared" si="2"/>
        <v>0</v>
      </c>
      <c r="I27" s="52">
        <f t="shared" si="2"/>
        <v>426209554</v>
      </c>
      <c r="J27" s="56">
        <f t="shared" si="2"/>
        <v>110249971</v>
      </c>
      <c r="K27" s="52">
        <f t="shared" si="2"/>
        <v>315959583</v>
      </c>
    </row>
    <row r="28" spans="1:11" s="1" customFormat="1" ht="14.25" customHeight="1" x14ac:dyDescent="0.2">
      <c r="A28" s="339" t="s">
        <v>18</v>
      </c>
      <c r="B28" s="384" t="s">
        <v>1</v>
      </c>
      <c r="C28" s="41" t="s">
        <v>22</v>
      </c>
      <c r="D28" s="44">
        <v>24000</v>
      </c>
      <c r="E28" s="45"/>
      <c r="F28" s="38"/>
      <c r="G28" s="38"/>
      <c r="H28" s="38"/>
      <c r="I28" s="4">
        <f t="shared" ref="I28" si="3">SUM(D28:H28)</f>
        <v>24000</v>
      </c>
      <c r="J28" s="59">
        <v>0</v>
      </c>
      <c r="K28" s="4">
        <f t="shared" ref="K28" si="4">I28-J28</f>
        <v>24000</v>
      </c>
    </row>
    <row r="29" spans="1:11" x14ac:dyDescent="0.2">
      <c r="A29" s="367"/>
      <c r="B29" s="385"/>
      <c r="C29" s="41" t="s">
        <v>89</v>
      </c>
      <c r="D29" s="38">
        <v>1870</v>
      </c>
      <c r="E29" s="40"/>
      <c r="F29" s="38"/>
      <c r="G29" s="38"/>
      <c r="H29" s="38"/>
      <c r="I29" s="4">
        <f t="shared" ref="I29:I70" si="5">SUM(D29:H29)</f>
        <v>1870</v>
      </c>
      <c r="J29" s="59">
        <v>0</v>
      </c>
      <c r="K29" s="4">
        <f t="shared" ref="K29:K70" si="6">I29-J29</f>
        <v>1870</v>
      </c>
    </row>
    <row r="30" spans="1:11" x14ac:dyDescent="0.2">
      <c r="A30" s="367"/>
      <c r="B30" s="385"/>
      <c r="C30" s="39" t="s">
        <v>2</v>
      </c>
      <c r="D30" s="38">
        <v>17684057</v>
      </c>
      <c r="E30" s="40">
        <v>-83000</v>
      </c>
      <c r="F30" s="38"/>
      <c r="G30" s="38"/>
      <c r="H30" s="38"/>
      <c r="I30" s="4">
        <f t="shared" si="5"/>
        <v>17601057</v>
      </c>
      <c r="J30" s="54">
        <v>2026044</v>
      </c>
      <c r="K30" s="4">
        <f t="shared" si="6"/>
        <v>15575013</v>
      </c>
    </row>
    <row r="31" spans="1:11" x14ac:dyDescent="0.2">
      <c r="A31" s="367"/>
      <c r="B31" s="385"/>
      <c r="C31" s="41" t="s">
        <v>11</v>
      </c>
      <c r="D31" s="38">
        <v>60264</v>
      </c>
      <c r="E31" s="40"/>
      <c r="F31" s="38"/>
      <c r="G31" s="38"/>
      <c r="H31" s="38"/>
      <c r="I31" s="4">
        <f t="shared" si="5"/>
        <v>60264</v>
      </c>
      <c r="J31" s="54">
        <v>41445</v>
      </c>
      <c r="K31" s="4">
        <f t="shared" si="6"/>
        <v>18819</v>
      </c>
    </row>
    <row r="32" spans="1:11" x14ac:dyDescent="0.2">
      <c r="A32" s="367"/>
      <c r="B32" s="386"/>
      <c r="C32" s="41" t="s">
        <v>91</v>
      </c>
      <c r="D32" s="38">
        <v>0</v>
      </c>
      <c r="E32" s="40">
        <v>83000</v>
      </c>
      <c r="F32" s="38"/>
      <c r="G32" s="38"/>
      <c r="H32" s="38"/>
      <c r="I32" s="4">
        <f t="shared" si="5"/>
        <v>83000</v>
      </c>
      <c r="J32" s="54">
        <v>83000</v>
      </c>
      <c r="K32" s="4">
        <f t="shared" si="6"/>
        <v>0</v>
      </c>
    </row>
    <row r="33" spans="1:11" x14ac:dyDescent="0.2">
      <c r="A33" s="367"/>
      <c r="B33" s="341" t="s">
        <v>4</v>
      </c>
      <c r="C33" s="41" t="s">
        <v>23</v>
      </c>
      <c r="D33" s="38">
        <v>2267</v>
      </c>
      <c r="E33" s="40"/>
      <c r="F33" s="38"/>
      <c r="G33" s="38"/>
      <c r="H33" s="38"/>
      <c r="I33" s="4">
        <f t="shared" si="5"/>
        <v>2267</v>
      </c>
      <c r="J33" s="59">
        <v>0</v>
      </c>
      <c r="K33" s="4">
        <f t="shared" si="6"/>
        <v>2267</v>
      </c>
    </row>
    <row r="34" spans="1:11" s="1" customFormat="1" x14ac:dyDescent="0.2">
      <c r="A34" s="367"/>
      <c r="B34" s="383"/>
      <c r="C34" s="41" t="s">
        <v>5</v>
      </c>
      <c r="D34" s="42">
        <v>0</v>
      </c>
      <c r="E34" s="45"/>
      <c r="F34" s="38"/>
      <c r="G34" s="38"/>
      <c r="H34" s="38"/>
      <c r="I34" s="4">
        <f t="shared" si="5"/>
        <v>0</v>
      </c>
      <c r="J34" s="59">
        <v>0</v>
      </c>
      <c r="K34" s="4">
        <f t="shared" si="6"/>
        <v>0</v>
      </c>
    </row>
    <row r="35" spans="1:11" x14ac:dyDescent="0.2">
      <c r="A35" s="367"/>
      <c r="B35" s="383"/>
      <c r="C35" s="39" t="s">
        <v>3</v>
      </c>
      <c r="D35" s="38">
        <v>313437148</v>
      </c>
      <c r="E35" s="43"/>
      <c r="F35" s="38"/>
      <c r="G35" s="38"/>
      <c r="H35" s="38"/>
      <c r="I35" s="4">
        <f t="shared" si="5"/>
        <v>313437148</v>
      </c>
      <c r="J35" s="54">
        <v>72997257</v>
      </c>
      <c r="K35" s="4">
        <f t="shared" si="6"/>
        <v>240439891</v>
      </c>
    </row>
    <row r="36" spans="1:11" s="1" customFormat="1" ht="13.5" customHeight="1" x14ac:dyDescent="0.2">
      <c r="A36" s="339" t="s">
        <v>20</v>
      </c>
      <c r="B36" s="368" t="s">
        <v>6</v>
      </c>
      <c r="C36" s="41" t="s">
        <v>23</v>
      </c>
      <c r="D36" s="42">
        <v>0</v>
      </c>
      <c r="E36" s="45"/>
      <c r="F36" s="38"/>
      <c r="G36" s="38"/>
      <c r="H36" s="38"/>
      <c r="I36" s="4">
        <f t="shared" si="5"/>
        <v>0</v>
      </c>
      <c r="J36" s="59">
        <v>0</v>
      </c>
      <c r="K36" s="4">
        <f t="shared" si="6"/>
        <v>0</v>
      </c>
    </row>
    <row r="37" spans="1:11" x14ac:dyDescent="0.2">
      <c r="A37" s="358"/>
      <c r="B37" s="369"/>
      <c r="C37" s="39" t="s">
        <v>5</v>
      </c>
      <c r="D37" s="38">
        <v>16258950</v>
      </c>
      <c r="E37" s="43"/>
      <c r="F37" s="38"/>
      <c r="G37" s="38"/>
      <c r="H37" s="38"/>
      <c r="I37" s="4">
        <f t="shared" si="5"/>
        <v>16258950</v>
      </c>
      <c r="J37" s="54">
        <v>2709825</v>
      </c>
      <c r="K37" s="4">
        <f t="shared" si="6"/>
        <v>13549125</v>
      </c>
    </row>
    <row r="38" spans="1:11" x14ac:dyDescent="0.2">
      <c r="A38" s="339" t="s">
        <v>24</v>
      </c>
      <c r="B38" s="341" t="s">
        <v>4</v>
      </c>
      <c r="C38" s="41" t="s">
        <v>23</v>
      </c>
      <c r="D38" s="38">
        <v>7005263</v>
      </c>
      <c r="E38" s="40"/>
      <c r="F38" s="38"/>
      <c r="G38" s="38"/>
      <c r="H38" s="38"/>
      <c r="I38" s="4">
        <f t="shared" si="5"/>
        <v>7005263</v>
      </c>
      <c r="J38" s="59">
        <v>0</v>
      </c>
      <c r="K38" s="4">
        <f t="shared" si="6"/>
        <v>7005263</v>
      </c>
    </row>
    <row r="39" spans="1:11" x14ac:dyDescent="0.2">
      <c r="A39" s="340"/>
      <c r="B39" s="342"/>
      <c r="C39" s="41" t="s">
        <v>90</v>
      </c>
      <c r="D39" s="38">
        <v>4500000</v>
      </c>
      <c r="E39" s="40"/>
      <c r="F39" s="38"/>
      <c r="G39" s="38"/>
      <c r="H39" s="38"/>
      <c r="I39" s="4">
        <f t="shared" si="5"/>
        <v>4500000</v>
      </c>
      <c r="J39" s="59">
        <v>0</v>
      </c>
      <c r="K39" s="4">
        <f t="shared" si="6"/>
        <v>4500000</v>
      </c>
    </row>
    <row r="40" spans="1:11" x14ac:dyDescent="0.2">
      <c r="A40" s="339" t="s">
        <v>30</v>
      </c>
      <c r="B40" s="341" t="s">
        <v>4</v>
      </c>
      <c r="C40" s="41" t="s">
        <v>23</v>
      </c>
      <c r="D40" s="38">
        <v>12736500</v>
      </c>
      <c r="E40" s="40"/>
      <c r="F40" s="38"/>
      <c r="G40" s="38"/>
      <c r="H40" s="38"/>
      <c r="I40" s="4">
        <f t="shared" si="5"/>
        <v>12736500</v>
      </c>
      <c r="J40" s="59">
        <v>0</v>
      </c>
      <c r="K40" s="4">
        <f t="shared" si="6"/>
        <v>12736500</v>
      </c>
    </row>
    <row r="41" spans="1:11" x14ac:dyDescent="0.2">
      <c r="A41" s="340"/>
      <c r="B41" s="342"/>
      <c r="C41" s="41" t="s">
        <v>5</v>
      </c>
      <c r="D41" s="38">
        <v>50000</v>
      </c>
      <c r="E41" s="40"/>
      <c r="F41" s="38"/>
      <c r="G41" s="38"/>
      <c r="H41" s="38"/>
      <c r="I41" s="4">
        <f t="shared" si="5"/>
        <v>50000</v>
      </c>
      <c r="J41" s="59">
        <v>0</v>
      </c>
      <c r="K41" s="4">
        <f t="shared" si="6"/>
        <v>50000</v>
      </c>
    </row>
    <row r="42" spans="1:11" s="1" customFormat="1" x14ac:dyDescent="0.2">
      <c r="A42" s="339" t="s">
        <v>48</v>
      </c>
      <c r="B42" s="368" t="s">
        <v>8</v>
      </c>
      <c r="C42" s="39" t="s">
        <v>7</v>
      </c>
      <c r="D42" s="38">
        <v>0</v>
      </c>
      <c r="E42" s="43"/>
      <c r="F42" s="38"/>
      <c r="G42" s="38"/>
      <c r="H42" s="38"/>
      <c r="I42" s="4">
        <f t="shared" si="5"/>
        <v>0</v>
      </c>
      <c r="J42" s="59">
        <v>0</v>
      </c>
      <c r="K42" s="4">
        <f t="shared" si="6"/>
        <v>0</v>
      </c>
    </row>
    <row r="43" spans="1:11" x14ac:dyDescent="0.2">
      <c r="A43" s="367"/>
      <c r="B43" s="369"/>
      <c r="C43" s="39" t="s">
        <v>9</v>
      </c>
      <c r="D43" s="38">
        <v>0</v>
      </c>
      <c r="E43" s="43"/>
      <c r="F43" s="38"/>
      <c r="G43" s="38"/>
      <c r="H43" s="38"/>
      <c r="I43" s="4">
        <f t="shared" si="5"/>
        <v>0</v>
      </c>
      <c r="J43" s="59">
        <v>0</v>
      </c>
      <c r="K43" s="4">
        <f t="shared" si="6"/>
        <v>0</v>
      </c>
    </row>
    <row r="44" spans="1:11" x14ac:dyDescent="0.2">
      <c r="A44" s="367"/>
      <c r="B44" s="369"/>
      <c r="C44" s="39" t="s">
        <v>10</v>
      </c>
      <c r="D44" s="38">
        <v>0</v>
      </c>
      <c r="E44" s="40"/>
      <c r="F44" s="38"/>
      <c r="G44" s="38"/>
      <c r="H44" s="38"/>
      <c r="I44" s="4">
        <f t="shared" si="5"/>
        <v>0</v>
      </c>
      <c r="J44" s="59">
        <v>0</v>
      </c>
      <c r="K44" s="4">
        <f t="shared" si="6"/>
        <v>0</v>
      </c>
    </row>
    <row r="45" spans="1:11" x14ac:dyDescent="0.2">
      <c r="A45" s="367"/>
      <c r="B45" s="369"/>
      <c r="C45" s="39" t="s">
        <v>2</v>
      </c>
      <c r="D45" s="38">
        <v>199713</v>
      </c>
      <c r="E45" s="43"/>
      <c r="F45" s="38"/>
      <c r="G45" s="38"/>
      <c r="H45" s="38"/>
      <c r="I45" s="4">
        <f t="shared" si="5"/>
        <v>199713</v>
      </c>
      <c r="J45" s="59">
        <v>0</v>
      </c>
      <c r="K45" s="4">
        <f t="shared" si="6"/>
        <v>199713</v>
      </c>
    </row>
    <row r="46" spans="1:11" x14ac:dyDescent="0.2">
      <c r="A46" s="367"/>
      <c r="B46" s="369"/>
      <c r="C46" s="39" t="s">
        <v>11</v>
      </c>
      <c r="D46" s="38">
        <v>0</v>
      </c>
      <c r="E46" s="40"/>
      <c r="F46" s="38"/>
      <c r="G46" s="38"/>
      <c r="H46" s="38"/>
      <c r="I46" s="4">
        <f t="shared" si="5"/>
        <v>0</v>
      </c>
      <c r="J46" s="59">
        <v>0</v>
      </c>
      <c r="K46" s="4">
        <f t="shared" si="6"/>
        <v>0</v>
      </c>
    </row>
    <row r="47" spans="1:11" x14ac:dyDescent="0.2">
      <c r="A47" s="367"/>
      <c r="B47" s="369"/>
      <c r="C47" s="39" t="s">
        <v>12</v>
      </c>
      <c r="D47" s="38">
        <v>0</v>
      </c>
      <c r="E47" s="43"/>
      <c r="F47" s="38"/>
      <c r="G47" s="38"/>
      <c r="H47" s="38"/>
      <c r="I47" s="4">
        <f t="shared" si="5"/>
        <v>0</v>
      </c>
      <c r="J47" s="59">
        <v>0</v>
      </c>
      <c r="K47" s="4">
        <f t="shared" si="6"/>
        <v>0</v>
      </c>
    </row>
    <row r="48" spans="1:11" s="1" customFormat="1" ht="14.1" customHeight="1" x14ac:dyDescent="0.2">
      <c r="A48" s="367"/>
      <c r="B48" s="369"/>
      <c r="C48" s="41" t="s">
        <v>31</v>
      </c>
      <c r="D48" s="38">
        <v>0</v>
      </c>
      <c r="E48" s="43"/>
      <c r="F48" s="38"/>
      <c r="G48" s="38"/>
      <c r="H48" s="38"/>
      <c r="I48" s="4">
        <f t="shared" si="5"/>
        <v>0</v>
      </c>
      <c r="J48" s="59">
        <v>0</v>
      </c>
      <c r="K48" s="4">
        <f t="shared" si="6"/>
        <v>0</v>
      </c>
    </row>
    <row r="49" spans="1:11" s="1" customFormat="1" ht="14.1" customHeight="1" x14ac:dyDescent="0.2">
      <c r="A49" s="367"/>
      <c r="B49" s="369"/>
      <c r="C49" s="41" t="s">
        <v>32</v>
      </c>
      <c r="D49" s="38">
        <v>0</v>
      </c>
      <c r="E49" s="43"/>
      <c r="F49" s="38"/>
      <c r="G49" s="38"/>
      <c r="H49" s="38"/>
      <c r="I49" s="4">
        <f t="shared" si="5"/>
        <v>0</v>
      </c>
      <c r="J49" s="59">
        <v>0</v>
      </c>
      <c r="K49" s="4">
        <f t="shared" si="6"/>
        <v>0</v>
      </c>
    </row>
    <row r="50" spans="1:11" s="1" customFormat="1" ht="14.1" customHeight="1" x14ac:dyDescent="0.2">
      <c r="A50" s="367"/>
      <c r="B50" s="369"/>
      <c r="C50" s="39" t="s">
        <v>13</v>
      </c>
      <c r="D50" s="38">
        <v>0</v>
      </c>
      <c r="E50" s="43"/>
      <c r="F50" s="38"/>
      <c r="G50" s="38"/>
      <c r="H50" s="38"/>
      <c r="I50" s="4">
        <f t="shared" si="5"/>
        <v>0</v>
      </c>
      <c r="J50" s="59">
        <v>0</v>
      </c>
      <c r="K50" s="4">
        <f t="shared" si="6"/>
        <v>0</v>
      </c>
    </row>
    <row r="51" spans="1:11" ht="14.25" customHeight="1" x14ac:dyDescent="0.2">
      <c r="A51" s="367"/>
      <c r="B51" s="369"/>
      <c r="C51" s="39" t="s">
        <v>14</v>
      </c>
      <c r="D51" s="38">
        <v>0</v>
      </c>
      <c r="E51" s="43"/>
      <c r="F51" s="38"/>
      <c r="G51" s="38"/>
      <c r="H51" s="38"/>
      <c r="I51" s="4">
        <f t="shared" si="5"/>
        <v>0</v>
      </c>
      <c r="J51" s="59">
        <v>0</v>
      </c>
      <c r="K51" s="4">
        <f t="shared" si="6"/>
        <v>0</v>
      </c>
    </row>
    <row r="52" spans="1:11" ht="11.25" customHeight="1" x14ac:dyDescent="0.2">
      <c r="A52" s="367"/>
      <c r="B52" s="369"/>
      <c r="C52" s="39" t="s">
        <v>15</v>
      </c>
      <c r="D52" s="38">
        <v>0</v>
      </c>
      <c r="E52" s="43"/>
      <c r="F52" s="38"/>
      <c r="G52" s="38"/>
      <c r="H52" s="38"/>
      <c r="I52" s="4">
        <f t="shared" si="5"/>
        <v>0</v>
      </c>
      <c r="J52" s="59">
        <v>0</v>
      </c>
      <c r="K52" s="4">
        <f t="shared" si="6"/>
        <v>0</v>
      </c>
    </row>
    <row r="53" spans="1:11" x14ac:dyDescent="0.2">
      <c r="A53" s="367"/>
      <c r="B53" s="369"/>
      <c r="C53" s="39" t="s">
        <v>16</v>
      </c>
      <c r="D53" s="38">
        <v>0</v>
      </c>
      <c r="E53" s="43"/>
      <c r="F53" s="38"/>
      <c r="G53" s="38"/>
      <c r="H53" s="38"/>
      <c r="I53" s="4">
        <f t="shared" si="5"/>
        <v>0</v>
      </c>
      <c r="J53" s="59">
        <v>0</v>
      </c>
      <c r="K53" s="4">
        <f t="shared" si="6"/>
        <v>0</v>
      </c>
    </row>
    <row r="54" spans="1:11" s="1" customFormat="1" ht="13.5" customHeight="1" x14ac:dyDescent="0.2">
      <c r="A54" s="370" t="s">
        <v>49</v>
      </c>
      <c r="B54" s="371" t="s">
        <v>17</v>
      </c>
      <c r="C54" s="39" t="s">
        <v>7</v>
      </c>
      <c r="D54" s="38">
        <v>970000</v>
      </c>
      <c r="E54" s="40"/>
      <c r="F54" s="38"/>
      <c r="G54" s="38"/>
      <c r="H54" s="38"/>
      <c r="I54" s="4">
        <f t="shared" si="5"/>
        <v>970000</v>
      </c>
      <c r="J54" s="54">
        <v>210000</v>
      </c>
      <c r="K54" s="4">
        <f t="shared" si="6"/>
        <v>760000</v>
      </c>
    </row>
    <row r="55" spans="1:11" x14ac:dyDescent="0.2">
      <c r="A55" s="370"/>
      <c r="B55" s="371"/>
      <c r="C55" s="41" t="s">
        <v>88</v>
      </c>
      <c r="D55" s="38">
        <v>10791000</v>
      </c>
      <c r="E55" s="40"/>
      <c r="F55" s="38"/>
      <c r="G55" s="38"/>
      <c r="H55" s="38"/>
      <c r="I55" s="4">
        <f t="shared" si="5"/>
        <v>10791000</v>
      </c>
      <c r="J55" s="54">
        <v>339000</v>
      </c>
      <c r="K55" s="4">
        <f t="shared" si="6"/>
        <v>10452000</v>
      </c>
    </row>
    <row r="56" spans="1:11" x14ac:dyDescent="0.2">
      <c r="A56" s="370"/>
      <c r="B56" s="371"/>
      <c r="C56" s="39" t="s">
        <v>9</v>
      </c>
      <c r="D56" s="38">
        <v>3112282</v>
      </c>
      <c r="E56" s="40"/>
      <c r="F56" s="38"/>
      <c r="G56" s="38"/>
      <c r="H56" s="38"/>
      <c r="I56" s="4">
        <f t="shared" si="5"/>
        <v>3112282</v>
      </c>
      <c r="J56" s="54">
        <v>40950</v>
      </c>
      <c r="K56" s="4">
        <f t="shared" si="6"/>
        <v>3071332</v>
      </c>
    </row>
    <row r="57" spans="1:11" x14ac:dyDescent="0.2">
      <c r="A57" s="370"/>
      <c r="B57" s="371"/>
      <c r="C57" s="41" t="s">
        <v>22</v>
      </c>
      <c r="D57" s="38">
        <v>230000</v>
      </c>
      <c r="E57" s="40"/>
      <c r="F57" s="38"/>
      <c r="G57" s="38"/>
      <c r="H57" s="38"/>
      <c r="I57" s="4">
        <f t="shared" si="5"/>
        <v>230000</v>
      </c>
      <c r="J57" s="59">
        <v>0</v>
      </c>
      <c r="K57" s="4">
        <f t="shared" si="6"/>
        <v>230000</v>
      </c>
    </row>
    <row r="58" spans="1:11" x14ac:dyDescent="0.2">
      <c r="A58" s="370"/>
      <c r="B58" s="371"/>
      <c r="C58" s="41" t="s">
        <v>33</v>
      </c>
      <c r="D58" s="38">
        <v>72000</v>
      </c>
      <c r="E58" s="40"/>
      <c r="F58" s="38"/>
      <c r="G58" s="38"/>
      <c r="H58" s="38"/>
      <c r="I58" s="4">
        <f t="shared" si="5"/>
        <v>72000</v>
      </c>
      <c r="J58" s="59">
        <v>0</v>
      </c>
      <c r="K58" s="4">
        <f t="shared" si="6"/>
        <v>72000</v>
      </c>
    </row>
    <row r="59" spans="1:11" x14ac:dyDescent="0.2">
      <c r="A59" s="370"/>
      <c r="B59" s="371"/>
      <c r="C59" s="41" t="s">
        <v>34</v>
      </c>
      <c r="D59" s="38">
        <v>230000</v>
      </c>
      <c r="E59" s="40"/>
      <c r="F59" s="38"/>
      <c r="G59" s="38"/>
      <c r="H59" s="38"/>
      <c r="I59" s="4">
        <f t="shared" si="5"/>
        <v>230000</v>
      </c>
      <c r="J59" s="59">
        <v>0</v>
      </c>
      <c r="K59" s="4">
        <f t="shared" si="6"/>
        <v>230000</v>
      </c>
    </row>
    <row r="60" spans="1:11" x14ac:dyDescent="0.2">
      <c r="A60" s="370"/>
      <c r="B60" s="371"/>
      <c r="C60" s="41" t="s">
        <v>10</v>
      </c>
      <c r="D60" s="38">
        <v>8009100</v>
      </c>
      <c r="E60" s="40"/>
      <c r="F60" s="38"/>
      <c r="G60" s="38"/>
      <c r="H60" s="38"/>
      <c r="I60" s="4">
        <f t="shared" si="5"/>
        <v>8009100</v>
      </c>
      <c r="J60" s="59">
        <v>0</v>
      </c>
      <c r="K60" s="4">
        <f t="shared" si="6"/>
        <v>8009100</v>
      </c>
    </row>
    <row r="61" spans="1:11" x14ac:dyDescent="0.2">
      <c r="A61" s="370"/>
      <c r="B61" s="371"/>
      <c r="C61" s="41" t="s">
        <v>2</v>
      </c>
      <c r="D61" s="38">
        <v>14000000</v>
      </c>
      <c r="E61" s="40"/>
      <c r="F61" s="38"/>
      <c r="G61" s="38"/>
      <c r="H61" s="38"/>
      <c r="I61" s="4">
        <f t="shared" si="5"/>
        <v>14000000</v>
      </c>
      <c r="J61" s="59">
        <v>0</v>
      </c>
      <c r="K61" s="4">
        <f t="shared" si="6"/>
        <v>14000000</v>
      </c>
    </row>
    <row r="62" spans="1:11" x14ac:dyDescent="0.2">
      <c r="A62" s="370"/>
      <c r="B62" s="371"/>
      <c r="C62" s="41" t="s">
        <v>35</v>
      </c>
      <c r="D62" s="38">
        <v>292100</v>
      </c>
      <c r="E62" s="40"/>
      <c r="F62" s="38"/>
      <c r="G62" s="38"/>
      <c r="H62" s="38"/>
      <c r="I62" s="4">
        <f t="shared" si="5"/>
        <v>292100</v>
      </c>
      <c r="J62" s="59">
        <v>0</v>
      </c>
      <c r="K62" s="4">
        <f t="shared" si="6"/>
        <v>292100</v>
      </c>
    </row>
    <row r="63" spans="1:11" x14ac:dyDescent="0.2">
      <c r="A63" s="370"/>
      <c r="B63" s="371"/>
      <c r="C63" s="41" t="s">
        <v>11</v>
      </c>
      <c r="D63" s="38">
        <v>5127921</v>
      </c>
      <c r="E63" s="40"/>
      <c r="F63" s="38"/>
      <c r="G63" s="38"/>
      <c r="H63" s="38"/>
      <c r="I63" s="4">
        <f t="shared" si="5"/>
        <v>5127921</v>
      </c>
      <c r="J63" s="59">
        <v>0</v>
      </c>
      <c r="K63" s="4">
        <f t="shared" si="6"/>
        <v>5127921</v>
      </c>
    </row>
    <row r="64" spans="1:11" x14ac:dyDescent="0.2">
      <c r="A64" s="370"/>
      <c r="B64" s="371"/>
      <c r="C64" s="41" t="s">
        <v>12</v>
      </c>
      <c r="D64" s="38">
        <v>229492</v>
      </c>
      <c r="E64" s="40"/>
      <c r="F64" s="38"/>
      <c r="G64" s="38"/>
      <c r="H64" s="38"/>
      <c r="I64" s="4">
        <f t="shared" si="5"/>
        <v>229492</v>
      </c>
      <c r="J64" s="54">
        <v>700</v>
      </c>
      <c r="K64" s="4">
        <f t="shared" si="6"/>
        <v>228792</v>
      </c>
    </row>
    <row r="65" spans="1:11" x14ac:dyDescent="0.2">
      <c r="A65" s="370"/>
      <c r="B65" s="371"/>
      <c r="C65" s="41" t="s">
        <v>36</v>
      </c>
      <c r="D65" s="38">
        <v>0</v>
      </c>
      <c r="E65" s="40"/>
      <c r="F65" s="38"/>
      <c r="G65" s="38"/>
      <c r="H65" s="38"/>
      <c r="I65" s="4">
        <f t="shared" si="5"/>
        <v>0</v>
      </c>
      <c r="J65" s="59">
        <v>0</v>
      </c>
      <c r="K65" s="4">
        <f t="shared" si="6"/>
        <v>0</v>
      </c>
    </row>
    <row r="66" spans="1:11" x14ac:dyDescent="0.2">
      <c r="A66" s="370"/>
      <c r="B66" s="371"/>
      <c r="C66" s="41" t="s">
        <v>31</v>
      </c>
      <c r="D66" s="38">
        <v>388897</v>
      </c>
      <c r="E66" s="40"/>
      <c r="F66" s="38"/>
      <c r="G66" s="38"/>
      <c r="H66" s="38"/>
      <c r="I66" s="4">
        <f t="shared" si="5"/>
        <v>388897</v>
      </c>
      <c r="J66" s="59">
        <v>0</v>
      </c>
      <c r="K66" s="4">
        <f t="shared" si="6"/>
        <v>388897</v>
      </c>
    </row>
    <row r="67" spans="1:11" x14ac:dyDescent="0.2">
      <c r="A67" s="370"/>
      <c r="B67" s="371"/>
      <c r="C67" s="41" t="s">
        <v>13</v>
      </c>
      <c r="D67" s="38">
        <v>4296741</v>
      </c>
      <c r="E67" s="40"/>
      <c r="F67" s="38"/>
      <c r="G67" s="38"/>
      <c r="H67" s="38"/>
      <c r="I67" s="4">
        <f t="shared" si="5"/>
        <v>4296741</v>
      </c>
      <c r="J67" s="59">
        <v>0</v>
      </c>
      <c r="K67" s="4">
        <f t="shared" si="6"/>
        <v>4296741</v>
      </c>
    </row>
    <row r="68" spans="1:11" x14ac:dyDescent="0.2">
      <c r="A68" s="370"/>
      <c r="B68" s="371"/>
      <c r="C68" s="41" t="s">
        <v>14</v>
      </c>
      <c r="D68" s="38">
        <v>1265122</v>
      </c>
      <c r="E68" s="40"/>
      <c r="F68" s="38"/>
      <c r="G68" s="38"/>
      <c r="H68" s="38"/>
      <c r="I68" s="4">
        <f t="shared" si="5"/>
        <v>1265122</v>
      </c>
      <c r="J68" s="59">
        <v>0</v>
      </c>
      <c r="K68" s="4">
        <f t="shared" si="6"/>
        <v>1265122</v>
      </c>
    </row>
    <row r="69" spans="1:11" x14ac:dyDescent="0.2">
      <c r="A69" s="370"/>
      <c r="B69" s="371"/>
      <c r="C69" s="41" t="s">
        <v>15</v>
      </c>
      <c r="D69" s="38">
        <v>4121943</v>
      </c>
      <c r="E69" s="40"/>
      <c r="F69" s="38"/>
      <c r="G69" s="38"/>
      <c r="H69" s="38"/>
      <c r="I69" s="4">
        <f t="shared" si="5"/>
        <v>4121943</v>
      </c>
      <c r="J69" s="59">
        <v>0</v>
      </c>
      <c r="K69" s="4">
        <f t="shared" si="6"/>
        <v>4121943</v>
      </c>
    </row>
    <row r="70" spans="1:11" x14ac:dyDescent="0.2">
      <c r="A70" s="370"/>
      <c r="B70" s="371"/>
      <c r="C70" s="41" t="s">
        <v>16</v>
      </c>
      <c r="D70" s="38">
        <v>1112924</v>
      </c>
      <c r="E70" s="40"/>
      <c r="F70" s="38"/>
      <c r="G70" s="38"/>
      <c r="H70" s="38"/>
      <c r="I70" s="4">
        <f t="shared" si="5"/>
        <v>1112924</v>
      </c>
      <c r="J70" s="59">
        <v>0</v>
      </c>
      <c r="K70" s="4">
        <f t="shared" si="6"/>
        <v>1112924</v>
      </c>
    </row>
    <row r="71" spans="1:11" s="50" customFormat="1" ht="27" customHeight="1" x14ac:dyDescent="0.2">
      <c r="A71" s="372" t="s">
        <v>86</v>
      </c>
      <c r="B71" s="373"/>
      <c r="C71" s="374"/>
      <c r="D71" s="53">
        <f>SUM(D28:D70)</f>
        <v>426209554</v>
      </c>
      <c r="E71" s="53">
        <f t="shared" ref="E71:K71" si="7">SUM(E28:E70)</f>
        <v>0</v>
      </c>
      <c r="F71" s="53">
        <f t="shared" si="7"/>
        <v>0</v>
      </c>
      <c r="G71" s="53">
        <f t="shared" si="7"/>
        <v>0</v>
      </c>
      <c r="H71" s="53">
        <f t="shared" si="7"/>
        <v>0</v>
      </c>
      <c r="I71" s="53">
        <f t="shared" si="7"/>
        <v>426209554</v>
      </c>
      <c r="J71" s="57">
        <f t="shared" si="7"/>
        <v>78448221</v>
      </c>
      <c r="K71" s="53">
        <f t="shared" si="7"/>
        <v>347761333</v>
      </c>
    </row>
    <row r="75" spans="1:11" ht="15.75" x14ac:dyDescent="0.25">
      <c r="A75" s="64" t="s">
        <v>100</v>
      </c>
    </row>
    <row r="76" spans="1:11" x14ac:dyDescent="0.2">
      <c r="E76"/>
      <c r="F76" s="73">
        <v>43555</v>
      </c>
      <c r="J76"/>
      <c r="K76" s="55"/>
    </row>
    <row r="77" spans="1:11" x14ac:dyDescent="0.2">
      <c r="A77" s="375" t="s">
        <v>101</v>
      </c>
      <c r="B77" s="376"/>
      <c r="C77" s="60" t="s">
        <v>44</v>
      </c>
      <c r="D77" s="60" t="s">
        <v>21</v>
      </c>
      <c r="E77" s="61"/>
      <c r="F77" s="60"/>
      <c r="G77" s="60"/>
      <c r="H77" s="60"/>
      <c r="I77" s="60" t="s">
        <v>51</v>
      </c>
      <c r="J77" s="62" t="s">
        <v>81</v>
      </c>
    </row>
    <row r="78" spans="1:11" x14ac:dyDescent="0.2">
      <c r="A78" s="377"/>
      <c r="B78" s="376"/>
      <c r="C78" s="63" t="s">
        <v>25</v>
      </c>
      <c r="D78" s="4">
        <f>D26+D25+D24+D20+D15+D14+D12+D11+D9</f>
        <v>393662673</v>
      </c>
      <c r="E78" s="4">
        <f t="shared" ref="E78:J78" si="8">E26+E25+E24+E20+E15+E14+E12+E11+E9</f>
        <v>0</v>
      </c>
      <c r="F78" s="4">
        <f t="shared" si="8"/>
        <v>0</v>
      </c>
      <c r="G78" s="4">
        <f t="shared" si="8"/>
        <v>0</v>
      </c>
      <c r="H78" s="4">
        <f t="shared" si="8"/>
        <v>0</v>
      </c>
      <c r="I78" s="4">
        <f t="shared" si="8"/>
        <v>393662673</v>
      </c>
      <c r="J78" s="4">
        <f t="shared" si="8"/>
        <v>82003018</v>
      </c>
    </row>
    <row r="79" spans="1:11" x14ac:dyDescent="0.2">
      <c r="A79" s="377"/>
      <c r="B79" s="376"/>
      <c r="C79" s="63" t="s">
        <v>37</v>
      </c>
      <c r="D79" s="4">
        <f>D21+D16+D13</f>
        <v>4500000</v>
      </c>
      <c r="E79" s="4">
        <f t="shared" ref="E79:J79" si="9">E21+E16+E13</f>
        <v>0</v>
      </c>
      <c r="F79" s="4">
        <f t="shared" si="9"/>
        <v>0</v>
      </c>
      <c r="G79" s="4">
        <f t="shared" si="9"/>
        <v>0</v>
      </c>
      <c r="H79" s="4">
        <f t="shared" si="9"/>
        <v>0</v>
      </c>
      <c r="I79" s="4">
        <f t="shared" si="9"/>
        <v>4500000</v>
      </c>
      <c r="J79" s="4">
        <f t="shared" si="9"/>
        <v>201895</v>
      </c>
    </row>
    <row r="80" spans="1:11" x14ac:dyDescent="0.2">
      <c r="A80" s="377"/>
      <c r="B80" s="376"/>
      <c r="C80" s="63" t="s">
        <v>27</v>
      </c>
      <c r="D80" s="4">
        <f>D6</f>
        <v>0</v>
      </c>
      <c r="E80" s="4">
        <f t="shared" ref="E80:J80" si="10">E6</f>
        <v>0</v>
      </c>
      <c r="F80" s="4">
        <f t="shared" si="10"/>
        <v>0</v>
      </c>
      <c r="G80" s="4">
        <f t="shared" si="10"/>
        <v>0</v>
      </c>
      <c r="H80" s="4">
        <f t="shared" si="10"/>
        <v>0</v>
      </c>
      <c r="I80" s="4">
        <f t="shared" si="10"/>
        <v>0</v>
      </c>
      <c r="J80" s="4">
        <f t="shared" si="10"/>
        <v>0</v>
      </c>
    </row>
    <row r="81" spans="1:10" x14ac:dyDescent="0.2">
      <c r="A81" s="377"/>
      <c r="B81" s="376"/>
      <c r="C81" s="63" t="s">
        <v>39</v>
      </c>
      <c r="D81" s="4">
        <f>D7</f>
        <v>0</v>
      </c>
      <c r="E81" s="4">
        <f t="shared" ref="E81:J81" si="11">E7</f>
        <v>0</v>
      </c>
      <c r="F81" s="4">
        <f t="shared" si="11"/>
        <v>0</v>
      </c>
      <c r="G81" s="4">
        <f t="shared" si="11"/>
        <v>0</v>
      </c>
      <c r="H81" s="4">
        <f t="shared" si="11"/>
        <v>0</v>
      </c>
      <c r="I81" s="4">
        <f t="shared" si="11"/>
        <v>0</v>
      </c>
      <c r="J81" s="4">
        <f t="shared" si="11"/>
        <v>0</v>
      </c>
    </row>
    <row r="82" spans="1:10" x14ac:dyDescent="0.2">
      <c r="A82" s="377"/>
      <c r="B82" s="376"/>
      <c r="C82" s="63" t="s">
        <v>40</v>
      </c>
      <c r="D82" s="4">
        <f>D23+D18+D8</f>
        <v>2300</v>
      </c>
      <c r="E82" s="4">
        <f t="shared" ref="E82:J82" si="12">E23+E18+E8</f>
        <v>0</v>
      </c>
      <c r="F82" s="4">
        <f t="shared" si="12"/>
        <v>0</v>
      </c>
      <c r="G82" s="4">
        <f t="shared" si="12"/>
        <v>0</v>
      </c>
      <c r="H82" s="4">
        <f t="shared" si="12"/>
        <v>0</v>
      </c>
      <c r="I82" s="4">
        <f t="shared" si="12"/>
        <v>2300</v>
      </c>
      <c r="J82" s="4">
        <f t="shared" si="12"/>
        <v>477</v>
      </c>
    </row>
    <row r="83" spans="1:10" x14ac:dyDescent="0.2">
      <c r="A83" s="377"/>
      <c r="B83" s="376"/>
      <c r="C83" s="63" t="s">
        <v>41</v>
      </c>
      <c r="D83" s="4">
        <f>D19</f>
        <v>0</v>
      </c>
      <c r="E83" s="4">
        <f t="shared" ref="E83:J83" si="13">E19</f>
        <v>0</v>
      </c>
      <c r="F83" s="4">
        <f t="shared" si="13"/>
        <v>0</v>
      </c>
      <c r="G83" s="4">
        <f t="shared" si="13"/>
        <v>0</v>
      </c>
      <c r="H83" s="4">
        <f t="shared" si="13"/>
        <v>0</v>
      </c>
      <c r="I83" s="4">
        <f t="shared" si="13"/>
        <v>0</v>
      </c>
      <c r="J83" s="4">
        <f t="shared" si="13"/>
        <v>0</v>
      </c>
    </row>
    <row r="84" spans="1:10" s="1" customFormat="1" x14ac:dyDescent="0.2">
      <c r="A84" s="377"/>
      <c r="B84" s="376"/>
      <c r="C84" s="65" t="s">
        <v>93</v>
      </c>
      <c r="D84" s="66">
        <f>D26+D25+D24+D23+D21+D20+D19+D18+D16+D15+D14+D13+D12+D11+D9+D8+D7+D6</f>
        <v>398164973</v>
      </c>
      <c r="E84" s="66">
        <f t="shared" ref="E84:J84" si="14">E26+E25+E24+E23+E21+E20+E19+E18+E16+E15+E14+E13+E12+E11+E9+E8+E7+E6</f>
        <v>0</v>
      </c>
      <c r="F84" s="66">
        <f t="shared" si="14"/>
        <v>0</v>
      </c>
      <c r="G84" s="66">
        <f t="shared" si="14"/>
        <v>0</v>
      </c>
      <c r="H84" s="66">
        <f t="shared" si="14"/>
        <v>0</v>
      </c>
      <c r="I84" s="66">
        <f t="shared" si="14"/>
        <v>398164973</v>
      </c>
      <c r="J84" s="66">
        <f t="shared" si="14"/>
        <v>82205390</v>
      </c>
    </row>
    <row r="85" spans="1:10" x14ac:dyDescent="0.2">
      <c r="A85" s="377"/>
      <c r="B85" s="376"/>
      <c r="C85" s="63" t="s">
        <v>28</v>
      </c>
      <c r="D85" s="4">
        <f>D22+D17+D10</f>
        <v>28044581</v>
      </c>
      <c r="E85" s="4">
        <f t="shared" ref="E85:J85" si="15">E22+E17+E10</f>
        <v>0</v>
      </c>
      <c r="F85" s="4">
        <f t="shared" si="15"/>
        <v>0</v>
      </c>
      <c r="G85" s="4">
        <f t="shared" si="15"/>
        <v>0</v>
      </c>
      <c r="H85" s="4">
        <f t="shared" si="15"/>
        <v>0</v>
      </c>
      <c r="I85" s="4">
        <f t="shared" si="15"/>
        <v>28044581</v>
      </c>
      <c r="J85" s="4">
        <f t="shared" si="15"/>
        <v>28044581</v>
      </c>
    </row>
    <row r="86" spans="1:10" s="1" customFormat="1" x14ac:dyDescent="0.2">
      <c r="A86" s="377"/>
      <c r="B86" s="376"/>
      <c r="C86" s="65" t="s">
        <v>92</v>
      </c>
      <c r="D86" s="66">
        <f>D22+D17+D10</f>
        <v>28044581</v>
      </c>
      <c r="E86" s="66">
        <f t="shared" ref="E86:J86" si="16">E22+E17+E10</f>
        <v>0</v>
      </c>
      <c r="F86" s="66">
        <f t="shared" si="16"/>
        <v>0</v>
      </c>
      <c r="G86" s="66">
        <f t="shared" si="16"/>
        <v>0</v>
      </c>
      <c r="H86" s="66">
        <f t="shared" si="16"/>
        <v>0</v>
      </c>
      <c r="I86" s="66">
        <f t="shared" si="16"/>
        <v>28044581</v>
      </c>
      <c r="J86" s="66">
        <f t="shared" si="16"/>
        <v>28044581</v>
      </c>
    </row>
    <row r="87" spans="1:10" s="1" customFormat="1" x14ac:dyDescent="0.2">
      <c r="A87" s="377"/>
      <c r="B87" s="376"/>
      <c r="C87" s="65" t="s">
        <v>102</v>
      </c>
      <c r="D87" s="66">
        <f>SUM(D6:D26)</f>
        <v>426209554</v>
      </c>
      <c r="E87" s="66">
        <f t="shared" ref="E87:J87" si="17">SUM(E6:E26)</f>
        <v>0</v>
      </c>
      <c r="F87" s="66">
        <f t="shared" si="17"/>
        <v>0</v>
      </c>
      <c r="G87" s="66">
        <f t="shared" si="17"/>
        <v>0</v>
      </c>
      <c r="H87" s="66">
        <f t="shared" si="17"/>
        <v>0</v>
      </c>
      <c r="I87" s="66">
        <f t="shared" si="17"/>
        <v>426209554</v>
      </c>
      <c r="J87" s="66">
        <f t="shared" si="17"/>
        <v>110249971</v>
      </c>
    </row>
    <row r="88" spans="1:10" x14ac:dyDescent="0.2">
      <c r="A88" s="377"/>
      <c r="B88" s="376"/>
      <c r="C88" s="63" t="s">
        <v>7</v>
      </c>
      <c r="D88" s="4">
        <f>D54+D42</f>
        <v>970000</v>
      </c>
      <c r="E88" s="4">
        <f t="shared" ref="E88:J88" si="18">E54+E42</f>
        <v>0</v>
      </c>
      <c r="F88" s="4">
        <f t="shared" si="18"/>
        <v>0</v>
      </c>
      <c r="G88" s="4">
        <f t="shared" si="18"/>
        <v>0</v>
      </c>
      <c r="H88" s="4">
        <f t="shared" si="18"/>
        <v>0</v>
      </c>
      <c r="I88" s="4">
        <f t="shared" si="18"/>
        <v>970000</v>
      </c>
      <c r="J88" s="4">
        <f t="shared" si="18"/>
        <v>210000</v>
      </c>
    </row>
    <row r="89" spans="1:10" x14ac:dyDescent="0.2">
      <c r="A89" s="377"/>
      <c r="B89" s="376"/>
      <c r="C89" s="63" t="s">
        <v>88</v>
      </c>
      <c r="D89" s="4">
        <f>D55</f>
        <v>10791000</v>
      </c>
      <c r="E89" s="4">
        <f t="shared" ref="E89:J89" si="19">E55</f>
        <v>0</v>
      </c>
      <c r="F89" s="4">
        <f t="shared" si="19"/>
        <v>0</v>
      </c>
      <c r="G89" s="4">
        <f t="shared" si="19"/>
        <v>0</v>
      </c>
      <c r="H89" s="4">
        <f t="shared" si="19"/>
        <v>0</v>
      </c>
      <c r="I89" s="4">
        <f t="shared" si="19"/>
        <v>10791000</v>
      </c>
      <c r="J89" s="4">
        <f t="shared" si="19"/>
        <v>339000</v>
      </c>
    </row>
    <row r="90" spans="1:10" s="1" customFormat="1" x14ac:dyDescent="0.2">
      <c r="A90" s="377"/>
      <c r="B90" s="376"/>
      <c r="C90" s="65" t="s">
        <v>94</v>
      </c>
      <c r="D90" s="66">
        <f>D55+D54</f>
        <v>11761000</v>
      </c>
      <c r="E90" s="66">
        <f t="shared" ref="E90:J90" si="20">E55+E54</f>
        <v>0</v>
      </c>
      <c r="F90" s="66">
        <f t="shared" si="20"/>
        <v>0</v>
      </c>
      <c r="G90" s="66">
        <f t="shared" si="20"/>
        <v>0</v>
      </c>
      <c r="H90" s="66">
        <f t="shared" si="20"/>
        <v>0</v>
      </c>
      <c r="I90" s="66">
        <f t="shared" si="20"/>
        <v>11761000</v>
      </c>
      <c r="J90" s="66">
        <f t="shared" si="20"/>
        <v>549000</v>
      </c>
    </row>
    <row r="91" spans="1:10" s="1" customFormat="1" x14ac:dyDescent="0.2">
      <c r="A91" s="377"/>
      <c r="B91" s="376"/>
      <c r="C91" s="65" t="s">
        <v>9</v>
      </c>
      <c r="D91" s="66">
        <f>D56+D43</f>
        <v>3112282</v>
      </c>
      <c r="E91" s="66">
        <f t="shared" ref="E91:J91" si="21">E56+E43</f>
        <v>0</v>
      </c>
      <c r="F91" s="66">
        <f t="shared" si="21"/>
        <v>0</v>
      </c>
      <c r="G91" s="66">
        <f t="shared" si="21"/>
        <v>0</v>
      </c>
      <c r="H91" s="66">
        <f t="shared" si="21"/>
        <v>0</v>
      </c>
      <c r="I91" s="66">
        <f t="shared" si="21"/>
        <v>3112282</v>
      </c>
      <c r="J91" s="66">
        <f t="shared" si="21"/>
        <v>40950</v>
      </c>
    </row>
    <row r="92" spans="1:10" x14ac:dyDescent="0.2">
      <c r="A92" s="377"/>
      <c r="B92" s="376"/>
      <c r="C92" s="63" t="s">
        <v>22</v>
      </c>
      <c r="D92" s="4">
        <f>D57+D28</f>
        <v>254000</v>
      </c>
      <c r="E92" s="4">
        <f t="shared" ref="E92:J92" si="22">E57+E28</f>
        <v>0</v>
      </c>
      <c r="F92" s="4">
        <f t="shared" si="22"/>
        <v>0</v>
      </c>
      <c r="G92" s="4">
        <f t="shared" si="22"/>
        <v>0</v>
      </c>
      <c r="H92" s="4">
        <f t="shared" si="22"/>
        <v>0</v>
      </c>
      <c r="I92" s="4">
        <f t="shared" si="22"/>
        <v>254000</v>
      </c>
      <c r="J92" s="4">
        <f t="shared" si="22"/>
        <v>0</v>
      </c>
    </row>
    <row r="93" spans="1:10" x14ac:dyDescent="0.2">
      <c r="A93" s="377"/>
      <c r="B93" s="376"/>
      <c r="C93" s="63" t="s">
        <v>33</v>
      </c>
      <c r="D93" s="4">
        <f>D58</f>
        <v>72000</v>
      </c>
      <c r="E93" s="4">
        <f t="shared" ref="E93:J93" si="23">E58</f>
        <v>0</v>
      </c>
      <c r="F93" s="4">
        <f t="shared" si="23"/>
        <v>0</v>
      </c>
      <c r="G93" s="4">
        <f t="shared" si="23"/>
        <v>0</v>
      </c>
      <c r="H93" s="4">
        <f t="shared" si="23"/>
        <v>0</v>
      </c>
      <c r="I93" s="4">
        <f t="shared" si="23"/>
        <v>72000</v>
      </c>
      <c r="J93" s="4">
        <f t="shared" si="23"/>
        <v>0</v>
      </c>
    </row>
    <row r="94" spans="1:10" x14ac:dyDescent="0.2">
      <c r="A94" s="377"/>
      <c r="B94" s="376"/>
      <c r="C94" s="63" t="s">
        <v>89</v>
      </c>
      <c r="D94" s="4">
        <f>D29</f>
        <v>1870</v>
      </c>
      <c r="E94" s="4">
        <f t="shared" ref="E94:J94" si="24">E29</f>
        <v>0</v>
      </c>
      <c r="F94" s="4">
        <f t="shared" si="24"/>
        <v>0</v>
      </c>
      <c r="G94" s="4">
        <f t="shared" si="24"/>
        <v>0</v>
      </c>
      <c r="H94" s="4">
        <f t="shared" si="24"/>
        <v>0</v>
      </c>
      <c r="I94" s="4">
        <f t="shared" si="24"/>
        <v>1870</v>
      </c>
      <c r="J94" s="4">
        <f t="shared" si="24"/>
        <v>0</v>
      </c>
    </row>
    <row r="95" spans="1:10" x14ac:dyDescent="0.2">
      <c r="A95" s="377"/>
      <c r="B95" s="376"/>
      <c r="C95" s="63" t="s">
        <v>34</v>
      </c>
      <c r="D95" s="4">
        <f>D59</f>
        <v>230000</v>
      </c>
      <c r="E95" s="4">
        <f t="shared" ref="E95:J95" si="25">E59</f>
        <v>0</v>
      </c>
      <c r="F95" s="4">
        <f t="shared" si="25"/>
        <v>0</v>
      </c>
      <c r="G95" s="4">
        <f t="shared" si="25"/>
        <v>0</v>
      </c>
      <c r="H95" s="4">
        <f t="shared" si="25"/>
        <v>0</v>
      </c>
      <c r="I95" s="4">
        <f t="shared" si="25"/>
        <v>230000</v>
      </c>
      <c r="J95" s="4">
        <f t="shared" si="25"/>
        <v>0</v>
      </c>
    </row>
    <row r="96" spans="1:10" x14ac:dyDescent="0.2">
      <c r="A96" s="377"/>
      <c r="B96" s="376"/>
      <c r="C96" s="63" t="s">
        <v>10</v>
      </c>
      <c r="D96" s="4">
        <f>D60+D44</f>
        <v>8009100</v>
      </c>
      <c r="E96" s="4">
        <f t="shared" ref="E96:J96" si="26">E60+E44</f>
        <v>0</v>
      </c>
      <c r="F96" s="4">
        <f t="shared" si="26"/>
        <v>0</v>
      </c>
      <c r="G96" s="4">
        <f t="shared" si="26"/>
        <v>0</v>
      </c>
      <c r="H96" s="4">
        <f t="shared" si="26"/>
        <v>0</v>
      </c>
      <c r="I96" s="4">
        <f t="shared" si="26"/>
        <v>8009100</v>
      </c>
      <c r="J96" s="4">
        <f t="shared" si="26"/>
        <v>0</v>
      </c>
    </row>
    <row r="97" spans="1:10" x14ac:dyDescent="0.2">
      <c r="A97" s="377"/>
      <c r="B97" s="376"/>
      <c r="C97" s="63" t="s">
        <v>2</v>
      </c>
      <c r="D97" s="4">
        <f>D61+D45+D30</f>
        <v>31883770</v>
      </c>
      <c r="E97" s="4">
        <f t="shared" ref="E97:J97" si="27">E61+E45+E30</f>
        <v>-83000</v>
      </c>
      <c r="F97" s="4">
        <f t="shared" si="27"/>
        <v>0</v>
      </c>
      <c r="G97" s="4">
        <f t="shared" si="27"/>
        <v>0</v>
      </c>
      <c r="H97" s="4">
        <f t="shared" si="27"/>
        <v>0</v>
      </c>
      <c r="I97" s="4">
        <f t="shared" si="27"/>
        <v>31800770</v>
      </c>
      <c r="J97" s="4">
        <f t="shared" si="27"/>
        <v>2026044</v>
      </c>
    </row>
    <row r="98" spans="1:10" x14ac:dyDescent="0.2">
      <c r="A98" s="377"/>
      <c r="B98" s="376"/>
      <c r="C98" s="63" t="s">
        <v>35</v>
      </c>
      <c r="D98" s="4">
        <f>D62</f>
        <v>292100</v>
      </c>
      <c r="E98" s="4">
        <f t="shared" ref="E98:J98" si="28">E62</f>
        <v>0</v>
      </c>
      <c r="F98" s="4">
        <f t="shared" si="28"/>
        <v>0</v>
      </c>
      <c r="G98" s="4">
        <f t="shared" si="28"/>
        <v>0</v>
      </c>
      <c r="H98" s="4">
        <f t="shared" si="28"/>
        <v>0</v>
      </c>
      <c r="I98" s="4">
        <f t="shared" si="28"/>
        <v>292100</v>
      </c>
      <c r="J98" s="4">
        <f t="shared" si="28"/>
        <v>0</v>
      </c>
    </row>
    <row r="99" spans="1:10" x14ac:dyDescent="0.2">
      <c r="A99" s="377"/>
      <c r="B99" s="376"/>
      <c r="C99" s="63" t="s">
        <v>11</v>
      </c>
      <c r="D99" s="4">
        <f>D63+D46+D31</f>
        <v>5188185</v>
      </c>
      <c r="E99" s="4">
        <f t="shared" ref="E99:J99" si="29">E63+E46+E31</f>
        <v>0</v>
      </c>
      <c r="F99" s="4">
        <f t="shared" si="29"/>
        <v>0</v>
      </c>
      <c r="G99" s="4">
        <f t="shared" si="29"/>
        <v>0</v>
      </c>
      <c r="H99" s="4">
        <f t="shared" si="29"/>
        <v>0</v>
      </c>
      <c r="I99" s="4">
        <f t="shared" si="29"/>
        <v>5188185</v>
      </c>
      <c r="J99" s="4">
        <f t="shared" si="29"/>
        <v>41445</v>
      </c>
    </row>
    <row r="100" spans="1:10" x14ac:dyDescent="0.2">
      <c r="A100" s="377"/>
      <c r="B100" s="376"/>
      <c r="C100" s="63" t="s">
        <v>91</v>
      </c>
      <c r="D100" s="4">
        <f>D32</f>
        <v>0</v>
      </c>
      <c r="E100" s="4">
        <f t="shared" ref="E100:J100" si="30">E32</f>
        <v>83000</v>
      </c>
      <c r="F100" s="4">
        <f t="shared" si="30"/>
        <v>0</v>
      </c>
      <c r="G100" s="4">
        <f t="shared" si="30"/>
        <v>0</v>
      </c>
      <c r="H100" s="4">
        <f t="shared" si="30"/>
        <v>0</v>
      </c>
      <c r="I100" s="4">
        <f t="shared" si="30"/>
        <v>83000</v>
      </c>
      <c r="J100" s="4">
        <f t="shared" si="30"/>
        <v>83000</v>
      </c>
    </row>
    <row r="101" spans="1:10" x14ac:dyDescent="0.2">
      <c r="A101" s="377"/>
      <c r="B101" s="376"/>
      <c r="C101" s="63" t="s">
        <v>12</v>
      </c>
      <c r="D101" s="4">
        <f>D64+D47</f>
        <v>229492</v>
      </c>
      <c r="E101" s="4">
        <f t="shared" ref="E101:J101" si="31">E64+E47</f>
        <v>0</v>
      </c>
      <c r="F101" s="4">
        <f t="shared" si="31"/>
        <v>0</v>
      </c>
      <c r="G101" s="4">
        <f t="shared" si="31"/>
        <v>0</v>
      </c>
      <c r="H101" s="4">
        <f t="shared" si="31"/>
        <v>0</v>
      </c>
      <c r="I101" s="4">
        <f t="shared" si="31"/>
        <v>229492</v>
      </c>
      <c r="J101" s="4">
        <f t="shared" si="31"/>
        <v>700</v>
      </c>
    </row>
    <row r="102" spans="1:10" s="1" customFormat="1" x14ac:dyDescent="0.2">
      <c r="A102" s="377"/>
      <c r="B102" s="376"/>
      <c r="C102" s="65" t="s">
        <v>95</v>
      </c>
      <c r="D102" s="66">
        <f>D64+D63+D62+D61+D60+D59+D58+D57+D47+D46+D45+D44+D32+D31+D30+D29+D28</f>
        <v>46160517</v>
      </c>
      <c r="E102" s="66">
        <f t="shared" ref="E102:J102" si="32">E64+E63+E62+E61+E60+E59+E58+E57+E47+E46+E45+E44+E32+E31+E30+E29+E28</f>
        <v>0</v>
      </c>
      <c r="F102" s="66">
        <f t="shared" si="32"/>
        <v>0</v>
      </c>
      <c r="G102" s="66">
        <f t="shared" si="32"/>
        <v>0</v>
      </c>
      <c r="H102" s="66">
        <f t="shared" si="32"/>
        <v>0</v>
      </c>
      <c r="I102" s="66">
        <f t="shared" si="32"/>
        <v>46160517</v>
      </c>
      <c r="J102" s="66">
        <f t="shared" si="32"/>
        <v>2151189</v>
      </c>
    </row>
    <row r="103" spans="1:10" x14ac:dyDescent="0.2">
      <c r="A103" s="377"/>
      <c r="B103" s="376"/>
      <c r="C103" s="63" t="s">
        <v>36</v>
      </c>
      <c r="D103" s="4">
        <f>D65</f>
        <v>0</v>
      </c>
      <c r="E103" s="4">
        <f t="shared" ref="E103:J103" si="33">E65</f>
        <v>0</v>
      </c>
      <c r="F103" s="4">
        <f t="shared" si="33"/>
        <v>0</v>
      </c>
      <c r="G103" s="4">
        <f t="shared" si="33"/>
        <v>0</v>
      </c>
      <c r="H103" s="4">
        <f t="shared" si="33"/>
        <v>0</v>
      </c>
      <c r="I103" s="4">
        <f t="shared" si="33"/>
        <v>0</v>
      </c>
      <c r="J103" s="4">
        <f t="shared" si="33"/>
        <v>0</v>
      </c>
    </row>
    <row r="104" spans="1:10" x14ac:dyDescent="0.2">
      <c r="A104" s="377"/>
      <c r="B104" s="376"/>
      <c r="C104" s="63" t="s">
        <v>23</v>
      </c>
      <c r="D104" s="4">
        <f>D40+D38+D36+D33</f>
        <v>19744030</v>
      </c>
      <c r="E104" s="4">
        <f t="shared" ref="E104:J104" si="34">E40+E38+E36+E33</f>
        <v>0</v>
      </c>
      <c r="F104" s="4">
        <f t="shared" si="34"/>
        <v>0</v>
      </c>
      <c r="G104" s="4">
        <f t="shared" si="34"/>
        <v>0</v>
      </c>
      <c r="H104" s="4">
        <f t="shared" si="34"/>
        <v>0</v>
      </c>
      <c r="I104" s="4">
        <f t="shared" si="34"/>
        <v>19744030</v>
      </c>
      <c r="J104" s="4">
        <f t="shared" si="34"/>
        <v>0</v>
      </c>
    </row>
    <row r="105" spans="1:10" x14ac:dyDescent="0.2">
      <c r="A105" s="377"/>
      <c r="B105" s="376"/>
      <c r="C105" s="63" t="s">
        <v>5</v>
      </c>
      <c r="D105" s="4">
        <f>D41+D37+D34</f>
        <v>16308950</v>
      </c>
      <c r="E105" s="4">
        <f t="shared" ref="E105:J105" si="35">E41+E37+E34</f>
        <v>0</v>
      </c>
      <c r="F105" s="4">
        <f t="shared" si="35"/>
        <v>0</v>
      </c>
      <c r="G105" s="4">
        <f t="shared" si="35"/>
        <v>0</v>
      </c>
      <c r="H105" s="4">
        <f t="shared" si="35"/>
        <v>0</v>
      </c>
      <c r="I105" s="4">
        <f t="shared" si="35"/>
        <v>16308950</v>
      </c>
      <c r="J105" s="4">
        <f t="shared" si="35"/>
        <v>2709825</v>
      </c>
    </row>
    <row r="106" spans="1:10" s="1" customFormat="1" x14ac:dyDescent="0.2">
      <c r="A106" s="377"/>
      <c r="B106" s="376"/>
      <c r="C106" s="65" t="s">
        <v>96</v>
      </c>
      <c r="D106" s="66">
        <f>D41+D40+D38+D37+D36+D34+D33</f>
        <v>36052980</v>
      </c>
      <c r="E106" s="66">
        <f t="shared" ref="E106:J106" si="36">E41+E40+E38+E37+E36+E34+E33</f>
        <v>0</v>
      </c>
      <c r="F106" s="66">
        <f t="shared" si="36"/>
        <v>0</v>
      </c>
      <c r="G106" s="66">
        <f t="shared" si="36"/>
        <v>0</v>
      </c>
      <c r="H106" s="66">
        <f t="shared" si="36"/>
        <v>0</v>
      </c>
      <c r="I106" s="66">
        <f t="shared" si="36"/>
        <v>36052980</v>
      </c>
      <c r="J106" s="66">
        <f t="shared" si="36"/>
        <v>2709825</v>
      </c>
    </row>
    <row r="107" spans="1:10" x14ac:dyDescent="0.2">
      <c r="A107" s="377"/>
      <c r="B107" s="376"/>
      <c r="C107" s="63" t="s">
        <v>31</v>
      </c>
      <c r="D107" s="4">
        <f>D66+D48</f>
        <v>388897</v>
      </c>
      <c r="E107" s="4">
        <f t="shared" ref="E107:J107" si="37">E66+E48</f>
        <v>0</v>
      </c>
      <c r="F107" s="4">
        <f t="shared" si="37"/>
        <v>0</v>
      </c>
      <c r="G107" s="4">
        <f t="shared" si="37"/>
        <v>0</v>
      </c>
      <c r="H107" s="4">
        <f t="shared" si="37"/>
        <v>0</v>
      </c>
      <c r="I107" s="4">
        <f t="shared" si="37"/>
        <v>388897</v>
      </c>
      <c r="J107" s="4">
        <f t="shared" si="37"/>
        <v>0</v>
      </c>
    </row>
    <row r="108" spans="1:10" x14ac:dyDescent="0.2">
      <c r="A108" s="377"/>
      <c r="B108" s="376"/>
      <c r="C108" s="63" t="s">
        <v>32</v>
      </c>
      <c r="D108" s="4">
        <f>D49</f>
        <v>0</v>
      </c>
      <c r="E108" s="4">
        <f t="shared" ref="E108:J108" si="38">E49</f>
        <v>0</v>
      </c>
      <c r="F108" s="4">
        <f t="shared" si="38"/>
        <v>0</v>
      </c>
      <c r="G108" s="4">
        <f t="shared" si="38"/>
        <v>0</v>
      </c>
      <c r="H108" s="4">
        <f t="shared" si="38"/>
        <v>0</v>
      </c>
      <c r="I108" s="4">
        <f t="shared" si="38"/>
        <v>0</v>
      </c>
      <c r="J108" s="4">
        <f t="shared" si="38"/>
        <v>0</v>
      </c>
    </row>
    <row r="109" spans="1:10" x14ac:dyDescent="0.2">
      <c r="A109" s="377"/>
      <c r="B109" s="376"/>
      <c r="C109" s="63" t="s">
        <v>13</v>
      </c>
      <c r="D109" s="4">
        <f>D67+D50</f>
        <v>4296741</v>
      </c>
      <c r="E109" s="4">
        <f t="shared" ref="E109:J109" si="39">E67+E50</f>
        <v>0</v>
      </c>
      <c r="F109" s="4">
        <f t="shared" si="39"/>
        <v>0</v>
      </c>
      <c r="G109" s="4">
        <f t="shared" si="39"/>
        <v>0</v>
      </c>
      <c r="H109" s="4">
        <f t="shared" si="39"/>
        <v>0</v>
      </c>
      <c r="I109" s="4">
        <f t="shared" si="39"/>
        <v>4296741</v>
      </c>
      <c r="J109" s="4">
        <f t="shared" si="39"/>
        <v>0</v>
      </c>
    </row>
    <row r="110" spans="1:10" x14ac:dyDescent="0.2">
      <c r="A110" s="377"/>
      <c r="B110" s="376"/>
      <c r="C110" s="63" t="s">
        <v>14</v>
      </c>
      <c r="D110" s="4">
        <f>D68+D51</f>
        <v>1265122</v>
      </c>
      <c r="E110" s="4">
        <f t="shared" ref="E110:J110" si="40">E68+E51</f>
        <v>0</v>
      </c>
      <c r="F110" s="4">
        <f t="shared" si="40"/>
        <v>0</v>
      </c>
      <c r="G110" s="4">
        <f t="shared" si="40"/>
        <v>0</v>
      </c>
      <c r="H110" s="4">
        <f t="shared" si="40"/>
        <v>0</v>
      </c>
      <c r="I110" s="4">
        <f t="shared" si="40"/>
        <v>1265122</v>
      </c>
      <c r="J110" s="4">
        <f t="shared" si="40"/>
        <v>0</v>
      </c>
    </row>
    <row r="111" spans="1:10" s="1" customFormat="1" x14ac:dyDescent="0.2">
      <c r="A111" s="377"/>
      <c r="B111" s="376"/>
      <c r="C111" s="65" t="s">
        <v>97</v>
      </c>
      <c r="D111" s="66">
        <f>D68+D67+D66+D51+D50+D49+D48</f>
        <v>5950760</v>
      </c>
      <c r="E111" s="66">
        <f t="shared" ref="E111:J111" si="41">E68+E67+E66+E51+E50+E49+E48</f>
        <v>0</v>
      </c>
      <c r="F111" s="66">
        <f t="shared" si="41"/>
        <v>0</v>
      </c>
      <c r="G111" s="66">
        <f t="shared" si="41"/>
        <v>0</v>
      </c>
      <c r="H111" s="66">
        <f t="shared" si="41"/>
        <v>0</v>
      </c>
      <c r="I111" s="66">
        <f t="shared" si="41"/>
        <v>5950760</v>
      </c>
      <c r="J111" s="66">
        <f t="shared" si="41"/>
        <v>0</v>
      </c>
    </row>
    <row r="112" spans="1:10" x14ac:dyDescent="0.2">
      <c r="A112" s="377"/>
      <c r="B112" s="376"/>
      <c r="C112" s="63" t="s">
        <v>15</v>
      </c>
      <c r="D112" s="4">
        <f>D69+D52</f>
        <v>4121943</v>
      </c>
      <c r="E112" s="4">
        <f t="shared" ref="E112:J112" si="42">E69+E52</f>
        <v>0</v>
      </c>
      <c r="F112" s="4">
        <f t="shared" si="42"/>
        <v>0</v>
      </c>
      <c r="G112" s="4">
        <f t="shared" si="42"/>
        <v>0</v>
      </c>
      <c r="H112" s="4">
        <f t="shared" si="42"/>
        <v>0</v>
      </c>
      <c r="I112" s="4">
        <f t="shared" si="42"/>
        <v>4121943</v>
      </c>
      <c r="J112" s="4">
        <f t="shared" si="42"/>
        <v>0</v>
      </c>
    </row>
    <row r="113" spans="1:10" x14ac:dyDescent="0.2">
      <c r="A113" s="377"/>
      <c r="B113" s="376"/>
      <c r="C113" s="63" t="s">
        <v>16</v>
      </c>
      <c r="D113" s="4">
        <f>D70+D53</f>
        <v>1112924</v>
      </c>
      <c r="E113" s="4">
        <f t="shared" ref="E113:J113" si="43">E70+E53</f>
        <v>0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1112924</v>
      </c>
      <c r="J113" s="4">
        <f t="shared" si="43"/>
        <v>0</v>
      </c>
    </row>
    <row r="114" spans="1:10" s="1" customFormat="1" x14ac:dyDescent="0.2">
      <c r="A114" s="377"/>
      <c r="B114" s="376"/>
      <c r="C114" s="65" t="s">
        <v>98</v>
      </c>
      <c r="D114" s="66">
        <f>D70+D69+D53+D52</f>
        <v>5234867</v>
      </c>
      <c r="E114" s="66">
        <f t="shared" ref="E114:J114" si="44">E70+E69+E53+E52</f>
        <v>0</v>
      </c>
      <c r="F114" s="66">
        <f t="shared" si="44"/>
        <v>0</v>
      </c>
      <c r="G114" s="66">
        <f t="shared" si="44"/>
        <v>0</v>
      </c>
      <c r="H114" s="66">
        <f t="shared" si="44"/>
        <v>0</v>
      </c>
      <c r="I114" s="66">
        <f t="shared" si="44"/>
        <v>5234867</v>
      </c>
      <c r="J114" s="66">
        <f t="shared" si="44"/>
        <v>0</v>
      </c>
    </row>
    <row r="115" spans="1:10" s="1" customFormat="1" x14ac:dyDescent="0.2">
      <c r="A115" s="377"/>
      <c r="B115" s="376"/>
      <c r="C115" s="63" t="s">
        <v>3</v>
      </c>
      <c r="D115" s="67">
        <f>D35</f>
        <v>313437148</v>
      </c>
      <c r="E115" s="67">
        <f t="shared" ref="E115:J115" si="45">E35</f>
        <v>0</v>
      </c>
      <c r="F115" s="67">
        <f t="shared" si="45"/>
        <v>0</v>
      </c>
      <c r="G115" s="67">
        <f t="shared" si="45"/>
        <v>0</v>
      </c>
      <c r="H115" s="67">
        <f t="shared" si="45"/>
        <v>0</v>
      </c>
      <c r="I115" s="67">
        <f t="shared" si="45"/>
        <v>313437148</v>
      </c>
      <c r="J115" s="67">
        <f t="shared" si="45"/>
        <v>72997257</v>
      </c>
    </row>
    <row r="116" spans="1:10" s="1" customFormat="1" x14ac:dyDescent="0.2">
      <c r="A116" s="377"/>
      <c r="B116" s="376"/>
      <c r="C116" s="65" t="s">
        <v>99</v>
      </c>
      <c r="D116" s="66">
        <f>SUM(D28:D70)</f>
        <v>426209554</v>
      </c>
      <c r="E116" s="66">
        <f t="shared" ref="E116:J116" si="46">SUM(E28:E70)</f>
        <v>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426209554</v>
      </c>
      <c r="J116" s="66">
        <f t="shared" si="46"/>
        <v>78448221</v>
      </c>
    </row>
    <row r="117" spans="1:10" s="1" customFormat="1" x14ac:dyDescent="0.2">
      <c r="E117" s="68"/>
      <c r="J117" s="69"/>
    </row>
    <row r="118" spans="1:10" x14ac:dyDescent="0.2">
      <c r="C118" s="5"/>
    </row>
    <row r="119" spans="1:10" x14ac:dyDescent="0.2">
      <c r="C119" s="5"/>
    </row>
    <row r="120" spans="1:10" x14ac:dyDescent="0.2">
      <c r="C120" s="5"/>
    </row>
    <row r="121" spans="1:10" s="12" customFormat="1" x14ac:dyDescent="0.2">
      <c r="A121" s="364" t="s">
        <v>52</v>
      </c>
      <c r="B121" s="364"/>
      <c r="C121" s="364"/>
      <c r="D121" s="364"/>
      <c r="E121" s="364"/>
      <c r="F121" s="364"/>
      <c r="G121" s="11"/>
      <c r="H121" s="11"/>
      <c r="J121" s="58"/>
    </row>
    <row r="122" spans="1:10" s="12" customFormat="1" x14ac:dyDescent="0.2">
      <c r="A122" s="366"/>
      <c r="B122" s="366"/>
      <c r="C122" s="366"/>
      <c r="D122" s="366"/>
      <c r="E122" s="366"/>
      <c r="F122" s="366"/>
      <c r="J122" s="58"/>
    </row>
    <row r="123" spans="1:10" s="12" customFormat="1" x14ac:dyDescent="0.2">
      <c r="A123" s="13"/>
      <c r="B123" s="13"/>
      <c r="C123" s="13"/>
      <c r="D123" s="14"/>
      <c r="E123" s="14"/>
      <c r="F123" s="15"/>
      <c r="J123" s="58"/>
    </row>
    <row r="124" spans="1:10" s="12" customFormat="1" x14ac:dyDescent="0.2">
      <c r="A124" s="16" t="s">
        <v>53</v>
      </c>
      <c r="B124" s="16"/>
      <c r="C124" s="16"/>
      <c r="D124" s="16"/>
      <c r="E124" s="17"/>
      <c r="F124" s="15">
        <v>0</v>
      </c>
      <c r="J124" s="58"/>
    </row>
    <row r="125" spans="1:10" s="12" customFormat="1" x14ac:dyDescent="0.2">
      <c r="A125" s="16" t="s">
        <v>54</v>
      </c>
      <c r="B125" s="16"/>
      <c r="C125" s="16"/>
      <c r="D125" s="16"/>
      <c r="E125" s="17"/>
      <c r="F125" s="15">
        <v>0</v>
      </c>
      <c r="J125" s="58"/>
    </row>
    <row r="126" spans="1:10" s="12" customFormat="1" x14ac:dyDescent="0.2">
      <c r="A126" s="16" t="s">
        <v>55</v>
      </c>
      <c r="B126" s="16"/>
      <c r="C126" s="16"/>
      <c r="D126" s="16"/>
      <c r="E126" s="17"/>
      <c r="F126" s="15" t="e">
        <f>SUM(#REF!)</f>
        <v>#REF!</v>
      </c>
      <c r="J126" s="58"/>
    </row>
    <row r="127" spans="1:10" s="12" customFormat="1" x14ac:dyDescent="0.2">
      <c r="A127" s="364" t="s">
        <v>56</v>
      </c>
      <c r="B127" s="364"/>
      <c r="C127" s="364"/>
      <c r="D127" s="364"/>
      <c r="E127" s="17"/>
      <c r="F127" s="15" t="e">
        <f>SUM(#REF!)</f>
        <v>#REF!</v>
      </c>
      <c r="J127" s="58"/>
    </row>
    <row r="128" spans="1:10" s="12" customFormat="1" x14ac:dyDescent="0.2">
      <c r="A128" s="364" t="s">
        <v>57</v>
      </c>
      <c r="B128" s="364"/>
      <c r="C128" s="364"/>
      <c r="D128" s="364"/>
      <c r="E128" s="17"/>
      <c r="F128" s="15">
        <v>0</v>
      </c>
      <c r="J128" s="58"/>
    </row>
    <row r="129" spans="1:10" s="12" customFormat="1" x14ac:dyDescent="0.2">
      <c r="A129" s="364" t="s">
        <v>58</v>
      </c>
      <c r="B129" s="364"/>
      <c r="C129" s="364"/>
      <c r="D129" s="364"/>
      <c r="E129" s="17"/>
      <c r="F129" s="15">
        <v>0</v>
      </c>
      <c r="J129" s="58"/>
    </row>
    <row r="130" spans="1:10" s="12" customFormat="1" x14ac:dyDescent="0.2">
      <c r="A130" s="16" t="s">
        <v>59</v>
      </c>
      <c r="B130" s="16"/>
      <c r="C130" s="16"/>
      <c r="D130" s="16"/>
      <c r="E130" s="17"/>
      <c r="F130" s="15">
        <v>0</v>
      </c>
      <c r="J130" s="58"/>
    </row>
    <row r="131" spans="1:10" s="12" customFormat="1" x14ac:dyDescent="0.2">
      <c r="A131" s="364" t="s">
        <v>60</v>
      </c>
      <c r="B131" s="364"/>
      <c r="C131" s="364"/>
      <c r="D131" s="364"/>
      <c r="E131" s="17"/>
      <c r="F131" s="15">
        <v>0</v>
      </c>
      <c r="J131" s="58"/>
    </row>
    <row r="132" spans="1:10" s="12" customFormat="1" x14ac:dyDescent="0.2">
      <c r="A132" s="17" t="s">
        <v>61</v>
      </c>
      <c r="B132" s="17"/>
      <c r="C132" s="17"/>
      <c r="D132" s="17"/>
      <c r="E132" s="17"/>
      <c r="F132" s="15">
        <v>0</v>
      </c>
      <c r="J132" s="58"/>
    </row>
    <row r="133" spans="1:10" s="12" customFormat="1" x14ac:dyDescent="0.2">
      <c r="A133" s="365" t="s">
        <v>62</v>
      </c>
      <c r="B133" s="365"/>
      <c r="C133" s="365"/>
      <c r="D133" s="365"/>
      <c r="E133" s="18"/>
      <c r="F133" s="19" t="e">
        <f>SUM(#REF!,#REF!)</f>
        <v>#REF!</v>
      </c>
      <c r="J133" s="58"/>
    </row>
    <row r="134" spans="1:10" s="12" customFormat="1" x14ac:dyDescent="0.2">
      <c r="A134" s="362" t="s">
        <v>63</v>
      </c>
      <c r="B134" s="362"/>
      <c r="C134" s="362"/>
      <c r="D134" s="362"/>
      <c r="E134" s="17"/>
      <c r="F134" s="15" t="e">
        <f>SUM(F124:F133)</f>
        <v>#REF!</v>
      </c>
      <c r="J134" s="58"/>
    </row>
    <row r="135" spans="1:10" s="12" customFormat="1" x14ac:dyDescent="0.2">
      <c r="A135" s="17"/>
      <c r="B135" s="17"/>
      <c r="C135" s="17"/>
      <c r="D135" s="17"/>
      <c r="E135" s="17"/>
      <c r="F135" s="15"/>
      <c r="J135" s="58"/>
    </row>
    <row r="136" spans="1:10" s="12" customFormat="1" x14ac:dyDescent="0.2">
      <c r="A136" s="17"/>
      <c r="B136" s="17"/>
      <c r="C136" s="17"/>
      <c r="D136" s="17"/>
      <c r="E136" s="17"/>
      <c r="F136" s="15"/>
      <c r="J136" s="58"/>
    </row>
    <row r="137" spans="1:10" s="12" customFormat="1" x14ac:dyDescent="0.2">
      <c r="A137" s="17"/>
      <c r="B137" s="17"/>
      <c r="C137" s="17"/>
      <c r="D137" s="17"/>
      <c r="E137" s="17"/>
      <c r="F137" s="15"/>
      <c r="J137" s="58"/>
    </row>
    <row r="138" spans="1:10" s="12" customFormat="1" x14ac:dyDescent="0.2">
      <c r="A138" s="17"/>
      <c r="B138" s="17"/>
      <c r="C138" s="17"/>
      <c r="D138" s="17"/>
      <c r="E138" s="17"/>
      <c r="F138" s="15"/>
      <c r="J138" s="58"/>
    </row>
    <row r="139" spans="1:10" s="12" customFormat="1" x14ac:dyDescent="0.2">
      <c r="A139" s="17"/>
      <c r="B139" s="17"/>
      <c r="C139" s="17"/>
      <c r="D139" s="17"/>
      <c r="E139" s="17"/>
      <c r="F139" s="15"/>
      <c r="J139" s="58"/>
    </row>
    <row r="140" spans="1:10" s="12" customFormat="1" x14ac:dyDescent="0.2">
      <c r="A140" s="366"/>
      <c r="B140" s="366"/>
      <c r="C140" s="366"/>
      <c r="D140" s="366"/>
      <c r="E140" s="366"/>
      <c r="F140" s="366"/>
      <c r="J140" s="58"/>
    </row>
    <row r="141" spans="1:10" s="12" customFormat="1" x14ac:dyDescent="0.2">
      <c r="A141" s="366"/>
      <c r="B141" s="366"/>
      <c r="C141" s="366"/>
      <c r="D141" s="366"/>
      <c r="E141" s="366"/>
      <c r="F141" s="366"/>
      <c r="J141" s="58"/>
    </row>
    <row r="142" spans="1:10" s="12" customFormat="1" x14ac:dyDescent="0.2">
      <c r="A142" s="366"/>
      <c r="B142" s="366"/>
      <c r="C142" s="366"/>
      <c r="D142" s="366"/>
      <c r="E142" s="366"/>
      <c r="F142" s="366"/>
      <c r="J142" s="58"/>
    </row>
    <row r="143" spans="1:10" s="12" customFormat="1" x14ac:dyDescent="0.2">
      <c r="A143" s="364" t="s">
        <v>64</v>
      </c>
      <c r="B143" s="364"/>
      <c r="C143" s="364"/>
      <c r="D143" s="364"/>
      <c r="E143" s="364"/>
      <c r="F143" s="364"/>
      <c r="J143" s="58"/>
    </row>
    <row r="144" spans="1:10" s="12" customFormat="1" x14ac:dyDescent="0.2">
      <c r="A144" s="366"/>
      <c r="B144" s="366"/>
      <c r="C144" s="366"/>
      <c r="D144" s="366"/>
      <c r="E144" s="366"/>
      <c r="F144" s="366"/>
      <c r="J144" s="58"/>
    </row>
    <row r="145" spans="1:10" s="12" customFormat="1" x14ac:dyDescent="0.2">
      <c r="A145" s="364" t="s">
        <v>65</v>
      </c>
      <c r="B145" s="364"/>
      <c r="C145" s="364"/>
      <c r="D145" s="364"/>
      <c r="E145" s="17"/>
      <c r="F145" s="15" t="e">
        <f>SUM(#REF!,#REF!)</f>
        <v>#REF!</v>
      </c>
      <c r="J145" s="58"/>
    </row>
    <row r="146" spans="1:10" s="12" customFormat="1" x14ac:dyDescent="0.2">
      <c r="A146" s="17" t="s">
        <v>78</v>
      </c>
      <c r="B146" s="17"/>
      <c r="C146" s="17"/>
      <c r="D146" s="17"/>
      <c r="E146" s="17"/>
      <c r="F146" s="15" t="e">
        <f>SUM(#REF!)</f>
        <v>#REF!</v>
      </c>
      <c r="J146" s="58"/>
    </row>
    <row r="147" spans="1:10" s="12" customFormat="1" x14ac:dyDescent="0.2">
      <c r="A147" s="364" t="s">
        <v>66</v>
      </c>
      <c r="B147" s="364"/>
      <c r="C147" s="364"/>
      <c r="D147" s="364"/>
      <c r="E147" s="17"/>
      <c r="F147" s="15" t="e">
        <f>SUM(#REF!,#REF!,#REF!,#REF!)</f>
        <v>#REF!</v>
      </c>
      <c r="J147" s="58"/>
    </row>
    <row r="148" spans="1:10" s="12" customFormat="1" x14ac:dyDescent="0.2">
      <c r="A148" s="364" t="s">
        <v>67</v>
      </c>
      <c r="B148" s="364"/>
      <c r="C148" s="364"/>
      <c r="D148" s="364"/>
      <c r="E148" s="17"/>
      <c r="F148" s="15">
        <v>0</v>
      </c>
      <c r="J148" s="58"/>
    </row>
    <row r="149" spans="1:10" s="12" customFormat="1" x14ac:dyDescent="0.2">
      <c r="A149" s="364" t="s">
        <v>68</v>
      </c>
      <c r="B149" s="364"/>
      <c r="C149" s="364"/>
      <c r="D149" s="364"/>
      <c r="E149" s="17"/>
      <c r="F149" s="15" t="e">
        <f>SUM(#REF!,#REF!,#REF!)</f>
        <v>#REF!</v>
      </c>
      <c r="J149" s="58"/>
    </row>
    <row r="150" spans="1:10" s="12" customFormat="1" x14ac:dyDescent="0.2">
      <c r="A150" s="17" t="s">
        <v>80</v>
      </c>
      <c r="B150" s="17"/>
      <c r="C150" s="17"/>
      <c r="D150" s="17"/>
      <c r="E150" s="17"/>
      <c r="F150" s="15">
        <v>0</v>
      </c>
      <c r="J150" s="58"/>
    </row>
    <row r="151" spans="1:10" s="12" customFormat="1" x14ac:dyDescent="0.2">
      <c r="A151" s="17" t="s">
        <v>79</v>
      </c>
      <c r="B151" s="17"/>
      <c r="C151" s="17"/>
      <c r="D151" s="17"/>
      <c r="E151" s="17"/>
      <c r="F151" s="15">
        <v>0</v>
      </c>
      <c r="J151" s="58"/>
    </row>
    <row r="152" spans="1:10" s="12" customFormat="1" x14ac:dyDescent="0.2">
      <c r="A152" s="17" t="s">
        <v>69</v>
      </c>
      <c r="B152" s="17"/>
      <c r="C152" s="17"/>
      <c r="D152" s="17"/>
      <c r="E152" s="17"/>
      <c r="F152" s="15">
        <v>0</v>
      </c>
      <c r="J152" s="58"/>
    </row>
    <row r="153" spans="1:10" s="12" customFormat="1" x14ac:dyDescent="0.2">
      <c r="A153" s="20" t="s">
        <v>77</v>
      </c>
      <c r="B153" s="20"/>
      <c r="C153" s="20"/>
      <c r="D153" s="21"/>
      <c r="E153" s="21"/>
      <c r="F153" s="22">
        <v>0</v>
      </c>
      <c r="J153" s="58"/>
    </row>
    <row r="154" spans="1:10" s="12" customFormat="1" x14ac:dyDescent="0.2">
      <c r="A154" s="362" t="s">
        <v>63</v>
      </c>
      <c r="B154" s="362"/>
      <c r="C154" s="362"/>
      <c r="D154" s="362"/>
      <c r="E154" s="17"/>
      <c r="F154" s="15" t="e">
        <f>SUM(F145:F153)</f>
        <v>#REF!</v>
      </c>
      <c r="J154" s="58"/>
    </row>
    <row r="155" spans="1:10" s="12" customFormat="1" x14ac:dyDescent="0.2">
      <c r="A155" s="17"/>
      <c r="B155" s="16"/>
      <c r="C155" s="23"/>
      <c r="D155" s="14"/>
      <c r="E155" s="14"/>
      <c r="F155" s="15"/>
      <c r="J155" s="58"/>
    </row>
    <row r="156" spans="1:10" s="12" customFormat="1" x14ac:dyDescent="0.2">
      <c r="A156" s="17"/>
      <c r="B156" s="16"/>
      <c r="C156" s="23"/>
      <c r="D156" s="14"/>
      <c r="E156" s="14"/>
      <c r="F156" s="15"/>
      <c r="J156" s="58"/>
    </row>
    <row r="157" spans="1:10" s="12" customFormat="1" x14ac:dyDescent="0.2">
      <c r="A157" s="17"/>
      <c r="B157" s="16"/>
      <c r="C157" s="23"/>
      <c r="D157" s="14"/>
      <c r="E157" s="14"/>
      <c r="F157" s="15"/>
      <c r="J157" s="58"/>
    </row>
    <row r="158" spans="1:10" s="12" customFormat="1" x14ac:dyDescent="0.2">
      <c r="A158" s="364" t="s">
        <v>70</v>
      </c>
      <c r="B158" s="364"/>
      <c r="C158" s="364"/>
      <c r="D158" s="364"/>
      <c r="E158" s="364"/>
      <c r="F158" s="364"/>
      <c r="J158" s="58"/>
    </row>
    <row r="159" spans="1:10" s="12" customFormat="1" x14ac:dyDescent="0.2">
      <c r="A159" s="366"/>
      <c r="B159" s="366"/>
      <c r="C159" s="366"/>
      <c r="D159" s="366"/>
      <c r="E159" s="366"/>
      <c r="F159" s="366"/>
      <c r="J159" s="58"/>
    </row>
    <row r="160" spans="1:10" s="12" customFormat="1" x14ac:dyDescent="0.2">
      <c r="A160" s="13"/>
      <c r="B160" s="13"/>
      <c r="C160" s="13"/>
      <c r="D160" s="14"/>
      <c r="E160" s="14"/>
      <c r="F160" s="15"/>
      <c r="J160" s="58"/>
    </row>
    <row r="161" spans="1:10" s="12" customFormat="1" x14ac:dyDescent="0.2">
      <c r="A161" s="16" t="s">
        <v>53</v>
      </c>
      <c r="B161" s="16"/>
      <c r="C161" s="16"/>
      <c r="D161" s="16"/>
      <c r="E161" s="17"/>
      <c r="F161" s="15">
        <v>0</v>
      </c>
      <c r="J161" s="58"/>
    </row>
    <row r="162" spans="1:10" s="12" customFormat="1" x14ac:dyDescent="0.2">
      <c r="A162" s="16" t="s">
        <v>54</v>
      </c>
      <c r="B162" s="16"/>
      <c r="C162" s="16"/>
      <c r="D162" s="16"/>
      <c r="E162" s="17"/>
      <c r="F162" s="15">
        <v>0</v>
      </c>
      <c r="J162" s="58"/>
    </row>
    <row r="163" spans="1:10" s="12" customFormat="1" x14ac:dyDescent="0.2">
      <c r="A163" s="16" t="s">
        <v>55</v>
      </c>
      <c r="B163" s="16"/>
      <c r="C163" s="16"/>
      <c r="D163" s="16"/>
      <c r="E163" s="17"/>
      <c r="F163" s="15">
        <v>0</v>
      </c>
      <c r="J163" s="58"/>
    </row>
    <row r="164" spans="1:10" s="12" customFormat="1" x14ac:dyDescent="0.2">
      <c r="A164" s="364" t="s">
        <v>56</v>
      </c>
      <c r="B164" s="364"/>
      <c r="C164" s="364"/>
      <c r="D164" s="364"/>
      <c r="E164" s="17"/>
      <c r="F164" s="15">
        <v>0</v>
      </c>
      <c r="J164" s="58"/>
    </row>
    <row r="165" spans="1:10" s="12" customFormat="1" x14ac:dyDescent="0.2">
      <c r="A165" s="364" t="s">
        <v>57</v>
      </c>
      <c r="B165" s="364"/>
      <c r="C165" s="364"/>
      <c r="D165" s="364"/>
      <c r="E165" s="17"/>
      <c r="F165" s="15">
        <v>0</v>
      </c>
      <c r="J165" s="58"/>
    </row>
    <row r="166" spans="1:10" s="12" customFormat="1" x14ac:dyDescent="0.2">
      <c r="A166" s="364" t="s">
        <v>58</v>
      </c>
      <c r="B166" s="364"/>
      <c r="C166" s="364"/>
      <c r="D166" s="364"/>
      <c r="E166" s="17"/>
      <c r="F166" s="15">
        <v>0</v>
      </c>
      <c r="J166" s="58"/>
    </row>
    <row r="167" spans="1:10" s="12" customFormat="1" x14ac:dyDescent="0.2">
      <c r="A167" s="16" t="s">
        <v>59</v>
      </c>
      <c r="B167" s="16"/>
      <c r="C167" s="16"/>
      <c r="D167" s="16"/>
      <c r="E167" s="17"/>
      <c r="F167" s="15">
        <v>0</v>
      </c>
      <c r="J167" s="58"/>
    </row>
    <row r="168" spans="1:10" s="12" customFormat="1" x14ac:dyDescent="0.2">
      <c r="A168" s="364" t="s">
        <v>60</v>
      </c>
      <c r="B168" s="364"/>
      <c r="C168" s="364"/>
      <c r="D168" s="364"/>
      <c r="E168" s="17"/>
      <c r="F168" s="15">
        <v>0</v>
      </c>
      <c r="J168" s="58"/>
    </row>
    <row r="169" spans="1:10" s="12" customFormat="1" x14ac:dyDescent="0.2">
      <c r="A169" s="17" t="s">
        <v>61</v>
      </c>
      <c r="B169" s="17"/>
      <c r="C169" s="17"/>
      <c r="D169" s="17"/>
      <c r="E169" s="17"/>
      <c r="F169" s="15">
        <v>0</v>
      </c>
      <c r="J169" s="58"/>
    </row>
    <row r="170" spans="1:10" s="12" customFormat="1" x14ac:dyDescent="0.2">
      <c r="A170" s="365" t="s">
        <v>62</v>
      </c>
      <c r="B170" s="365"/>
      <c r="C170" s="365"/>
      <c r="D170" s="365"/>
      <c r="E170" s="18"/>
      <c r="F170" s="19">
        <v>0</v>
      </c>
      <c r="J170" s="58"/>
    </row>
    <row r="171" spans="1:10" s="12" customFormat="1" x14ac:dyDescent="0.2">
      <c r="A171" s="362" t="s">
        <v>63</v>
      </c>
      <c r="B171" s="362"/>
      <c r="C171" s="362"/>
      <c r="D171" s="362"/>
      <c r="E171" s="17"/>
      <c r="F171" s="15">
        <f>SUM(F161:F170)</f>
        <v>0</v>
      </c>
      <c r="J171" s="58"/>
    </row>
    <row r="172" spans="1:10" s="12" customFormat="1" x14ac:dyDescent="0.2">
      <c r="A172" s="366"/>
      <c r="B172" s="366"/>
      <c r="C172" s="366"/>
      <c r="D172" s="366"/>
      <c r="E172" s="366"/>
      <c r="F172" s="366"/>
      <c r="J172" s="58"/>
    </row>
    <row r="173" spans="1:10" s="12" customFormat="1" x14ac:dyDescent="0.2">
      <c r="A173" s="366"/>
      <c r="B173" s="366"/>
      <c r="C173" s="366"/>
      <c r="D173" s="366"/>
      <c r="E173" s="366"/>
      <c r="F173" s="366"/>
      <c r="J173" s="58"/>
    </row>
    <row r="174" spans="1:10" s="12" customFormat="1" x14ac:dyDescent="0.2">
      <c r="A174" s="366"/>
      <c r="B174" s="366"/>
      <c r="C174" s="366"/>
      <c r="D174" s="366"/>
      <c r="E174" s="366"/>
      <c r="F174" s="366"/>
      <c r="J174" s="58"/>
    </row>
    <row r="175" spans="1:10" s="12" customFormat="1" x14ac:dyDescent="0.2">
      <c r="A175" s="364" t="s">
        <v>71</v>
      </c>
      <c r="B175" s="364"/>
      <c r="C175" s="364"/>
      <c r="D175" s="364"/>
      <c r="E175" s="364"/>
      <c r="F175" s="364"/>
      <c r="J175" s="58"/>
    </row>
    <row r="176" spans="1:10" s="12" customFormat="1" x14ac:dyDescent="0.2">
      <c r="A176" s="366"/>
      <c r="B176" s="366"/>
      <c r="C176" s="366"/>
      <c r="D176" s="366"/>
      <c r="E176" s="366"/>
      <c r="F176" s="366"/>
      <c r="J176" s="58"/>
    </row>
    <row r="177" spans="1:10" s="12" customFormat="1" x14ac:dyDescent="0.2">
      <c r="A177" s="364" t="s">
        <v>65</v>
      </c>
      <c r="B177" s="364"/>
      <c r="C177" s="364"/>
      <c r="D177" s="364"/>
      <c r="E177" s="17"/>
      <c r="F177" s="15">
        <v>0</v>
      </c>
      <c r="J177" s="58"/>
    </row>
    <row r="178" spans="1:10" s="12" customFormat="1" x14ac:dyDescent="0.2">
      <c r="A178" s="17" t="s">
        <v>78</v>
      </c>
      <c r="B178" s="17"/>
      <c r="C178" s="17"/>
      <c r="D178" s="17"/>
      <c r="E178" s="17"/>
      <c r="F178" s="15">
        <f>SUM(G36)</f>
        <v>0</v>
      </c>
      <c r="J178" s="58"/>
    </row>
    <row r="179" spans="1:10" s="12" customFormat="1" x14ac:dyDescent="0.2">
      <c r="A179" s="364" t="s">
        <v>66</v>
      </c>
      <c r="B179" s="364"/>
      <c r="C179" s="364"/>
      <c r="D179" s="364"/>
      <c r="E179" s="17"/>
      <c r="F179" s="15">
        <f>SUM(G54:G55)</f>
        <v>0</v>
      </c>
      <c r="J179" s="58"/>
    </row>
    <row r="180" spans="1:10" s="12" customFormat="1" x14ac:dyDescent="0.2">
      <c r="A180" s="364" t="s">
        <v>67</v>
      </c>
      <c r="B180" s="364"/>
      <c r="C180" s="364"/>
      <c r="D180" s="364"/>
      <c r="E180" s="17"/>
      <c r="F180" s="15">
        <f>SUM(G46)</f>
        <v>0</v>
      </c>
      <c r="J180" s="58"/>
    </row>
    <row r="181" spans="1:10" s="12" customFormat="1" x14ac:dyDescent="0.2">
      <c r="A181" s="364" t="s">
        <v>68</v>
      </c>
      <c r="B181" s="364"/>
      <c r="C181" s="364"/>
      <c r="D181" s="364"/>
      <c r="E181" s="17"/>
      <c r="F181" s="15">
        <f>SUM(G58:G65,G47,G31:G38)</f>
        <v>0</v>
      </c>
      <c r="J181" s="58"/>
    </row>
    <row r="182" spans="1:10" s="12" customFormat="1" x14ac:dyDescent="0.2">
      <c r="A182" s="17" t="s">
        <v>72</v>
      </c>
      <c r="B182" s="17"/>
      <c r="C182" s="17"/>
      <c r="D182" s="17"/>
      <c r="E182" s="17"/>
      <c r="F182" s="15">
        <f>SUM(G50:G51)</f>
        <v>0</v>
      </c>
      <c r="J182" s="58"/>
    </row>
    <row r="183" spans="1:10" s="12" customFormat="1" x14ac:dyDescent="0.2">
      <c r="A183" s="17" t="s">
        <v>73</v>
      </c>
      <c r="B183" s="17"/>
      <c r="C183" s="17"/>
      <c r="D183" s="17"/>
      <c r="E183" s="17"/>
      <c r="F183" s="15">
        <f>SUM(G52:G53)</f>
        <v>0</v>
      </c>
      <c r="J183" s="58"/>
    </row>
    <row r="184" spans="1:10" s="12" customFormat="1" x14ac:dyDescent="0.2">
      <c r="A184" s="20" t="s">
        <v>77</v>
      </c>
      <c r="B184" s="20"/>
      <c r="C184" s="20"/>
      <c r="D184" s="21"/>
      <c r="E184" s="21"/>
      <c r="F184" s="22">
        <f>SUM(G37)</f>
        <v>0</v>
      </c>
      <c r="J184" s="58"/>
    </row>
    <row r="185" spans="1:10" s="12" customFormat="1" x14ac:dyDescent="0.2">
      <c r="A185" s="362" t="s">
        <v>63</v>
      </c>
      <c r="B185" s="362"/>
      <c r="C185" s="362"/>
      <c r="D185" s="362"/>
      <c r="E185" s="17"/>
      <c r="F185" s="15">
        <f>SUM(F177:F184)</f>
        <v>0</v>
      </c>
      <c r="J185" s="58"/>
    </row>
    <row r="186" spans="1:10" s="12" customFormat="1" x14ac:dyDescent="0.2">
      <c r="A186" s="24"/>
      <c r="B186" s="25"/>
      <c r="C186" s="26"/>
      <c r="D186" s="27"/>
      <c r="E186" s="27"/>
      <c r="F186" s="28"/>
      <c r="J186" s="58"/>
    </row>
    <row r="187" spans="1:10" s="12" customFormat="1" x14ac:dyDescent="0.2">
      <c r="A187" s="24"/>
      <c r="B187" s="25"/>
      <c r="C187" s="26"/>
      <c r="D187" s="27"/>
      <c r="E187" s="27"/>
      <c r="F187" s="28"/>
      <c r="J187" s="58"/>
    </row>
    <row r="188" spans="1:10" s="12" customFormat="1" x14ac:dyDescent="0.2">
      <c r="A188" s="24"/>
      <c r="B188" s="25"/>
      <c r="C188" s="26"/>
      <c r="D188" s="27"/>
      <c r="E188" s="27"/>
      <c r="F188" s="28"/>
      <c r="J188" s="58"/>
    </row>
    <row r="189" spans="1:10" s="12" customFormat="1" x14ac:dyDescent="0.2">
      <c r="A189" s="24"/>
      <c r="B189" s="25"/>
      <c r="C189" s="26"/>
      <c r="D189" s="27"/>
      <c r="E189" s="27"/>
      <c r="F189" s="28"/>
      <c r="J189" s="58"/>
    </row>
    <row r="190" spans="1:10" s="12" customFormat="1" x14ac:dyDescent="0.2">
      <c r="A190" s="24"/>
      <c r="B190" s="25"/>
      <c r="C190" s="26"/>
      <c r="D190" s="27"/>
      <c r="E190" s="27"/>
      <c r="F190" s="28"/>
      <c r="J190" s="58"/>
    </row>
    <row r="191" spans="1:10" s="12" customFormat="1" x14ac:dyDescent="0.2">
      <c r="A191" s="359" t="s">
        <v>74</v>
      </c>
      <c r="B191" s="359"/>
      <c r="C191" s="359"/>
      <c r="D191" s="359"/>
      <c r="E191" s="359"/>
      <c r="F191" s="359"/>
      <c r="J191" s="58"/>
    </row>
    <row r="192" spans="1:10" s="12" customFormat="1" x14ac:dyDescent="0.2">
      <c r="A192" s="361"/>
      <c r="B192" s="361"/>
      <c r="C192" s="361"/>
      <c r="D192" s="361"/>
      <c r="E192" s="361"/>
      <c r="F192" s="361"/>
      <c r="J192" s="58"/>
    </row>
    <row r="193" spans="1:10" s="12" customFormat="1" x14ac:dyDescent="0.2">
      <c r="A193" s="29"/>
      <c r="B193" s="29"/>
      <c r="C193" s="29"/>
      <c r="D193" s="30"/>
      <c r="E193" s="30"/>
      <c r="F193" s="31"/>
      <c r="J193" s="58"/>
    </row>
    <row r="194" spans="1:10" s="12" customFormat="1" x14ac:dyDescent="0.2">
      <c r="A194" s="32" t="s">
        <v>75</v>
      </c>
      <c r="B194" s="32"/>
      <c r="C194" s="32"/>
      <c r="D194" s="32"/>
      <c r="E194" s="32"/>
      <c r="F194" s="31">
        <f t="shared" ref="F194:F203" si="47">SUM(F124,F161)</f>
        <v>0</v>
      </c>
      <c r="J194" s="58"/>
    </row>
    <row r="195" spans="1:10" s="12" customFormat="1" x14ac:dyDescent="0.2">
      <c r="A195" s="32" t="s">
        <v>54</v>
      </c>
      <c r="B195" s="32"/>
      <c r="C195" s="32"/>
      <c r="D195" s="32"/>
      <c r="E195" s="33"/>
      <c r="F195" s="31">
        <f t="shared" si="47"/>
        <v>0</v>
      </c>
      <c r="J195" s="58"/>
    </row>
    <row r="196" spans="1:10" s="12" customFormat="1" x14ac:dyDescent="0.2">
      <c r="A196" s="32" t="s">
        <v>55</v>
      </c>
      <c r="B196" s="32"/>
      <c r="C196" s="32"/>
      <c r="D196" s="32"/>
      <c r="E196" s="33"/>
      <c r="F196" s="31" t="e">
        <f t="shared" si="47"/>
        <v>#REF!</v>
      </c>
      <c r="J196" s="58"/>
    </row>
    <row r="197" spans="1:10" s="12" customFormat="1" x14ac:dyDescent="0.2">
      <c r="A197" s="359" t="s">
        <v>56</v>
      </c>
      <c r="B197" s="359"/>
      <c r="C197" s="359"/>
      <c r="D197" s="359"/>
      <c r="E197" s="33"/>
      <c r="F197" s="31" t="e">
        <f t="shared" si="47"/>
        <v>#REF!</v>
      </c>
      <c r="J197" s="58"/>
    </row>
    <row r="198" spans="1:10" s="12" customFormat="1" x14ac:dyDescent="0.2">
      <c r="A198" s="359" t="s">
        <v>57</v>
      </c>
      <c r="B198" s="359"/>
      <c r="C198" s="359"/>
      <c r="D198" s="359"/>
      <c r="E198" s="33"/>
      <c r="F198" s="31">
        <f t="shared" si="47"/>
        <v>0</v>
      </c>
      <c r="J198" s="58"/>
    </row>
    <row r="199" spans="1:10" s="12" customFormat="1" x14ac:dyDescent="0.2">
      <c r="A199" s="359" t="s">
        <v>58</v>
      </c>
      <c r="B199" s="359"/>
      <c r="C199" s="359"/>
      <c r="D199" s="359"/>
      <c r="E199" s="33"/>
      <c r="F199" s="31">
        <f t="shared" si="47"/>
        <v>0</v>
      </c>
      <c r="J199" s="58"/>
    </row>
    <row r="200" spans="1:10" s="12" customFormat="1" x14ac:dyDescent="0.2">
      <c r="A200" s="32" t="s">
        <v>59</v>
      </c>
      <c r="B200" s="32"/>
      <c r="C200" s="32"/>
      <c r="D200" s="32"/>
      <c r="E200" s="33"/>
      <c r="F200" s="31">
        <f t="shared" si="47"/>
        <v>0</v>
      </c>
      <c r="J200" s="58"/>
    </row>
    <row r="201" spans="1:10" s="12" customFormat="1" x14ac:dyDescent="0.2">
      <c r="A201" s="359" t="s">
        <v>60</v>
      </c>
      <c r="B201" s="359"/>
      <c r="C201" s="359"/>
      <c r="D201" s="359"/>
      <c r="E201" s="33"/>
      <c r="F201" s="31">
        <f t="shared" si="47"/>
        <v>0</v>
      </c>
      <c r="J201" s="58"/>
    </row>
    <row r="202" spans="1:10" s="12" customFormat="1" x14ac:dyDescent="0.2">
      <c r="A202" s="33" t="s">
        <v>61</v>
      </c>
      <c r="B202" s="33"/>
      <c r="C202" s="33"/>
      <c r="D202" s="33"/>
      <c r="E202" s="33"/>
      <c r="F202" s="31">
        <f t="shared" si="47"/>
        <v>0</v>
      </c>
      <c r="J202" s="58"/>
    </row>
    <row r="203" spans="1:10" s="12" customFormat="1" x14ac:dyDescent="0.2">
      <c r="A203" s="363" t="s">
        <v>62</v>
      </c>
      <c r="B203" s="363"/>
      <c r="C203" s="363"/>
      <c r="D203" s="363"/>
      <c r="E203" s="34"/>
      <c r="F203" s="35" t="e">
        <f t="shared" si="47"/>
        <v>#REF!</v>
      </c>
      <c r="J203" s="58"/>
    </row>
    <row r="204" spans="1:10" s="12" customFormat="1" x14ac:dyDescent="0.2">
      <c r="A204" s="360" t="s">
        <v>63</v>
      </c>
      <c r="B204" s="360"/>
      <c r="C204" s="360"/>
      <c r="D204" s="360"/>
      <c r="E204" s="33"/>
      <c r="F204" s="31" t="e">
        <f>SUM(F194:F203)</f>
        <v>#REF!</v>
      </c>
      <c r="J204" s="58"/>
    </row>
    <row r="205" spans="1:10" s="12" customFormat="1" x14ac:dyDescent="0.2">
      <c r="A205" s="33"/>
      <c r="B205" s="33"/>
      <c r="C205" s="33"/>
      <c r="D205" s="33"/>
      <c r="E205" s="33"/>
      <c r="F205" s="31"/>
      <c r="J205" s="58"/>
    </row>
    <row r="206" spans="1:10" s="12" customFormat="1" x14ac:dyDescent="0.2">
      <c r="A206" s="33"/>
      <c r="B206" s="33"/>
      <c r="C206" s="33"/>
      <c r="D206" s="33"/>
      <c r="E206" s="33"/>
      <c r="F206" s="31"/>
      <c r="J206" s="58"/>
    </row>
    <row r="207" spans="1:10" s="12" customFormat="1" x14ac:dyDescent="0.2">
      <c r="A207" s="33"/>
      <c r="B207" s="33"/>
      <c r="C207" s="33"/>
      <c r="D207" s="33"/>
      <c r="E207" s="33"/>
      <c r="F207" s="31"/>
      <c r="J207" s="58"/>
    </row>
    <row r="208" spans="1:10" s="12" customFormat="1" x14ac:dyDescent="0.2">
      <c r="A208" s="361"/>
      <c r="B208" s="361"/>
      <c r="C208" s="361"/>
      <c r="D208" s="361"/>
      <c r="E208" s="361"/>
      <c r="F208" s="361"/>
      <c r="J208" s="58"/>
    </row>
    <row r="209" spans="1:10" s="12" customFormat="1" x14ac:dyDescent="0.2">
      <c r="A209" s="361"/>
      <c r="B209" s="361"/>
      <c r="C209" s="361"/>
      <c r="D209" s="361"/>
      <c r="E209" s="361"/>
      <c r="F209" s="361"/>
      <c r="J209" s="58"/>
    </row>
    <row r="210" spans="1:10" s="12" customFormat="1" x14ac:dyDescent="0.2">
      <c r="A210" s="361"/>
      <c r="B210" s="361"/>
      <c r="C210" s="361"/>
      <c r="D210" s="361"/>
      <c r="E210" s="361"/>
      <c r="F210" s="361"/>
      <c r="J210" s="58"/>
    </row>
    <row r="211" spans="1:10" s="12" customFormat="1" x14ac:dyDescent="0.2">
      <c r="A211" s="359" t="s">
        <v>76</v>
      </c>
      <c r="B211" s="359"/>
      <c r="C211" s="359"/>
      <c r="D211" s="359"/>
      <c r="E211" s="359"/>
      <c r="F211" s="359"/>
      <c r="J211" s="58"/>
    </row>
    <row r="212" spans="1:10" s="12" customFormat="1" x14ac:dyDescent="0.2">
      <c r="A212" s="361"/>
      <c r="B212" s="361"/>
      <c r="C212" s="361"/>
      <c r="D212" s="361"/>
      <c r="E212" s="361"/>
      <c r="F212" s="361"/>
      <c r="J212" s="58"/>
    </row>
    <row r="213" spans="1:10" s="12" customFormat="1" x14ac:dyDescent="0.2">
      <c r="A213" s="359" t="s">
        <v>65</v>
      </c>
      <c r="B213" s="359"/>
      <c r="C213" s="359"/>
      <c r="D213" s="359"/>
      <c r="E213" s="33"/>
      <c r="F213" s="31" t="e">
        <f t="shared" ref="F213:F218" si="48">SUM(F145,F177)</f>
        <v>#REF!</v>
      </c>
      <c r="J213" s="58"/>
    </row>
    <row r="214" spans="1:10" s="12" customFormat="1" x14ac:dyDescent="0.2">
      <c r="A214" s="33" t="s">
        <v>78</v>
      </c>
      <c r="B214" s="33"/>
      <c r="C214" s="33"/>
      <c r="D214" s="33"/>
      <c r="E214" s="33"/>
      <c r="F214" s="31" t="e">
        <f t="shared" si="48"/>
        <v>#REF!</v>
      </c>
      <c r="J214" s="58"/>
    </row>
    <row r="215" spans="1:10" s="12" customFormat="1" x14ac:dyDescent="0.2">
      <c r="A215" s="359" t="s">
        <v>66</v>
      </c>
      <c r="B215" s="359"/>
      <c r="C215" s="359"/>
      <c r="D215" s="359"/>
      <c r="E215" s="33"/>
      <c r="F215" s="31" t="e">
        <f t="shared" si="48"/>
        <v>#REF!</v>
      </c>
      <c r="J215" s="58"/>
    </row>
    <row r="216" spans="1:10" s="12" customFormat="1" x14ac:dyDescent="0.2">
      <c r="A216" s="359" t="s">
        <v>67</v>
      </c>
      <c r="B216" s="359"/>
      <c r="C216" s="359"/>
      <c r="D216" s="359"/>
      <c r="E216" s="33"/>
      <c r="F216" s="31">
        <f t="shared" si="48"/>
        <v>0</v>
      </c>
      <c r="J216" s="58"/>
    </row>
    <row r="217" spans="1:10" s="12" customFormat="1" x14ac:dyDescent="0.2">
      <c r="A217" s="359" t="s">
        <v>68</v>
      </c>
      <c r="B217" s="359"/>
      <c r="C217" s="359"/>
      <c r="D217" s="359"/>
      <c r="E217" s="33"/>
      <c r="F217" s="31" t="e">
        <f t="shared" si="48"/>
        <v>#REF!</v>
      </c>
      <c r="J217" s="58"/>
    </row>
    <row r="218" spans="1:10" s="12" customFormat="1" x14ac:dyDescent="0.2">
      <c r="A218" s="33" t="s">
        <v>72</v>
      </c>
      <c r="B218" s="33"/>
      <c r="C218" s="33"/>
      <c r="D218" s="33"/>
      <c r="E218" s="33"/>
      <c r="F218" s="31">
        <f t="shared" si="48"/>
        <v>0</v>
      </c>
      <c r="J218" s="58"/>
    </row>
    <row r="219" spans="1:10" s="12" customFormat="1" x14ac:dyDescent="0.2">
      <c r="A219" s="33" t="s">
        <v>73</v>
      </c>
      <c r="B219" s="33"/>
      <c r="C219" s="33"/>
      <c r="D219" s="33"/>
      <c r="E219" s="33"/>
      <c r="F219" s="31">
        <f t="shared" ref="F219:F220" si="49">SUM(F152,F183)</f>
        <v>0</v>
      </c>
      <c r="J219" s="58"/>
    </row>
    <row r="220" spans="1:10" s="12" customFormat="1" x14ac:dyDescent="0.2">
      <c r="A220" s="36" t="s">
        <v>77</v>
      </c>
      <c r="B220" s="36"/>
      <c r="C220" s="36"/>
      <c r="D220" s="37"/>
      <c r="E220" s="37"/>
      <c r="F220" s="35">
        <f t="shared" si="49"/>
        <v>0</v>
      </c>
      <c r="J220" s="58"/>
    </row>
    <row r="221" spans="1:10" s="12" customFormat="1" x14ac:dyDescent="0.2">
      <c r="A221" s="360" t="s">
        <v>63</v>
      </c>
      <c r="B221" s="360"/>
      <c r="C221" s="360"/>
      <c r="D221" s="360"/>
      <c r="E221" s="33"/>
      <c r="F221" s="31" t="e">
        <f>SUM(F213:F220)</f>
        <v>#REF!</v>
      </c>
      <c r="J221" s="58"/>
    </row>
  </sheetData>
  <sheetProtection formatCells="0" formatColumns="0" formatRows="0" insertColumns="0" insertRows="0" insertHyperlinks="0" deleteColumns="0" deleteRows="0" sort="0" autoFilter="0" pivotTables="0"/>
  <autoFilter ref="A5:K71" xr:uid="{00000000-0009-0000-0000-000000000000}"/>
  <mergeCells count="83">
    <mergeCell ref="D4:D5"/>
    <mergeCell ref="C4:C5"/>
    <mergeCell ref="B36:B37"/>
    <mergeCell ref="A6:A10"/>
    <mergeCell ref="B6:B8"/>
    <mergeCell ref="B9:B10"/>
    <mergeCell ref="A15:A19"/>
    <mergeCell ref="B15:B17"/>
    <mergeCell ref="B18:B19"/>
    <mergeCell ref="B20:B22"/>
    <mergeCell ref="A28:A35"/>
    <mergeCell ref="B33:B35"/>
    <mergeCell ref="B28:B32"/>
    <mergeCell ref="A133:D133"/>
    <mergeCell ref="A42:A53"/>
    <mergeCell ref="B42:B53"/>
    <mergeCell ref="A54:A70"/>
    <mergeCell ref="B54:B70"/>
    <mergeCell ref="A71:C71"/>
    <mergeCell ref="A121:F121"/>
    <mergeCell ref="A122:F122"/>
    <mergeCell ref="A127:D127"/>
    <mergeCell ref="A128:D128"/>
    <mergeCell ref="A129:D129"/>
    <mergeCell ref="A131:D131"/>
    <mergeCell ref="A77:B116"/>
    <mergeCell ref="A164:D164"/>
    <mergeCell ref="A134:D134"/>
    <mergeCell ref="A140:F142"/>
    <mergeCell ref="A143:F143"/>
    <mergeCell ref="A144:F144"/>
    <mergeCell ref="A145:D145"/>
    <mergeCell ref="A147:D147"/>
    <mergeCell ref="A148:D148"/>
    <mergeCell ref="A149:D149"/>
    <mergeCell ref="A154:D154"/>
    <mergeCell ref="A158:F158"/>
    <mergeCell ref="A159:F159"/>
    <mergeCell ref="A181:D181"/>
    <mergeCell ref="A165:D165"/>
    <mergeCell ref="A166:D166"/>
    <mergeCell ref="A168:D168"/>
    <mergeCell ref="A170:D170"/>
    <mergeCell ref="A171:D171"/>
    <mergeCell ref="A172:F174"/>
    <mergeCell ref="A175:F175"/>
    <mergeCell ref="A176:F176"/>
    <mergeCell ref="A177:D177"/>
    <mergeCell ref="A179:D179"/>
    <mergeCell ref="A180:D180"/>
    <mergeCell ref="A212:F212"/>
    <mergeCell ref="A185:D185"/>
    <mergeCell ref="A191:F191"/>
    <mergeCell ref="A192:F192"/>
    <mergeCell ref="A197:D197"/>
    <mergeCell ref="A198:D198"/>
    <mergeCell ref="A199:D199"/>
    <mergeCell ref="A201:D201"/>
    <mergeCell ref="A203:D203"/>
    <mergeCell ref="A204:D204"/>
    <mergeCell ref="A208:F210"/>
    <mergeCell ref="A211:F211"/>
    <mergeCell ref="A213:D213"/>
    <mergeCell ref="A215:D215"/>
    <mergeCell ref="A216:D216"/>
    <mergeCell ref="A217:D217"/>
    <mergeCell ref="A221:D221"/>
    <mergeCell ref="A40:A41"/>
    <mergeCell ref="B40:B41"/>
    <mergeCell ref="B38:B39"/>
    <mergeCell ref="A38:A39"/>
    <mergeCell ref="A1:K1"/>
    <mergeCell ref="A27:C27"/>
    <mergeCell ref="A20:A23"/>
    <mergeCell ref="A12:A13"/>
    <mergeCell ref="B12:B13"/>
    <mergeCell ref="B4:B5"/>
    <mergeCell ref="A4:A5"/>
    <mergeCell ref="E4:H4"/>
    <mergeCell ref="I4:I5"/>
    <mergeCell ref="K4:K5"/>
    <mergeCell ref="J4:J5"/>
    <mergeCell ref="A36:A37"/>
  </mergeCells>
  <pageMargins left="0.74803149606299213" right="0.74803149606299213" top="0.98425196850393704" bottom="0.98425196850393704" header="0.51181102362204722" footer="0.51181102362204722"/>
  <pageSetup paperSize="8" scale="70" fitToWidth="0" fitToHeight="0" orientation="landscape" r:id="rId1"/>
  <headerFooter>
    <oddHeader>&amp;R1/a. számú melléklet</oddHeader>
  </headerFooter>
  <rowBreaks count="2" manualBreakCount="2">
    <brk id="71" max="16383" man="1"/>
    <brk id="18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47"/>
  <sheetViews>
    <sheetView workbookViewId="0">
      <pane xSplit="3" ySplit="5" topLeftCell="D73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07" t="s">
        <v>82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502" t="s">
        <v>19</v>
      </c>
      <c r="B4" s="504" t="s">
        <v>0</v>
      </c>
      <c r="C4" s="502" t="s">
        <v>44</v>
      </c>
      <c r="D4" s="502" t="s">
        <v>21</v>
      </c>
      <c r="E4" s="506" t="s">
        <v>142</v>
      </c>
      <c r="F4" s="508" t="s">
        <v>167</v>
      </c>
      <c r="G4" s="509"/>
      <c r="H4" s="509"/>
      <c r="I4" s="510"/>
      <c r="J4" s="506" t="s">
        <v>168</v>
      </c>
      <c r="K4" s="511" t="s">
        <v>169</v>
      </c>
      <c r="L4" s="512" t="s">
        <v>170</v>
      </c>
    </row>
    <row r="5" spans="1:12" ht="41.25" customHeight="1" x14ac:dyDescent="0.2">
      <c r="A5" s="503"/>
      <c r="B5" s="505"/>
      <c r="C5" s="503"/>
      <c r="D5" s="503"/>
      <c r="E5" s="507"/>
      <c r="F5" s="160" t="s">
        <v>43</v>
      </c>
      <c r="G5" s="161" t="s">
        <v>144</v>
      </c>
      <c r="H5" s="161" t="s">
        <v>163</v>
      </c>
      <c r="I5" s="161" t="s">
        <v>171</v>
      </c>
      <c r="J5" s="507"/>
      <c r="K5" s="511"/>
      <c r="L5" s="512"/>
    </row>
    <row r="6" spans="1:12" x14ac:dyDescent="0.2">
      <c r="A6" s="482" t="s">
        <v>38</v>
      </c>
      <c r="B6" s="378" t="s">
        <v>1</v>
      </c>
      <c r="C6" s="41" t="s">
        <v>41</v>
      </c>
      <c r="D6" s="42">
        <v>0</v>
      </c>
      <c r="E6" s="42">
        <v>40000</v>
      </c>
      <c r="F6" s="43">
        <v>1943</v>
      </c>
      <c r="G6" s="38"/>
      <c r="H6" s="38"/>
      <c r="I6" s="38"/>
      <c r="J6" s="4">
        <f t="shared" ref="J6:J30" si="0">SUM(E6:I6)</f>
        <v>41943</v>
      </c>
      <c r="K6" s="103">
        <v>41943</v>
      </c>
      <c r="L6" s="4">
        <f>J6-K6</f>
        <v>0</v>
      </c>
    </row>
    <row r="7" spans="1:12" x14ac:dyDescent="0.2">
      <c r="A7" s="482"/>
      <c r="B7" s="378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482"/>
      <c r="B8" s="378"/>
      <c r="C8" s="41" t="s">
        <v>40</v>
      </c>
      <c r="D8" s="42">
        <v>1500</v>
      </c>
      <c r="E8" s="42">
        <v>1857</v>
      </c>
      <c r="F8" s="43">
        <f>1643-1943</f>
        <v>-300</v>
      </c>
      <c r="G8" s="38"/>
      <c r="H8" s="38"/>
      <c r="I8" s="38"/>
      <c r="J8" s="4">
        <f t="shared" si="0"/>
        <v>1557</v>
      </c>
      <c r="K8" s="103">
        <v>1390</v>
      </c>
      <c r="L8" s="4">
        <f t="shared" si="1"/>
        <v>167</v>
      </c>
    </row>
    <row r="9" spans="1:12" x14ac:dyDescent="0.2">
      <c r="A9" s="482"/>
      <c r="B9" s="379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>
        <v>2346000</v>
      </c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482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83" t="s">
        <v>50</v>
      </c>
      <c r="B11" s="341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5650402</v>
      </c>
      <c r="L11" s="4">
        <f t="shared" si="1"/>
        <v>1354861</v>
      </c>
    </row>
    <row r="12" spans="1:12" x14ac:dyDescent="0.2">
      <c r="A12" s="484"/>
      <c r="B12" s="342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4230770</v>
      </c>
      <c r="L12" s="4">
        <f t="shared" si="1"/>
        <v>269230</v>
      </c>
    </row>
    <row r="13" spans="1:12" x14ac:dyDescent="0.2">
      <c r="A13" s="164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15886125</v>
      </c>
      <c r="L13" s="4">
        <f t="shared" si="1"/>
        <v>3860375</v>
      </c>
    </row>
    <row r="14" spans="1:12" x14ac:dyDescent="0.2">
      <c r="A14" s="16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13162837</v>
      </c>
      <c r="L14" s="4">
        <f>J14-K14</f>
        <v>3096113</v>
      </c>
    </row>
    <row r="15" spans="1:12" x14ac:dyDescent="0.2">
      <c r="A15" s="483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485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485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485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485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486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7259205</v>
      </c>
      <c r="L20" s="4">
        <f t="shared" si="1"/>
        <v>29955607</v>
      </c>
    </row>
    <row r="21" spans="1:13" x14ac:dyDescent="0.2">
      <c r="A21" s="487"/>
      <c r="B21" s="382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487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487"/>
      <c r="B23" s="341" t="s">
        <v>17</v>
      </c>
      <c r="C23" s="41" t="s">
        <v>41</v>
      </c>
      <c r="D23" s="42">
        <v>0</v>
      </c>
      <c r="E23" s="42">
        <v>300</v>
      </c>
      <c r="F23" s="43">
        <v>-300</v>
      </c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488"/>
      <c r="B24" s="342"/>
      <c r="C24" s="41" t="s">
        <v>40</v>
      </c>
      <c r="D24" s="42">
        <v>800</v>
      </c>
      <c r="E24" s="42">
        <v>500</v>
      </c>
      <c r="F24" s="43">
        <v>300</v>
      </c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393" t="s">
        <v>132</v>
      </c>
      <c r="B25" s="470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394"/>
      <c r="B26" s="471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395"/>
      <c r="B27" s="163" t="s">
        <v>128</v>
      </c>
      <c r="C27" s="126" t="s">
        <v>41</v>
      </c>
      <c r="D27" s="42">
        <v>0</v>
      </c>
      <c r="E27" s="42">
        <v>1643</v>
      </c>
      <c r="F27" s="43">
        <v>-1643</v>
      </c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/>
      <c r="J28" s="4">
        <f t="shared" si="0"/>
        <v>289535306</v>
      </c>
      <c r="K28" s="103">
        <v>235885991</v>
      </c>
      <c r="L28" s="4">
        <f t="shared" si="1"/>
        <v>53649315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1917505</v>
      </c>
      <c r="L29" s="4">
        <f t="shared" si="1"/>
        <v>1279053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37172478</v>
      </c>
      <c r="L30" s="4">
        <f t="shared" si="1"/>
        <v>10330194</v>
      </c>
    </row>
    <row r="31" spans="1:13" ht="34.5" customHeight="1" x14ac:dyDescent="0.2">
      <c r="A31" s="479" t="s">
        <v>85</v>
      </c>
      <c r="B31" s="480"/>
      <c r="C31" s="481"/>
      <c r="D31" s="138">
        <f t="shared" ref="D31:L31" si="2">SUM(D6:D30)</f>
        <v>426209554</v>
      </c>
      <c r="E31" s="138">
        <f t="shared" si="2"/>
        <v>519398064</v>
      </c>
      <c r="F31" s="138">
        <f t="shared" si="2"/>
        <v>0</v>
      </c>
      <c r="G31" s="138">
        <f t="shared" si="2"/>
        <v>0</v>
      </c>
      <c r="H31" s="138">
        <f t="shared" si="2"/>
        <v>0</v>
      </c>
      <c r="I31" s="138">
        <f t="shared" si="2"/>
        <v>2346000</v>
      </c>
      <c r="J31" s="138">
        <f t="shared" si="2"/>
        <v>521744064</v>
      </c>
      <c r="K31" s="139">
        <f t="shared" si="2"/>
        <v>417948349</v>
      </c>
      <c r="L31" s="138">
        <f t="shared" si="2"/>
        <v>103795715</v>
      </c>
    </row>
    <row r="32" spans="1:13" ht="12.75" customHeight="1" x14ac:dyDescent="0.2">
      <c r="A32" s="393" t="s">
        <v>18</v>
      </c>
      <c r="B32" s="384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394"/>
      <c r="B33" s="385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94"/>
      <c r="B34" s="385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94"/>
      <c r="B35" s="385"/>
      <c r="C35" s="39" t="s">
        <v>2</v>
      </c>
      <c r="D35" s="38">
        <v>17684057</v>
      </c>
      <c r="E35" s="38">
        <v>17414958</v>
      </c>
      <c r="F35" s="40">
        <f>-1319-1900</f>
        <v>-3219</v>
      </c>
      <c r="G35" s="38"/>
      <c r="H35" s="38"/>
      <c r="I35" s="38">
        <v>1847244</v>
      </c>
      <c r="J35" s="4">
        <f t="shared" si="3"/>
        <v>19258983</v>
      </c>
      <c r="K35" s="105">
        <v>6714450</v>
      </c>
      <c r="L35" s="4">
        <f t="shared" si="4"/>
        <v>12544533</v>
      </c>
    </row>
    <row r="36" spans="1:12" x14ac:dyDescent="0.2">
      <c r="A36" s="394"/>
      <c r="B36" s="385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94"/>
      <c r="B37" s="385"/>
      <c r="C37" s="41" t="s">
        <v>11</v>
      </c>
      <c r="D37" s="38">
        <v>60264</v>
      </c>
      <c r="E37" s="38">
        <v>94650</v>
      </c>
      <c r="F37" s="40"/>
      <c r="G37" s="38"/>
      <c r="H37" s="38"/>
      <c r="I37" s="38">
        <v>498756</v>
      </c>
      <c r="J37" s="4">
        <f t="shared" si="3"/>
        <v>593406</v>
      </c>
      <c r="K37" s="105">
        <v>76105</v>
      </c>
      <c r="L37" s="4">
        <f t="shared" si="4"/>
        <v>517301</v>
      </c>
    </row>
    <row r="38" spans="1:12" x14ac:dyDescent="0.2">
      <c r="A38" s="394"/>
      <c r="B38" s="385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94"/>
      <c r="B39" s="386"/>
      <c r="C39" s="41" t="s">
        <v>12</v>
      </c>
      <c r="D39" s="38">
        <v>0</v>
      </c>
      <c r="E39" s="38">
        <v>80000</v>
      </c>
      <c r="F39" s="40">
        <f>1319+1900</f>
        <v>3219</v>
      </c>
      <c r="G39" s="38"/>
      <c r="H39" s="38"/>
      <c r="I39" s="38"/>
      <c r="J39" s="4">
        <f t="shared" si="3"/>
        <v>83219</v>
      </c>
      <c r="K39" s="105">
        <v>83219</v>
      </c>
      <c r="L39" s="120">
        <f t="shared" si="4"/>
        <v>0</v>
      </c>
    </row>
    <row r="40" spans="1:12" x14ac:dyDescent="0.2">
      <c r="A40" s="394"/>
      <c r="B40" s="341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94"/>
      <c r="B41" s="383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94"/>
      <c r="B42" s="383"/>
      <c r="C42" s="39" t="s">
        <v>3</v>
      </c>
      <c r="D42" s="38">
        <v>313437148</v>
      </c>
      <c r="E42" s="38">
        <v>342702536</v>
      </c>
      <c r="F42" s="43"/>
      <c r="G42" s="38"/>
      <c r="H42" s="38"/>
      <c r="I42" s="38"/>
      <c r="J42" s="4">
        <f t="shared" si="3"/>
        <v>342702536</v>
      </c>
      <c r="K42" s="105">
        <v>270590925</v>
      </c>
      <c r="L42" s="4">
        <f t="shared" si="4"/>
        <v>72111611</v>
      </c>
    </row>
    <row r="43" spans="1:12" x14ac:dyDescent="0.2">
      <c r="A43" s="395"/>
      <c r="B43" s="167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339" t="s">
        <v>24</v>
      </c>
      <c r="B44" s="341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340"/>
      <c r="B45" s="342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339" t="s">
        <v>30</v>
      </c>
      <c r="B46" s="341" t="s">
        <v>4</v>
      </c>
      <c r="C46" s="41" t="s">
        <v>23</v>
      </c>
      <c r="D46" s="38">
        <v>12736500</v>
      </c>
      <c r="E46" s="38">
        <v>12736500</v>
      </c>
      <c r="F46" s="40"/>
      <c r="G46" s="38"/>
      <c r="H46" s="38"/>
      <c r="I46" s="38"/>
      <c r="J46" s="4">
        <f t="shared" si="3"/>
        <v>12736500</v>
      </c>
      <c r="K46" s="105">
        <v>12676500</v>
      </c>
      <c r="L46" s="4">
        <f t="shared" si="4"/>
        <v>60000</v>
      </c>
    </row>
    <row r="47" spans="1:12" x14ac:dyDescent="0.2">
      <c r="A47" s="340"/>
      <c r="B47" s="342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339" t="s">
        <v>138</v>
      </c>
      <c r="B48" s="368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358"/>
      <c r="B49" s="369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12194213</v>
      </c>
      <c r="L49" s="4">
        <f>J49-K49</f>
        <v>4064737</v>
      </c>
    </row>
    <row r="50" spans="1:12" x14ac:dyDescent="0.2">
      <c r="A50" s="339" t="s">
        <v>48</v>
      </c>
      <c r="B50" s="368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7"/>
      <c r="B51" s="369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67"/>
      <c r="B52" s="369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7"/>
      <c r="B53" s="369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367"/>
      <c r="B54" s="369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7"/>
      <c r="B55" s="369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367"/>
      <c r="B56" s="369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7"/>
      <c r="B57" s="369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7"/>
      <c r="B58" s="369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7"/>
      <c r="B59" s="369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67"/>
      <c r="B60" s="369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67"/>
      <c r="B61" s="369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339" t="s">
        <v>49</v>
      </c>
      <c r="B62" s="162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367"/>
      <c r="B63" s="392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700000</v>
      </c>
      <c r="L63" s="4">
        <f t="shared" si="4"/>
        <v>270000</v>
      </c>
    </row>
    <row r="64" spans="1:12" x14ac:dyDescent="0.2">
      <c r="A64" s="367"/>
      <c r="B64" s="392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736000</v>
      </c>
      <c r="L64" s="4">
        <f t="shared" si="4"/>
        <v>10055000</v>
      </c>
    </row>
    <row r="65" spans="1:12" x14ac:dyDescent="0.2">
      <c r="A65" s="367"/>
      <c r="B65" s="392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132300</v>
      </c>
      <c r="L65" s="4">
        <f t="shared" si="4"/>
        <v>2979982</v>
      </c>
    </row>
    <row r="66" spans="1:12" x14ac:dyDescent="0.2">
      <c r="A66" s="367"/>
      <c r="B66" s="392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67"/>
      <c r="B67" s="392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367"/>
      <c r="B68" s="392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367"/>
      <c r="B69" s="392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367"/>
      <c r="B70" s="392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2436000</v>
      </c>
      <c r="L70" s="4">
        <f t="shared" si="4"/>
        <v>11563992</v>
      </c>
    </row>
    <row r="71" spans="1:12" x14ac:dyDescent="0.2">
      <c r="A71" s="367"/>
      <c r="B71" s="392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367"/>
      <c r="B72" s="392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657720</v>
      </c>
      <c r="L72" s="4">
        <f t="shared" si="4"/>
        <v>4470201</v>
      </c>
    </row>
    <row r="73" spans="1:12" x14ac:dyDescent="0.2">
      <c r="A73" s="367"/>
      <c r="B73" s="392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367"/>
      <c r="B74" s="392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367"/>
      <c r="B75" s="392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367"/>
      <c r="B76" s="392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367"/>
      <c r="B77" s="392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367"/>
      <c r="B78" s="392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367"/>
      <c r="B79" s="392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340"/>
      <c r="B80" s="392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476" t="s">
        <v>127</v>
      </c>
      <c r="B81" s="470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2109656</v>
      </c>
      <c r="L81" s="4">
        <f t="shared" si="4"/>
        <v>1054828</v>
      </c>
    </row>
    <row r="82" spans="1:13" x14ac:dyDescent="0.2">
      <c r="A82" s="477"/>
      <c r="B82" s="475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369188</v>
      </c>
      <c r="L82" s="4">
        <f t="shared" si="4"/>
        <v>184595</v>
      </c>
    </row>
    <row r="83" spans="1:13" x14ac:dyDescent="0.2">
      <c r="A83" s="477"/>
      <c r="B83" s="475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477"/>
      <c r="B84" s="475"/>
      <c r="C84" s="131" t="s">
        <v>33</v>
      </c>
      <c r="D84" s="42">
        <v>0</v>
      </c>
      <c r="E84" s="42">
        <v>0</v>
      </c>
      <c r="F84" s="43">
        <v>27244</v>
      </c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477"/>
      <c r="B85" s="475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477"/>
      <c r="B86" s="475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477"/>
      <c r="B87" s="475"/>
      <c r="C87" s="131" t="s">
        <v>2</v>
      </c>
      <c r="D87" s="42">
        <v>0</v>
      </c>
      <c r="E87" s="42">
        <v>4081364</v>
      </c>
      <c r="F87" s="43">
        <v>-93805</v>
      </c>
      <c r="G87" s="38"/>
      <c r="H87" s="38"/>
      <c r="I87" s="38"/>
      <c r="J87" s="4">
        <f t="shared" si="3"/>
        <v>3987559</v>
      </c>
      <c r="K87" s="105">
        <v>3279685</v>
      </c>
      <c r="L87" s="4">
        <f t="shared" si="4"/>
        <v>707874</v>
      </c>
      <c r="M87" s="166"/>
    </row>
    <row r="88" spans="1:13" x14ac:dyDescent="0.2">
      <c r="A88" s="477"/>
      <c r="B88" s="475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477"/>
      <c r="B89" s="475"/>
      <c r="C89" s="131" t="s">
        <v>11</v>
      </c>
      <c r="D89" s="42">
        <v>0</v>
      </c>
      <c r="E89" s="42">
        <v>1053317</v>
      </c>
      <c r="F89" s="43">
        <f>7356-795</f>
        <v>6561</v>
      </c>
      <c r="G89" s="38"/>
      <c r="H89" s="38"/>
      <c r="I89" s="38"/>
      <c r="J89" s="4">
        <f t="shared" si="3"/>
        <v>1059878</v>
      </c>
      <c r="K89" s="105">
        <v>665117</v>
      </c>
      <c r="L89" s="120">
        <f t="shared" si="4"/>
        <v>394761</v>
      </c>
      <c r="M89" s="166"/>
    </row>
    <row r="90" spans="1:13" x14ac:dyDescent="0.2">
      <c r="A90" s="477"/>
      <c r="B90" s="475"/>
      <c r="C90" s="131" t="s">
        <v>12</v>
      </c>
      <c r="D90" s="42">
        <v>0</v>
      </c>
      <c r="E90" s="42">
        <v>840000</v>
      </c>
      <c r="F90" s="43">
        <v>60000</v>
      </c>
      <c r="G90" s="38"/>
      <c r="H90" s="38"/>
      <c r="I90" s="38"/>
      <c r="J90" s="4">
        <f t="shared" si="3"/>
        <v>900000</v>
      </c>
      <c r="K90" s="105">
        <v>100000</v>
      </c>
      <c r="L90" s="4">
        <f t="shared" si="4"/>
        <v>800000</v>
      </c>
      <c r="M90" s="166"/>
    </row>
    <row r="91" spans="1:13" x14ac:dyDescent="0.2">
      <c r="A91" s="477"/>
      <c r="B91" s="475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0</v>
      </c>
      <c r="L91" s="4">
        <f t="shared" si="4"/>
        <v>262453</v>
      </c>
      <c r="M91" s="166"/>
    </row>
    <row r="92" spans="1:13" x14ac:dyDescent="0.2">
      <c r="A92" s="477"/>
      <c r="B92" s="475"/>
      <c r="C92" s="131" t="s">
        <v>32</v>
      </c>
      <c r="D92" s="42">
        <v>0</v>
      </c>
      <c r="E92" s="42">
        <v>376800</v>
      </c>
      <c r="F92" s="43"/>
      <c r="G92" s="38"/>
      <c r="H92" s="38"/>
      <c r="I92" s="38"/>
      <c r="J92" s="4">
        <f t="shared" si="3"/>
        <v>376800</v>
      </c>
      <c r="K92" s="105">
        <v>0</v>
      </c>
      <c r="L92" s="4">
        <f t="shared" si="4"/>
        <v>376800</v>
      </c>
      <c r="M92" s="166"/>
    </row>
    <row r="93" spans="1:13" ht="13.5" customHeight="1" x14ac:dyDescent="0.2">
      <c r="A93" s="477"/>
      <c r="B93" s="475"/>
      <c r="C93" s="131" t="s">
        <v>13</v>
      </c>
      <c r="D93" s="42">
        <v>0</v>
      </c>
      <c r="E93" s="42">
        <v>7700200</v>
      </c>
      <c r="F93" s="43"/>
      <c r="G93" s="38"/>
      <c r="H93" s="38"/>
      <c r="I93" s="38"/>
      <c r="J93" s="4">
        <f t="shared" si="3"/>
        <v>7700200</v>
      </c>
      <c r="K93" s="105">
        <v>0</v>
      </c>
      <c r="L93" s="4">
        <f t="shared" si="4"/>
        <v>7700200</v>
      </c>
    </row>
    <row r="94" spans="1:13" ht="13.5" customHeight="1" x14ac:dyDescent="0.2">
      <c r="A94" s="477"/>
      <c r="B94" s="475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0</v>
      </c>
      <c r="L94" s="4">
        <f t="shared" si="4"/>
        <v>2251652</v>
      </c>
    </row>
    <row r="95" spans="1:13" x14ac:dyDescent="0.2">
      <c r="A95" s="477"/>
      <c r="B95" s="475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478"/>
      <c r="B96" s="471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479" t="s">
        <v>86</v>
      </c>
      <c r="B97" s="480"/>
      <c r="C97" s="481"/>
      <c r="D97" s="138">
        <f t="shared" ref="D97:L97" si="5">SUM(D32:D96)</f>
        <v>426209554</v>
      </c>
      <c r="E97" s="138">
        <f t="shared" si="5"/>
        <v>519398064</v>
      </c>
      <c r="F97" s="138">
        <f t="shared" si="5"/>
        <v>0</v>
      </c>
      <c r="G97" s="138">
        <f t="shared" si="5"/>
        <v>0</v>
      </c>
      <c r="H97" s="138">
        <f t="shared" si="5"/>
        <v>0</v>
      </c>
      <c r="I97" s="138">
        <f t="shared" si="5"/>
        <v>2346000</v>
      </c>
      <c r="J97" s="138">
        <f t="shared" si="5"/>
        <v>521744064</v>
      </c>
      <c r="K97" s="138">
        <f t="shared" si="5"/>
        <v>336391130</v>
      </c>
      <c r="L97" s="138">
        <f t="shared" si="5"/>
        <v>185352934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43769</v>
      </c>
      <c r="L102" s="55"/>
    </row>
    <row r="103" spans="1:12" s="85" customFormat="1" ht="33.75" x14ac:dyDescent="0.2">
      <c r="A103" s="387" t="s">
        <v>101</v>
      </c>
      <c r="B103" s="388"/>
      <c r="C103" s="84" t="s">
        <v>44</v>
      </c>
      <c r="D103" s="86" t="s">
        <v>21</v>
      </c>
      <c r="E103" s="86" t="s">
        <v>142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86" t="s">
        <v>168</v>
      </c>
      <c r="K103" s="106" t="s">
        <v>169</v>
      </c>
    </row>
    <row r="104" spans="1:12" x14ac:dyDescent="0.2">
      <c r="A104" s="389"/>
      <c r="B104" s="376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436767813</v>
      </c>
      <c r="F104" s="4">
        <f t="shared" si="6"/>
        <v>0</v>
      </c>
      <c r="G104" s="4">
        <f t="shared" si="6"/>
        <v>0</v>
      </c>
      <c r="H104" s="4">
        <f t="shared" si="6"/>
        <v>0</v>
      </c>
      <c r="I104" s="4">
        <f t="shared" si="6"/>
        <v>2346000</v>
      </c>
      <c r="J104" s="4">
        <f t="shared" si="6"/>
        <v>439113813</v>
      </c>
      <c r="K104" s="4">
        <f t="shared" si="6"/>
        <v>335588295</v>
      </c>
    </row>
    <row r="105" spans="1:12" x14ac:dyDescent="0.2">
      <c r="A105" s="389"/>
      <c r="B105" s="376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54261340</v>
      </c>
    </row>
    <row r="106" spans="1:12" x14ac:dyDescent="0.2">
      <c r="A106" s="389"/>
      <c r="B106" s="376"/>
      <c r="C106" s="63" t="s">
        <v>27</v>
      </c>
      <c r="D106" s="4">
        <f t="shared" ref="D106:I107" si="8">D6</f>
        <v>0</v>
      </c>
      <c r="E106" s="4">
        <f t="shared" si="8"/>
        <v>40000</v>
      </c>
      <c r="F106" s="4">
        <v>0</v>
      </c>
      <c r="G106" s="4">
        <f t="shared" si="8"/>
        <v>0</v>
      </c>
      <c r="H106" s="4">
        <f t="shared" si="8"/>
        <v>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389"/>
      <c r="B107" s="376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389"/>
      <c r="B108" s="376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1390</v>
      </c>
    </row>
    <row r="109" spans="1:12" x14ac:dyDescent="0.2">
      <c r="A109" s="389"/>
      <c r="B109" s="376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0</v>
      </c>
      <c r="I109" s="4">
        <f t="shared" si="10"/>
        <v>0</v>
      </c>
      <c r="J109" s="4">
        <f t="shared" si="10"/>
        <v>41943</v>
      </c>
      <c r="K109" s="4">
        <f>K19+K23+K6+K27</f>
        <v>41943</v>
      </c>
    </row>
    <row r="110" spans="1:12" x14ac:dyDescent="0.2">
      <c r="A110" s="389"/>
      <c r="B110" s="376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0</v>
      </c>
      <c r="I110" s="66">
        <f t="shared" si="11"/>
        <v>0</v>
      </c>
      <c r="J110" s="66">
        <f t="shared" si="11"/>
        <v>55100</v>
      </c>
      <c r="K110" s="66">
        <f>K24+K23+K19+K18+K8+K7+K6+K27</f>
        <v>54133</v>
      </c>
      <c r="L110" s="1"/>
    </row>
    <row r="111" spans="1:12" x14ac:dyDescent="0.2">
      <c r="A111" s="389"/>
      <c r="B111" s="376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389"/>
      <c r="B112" s="376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389"/>
      <c r="B113" s="376"/>
      <c r="C113" s="65" t="s">
        <v>102</v>
      </c>
      <c r="D113" s="66">
        <f t="shared" ref="D113:K113" si="14">D31</f>
        <v>426209554</v>
      </c>
      <c r="E113" s="66">
        <f t="shared" si="14"/>
        <v>519398064</v>
      </c>
      <c r="F113" s="66">
        <f t="shared" si="14"/>
        <v>0</v>
      </c>
      <c r="G113" s="66">
        <f t="shared" si="14"/>
        <v>0</v>
      </c>
      <c r="H113" s="66">
        <f t="shared" si="14"/>
        <v>0</v>
      </c>
      <c r="I113" s="66">
        <f t="shared" si="14"/>
        <v>2346000</v>
      </c>
      <c r="J113" s="66">
        <f t="shared" si="14"/>
        <v>521744064</v>
      </c>
      <c r="K113" s="66">
        <f t="shared" si="14"/>
        <v>417948349</v>
      </c>
      <c r="L113" s="1"/>
    </row>
    <row r="114" spans="1:12" x14ac:dyDescent="0.2">
      <c r="A114" s="389"/>
      <c r="B114" s="376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2809656</v>
      </c>
    </row>
    <row r="115" spans="1:12" x14ac:dyDescent="0.2">
      <c r="A115" s="389"/>
      <c r="B115" s="376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736000</v>
      </c>
    </row>
    <row r="116" spans="1:12" x14ac:dyDescent="0.2">
      <c r="A116" s="389"/>
      <c r="B116" s="376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3545656</v>
      </c>
      <c r="L116" s="1"/>
    </row>
    <row r="117" spans="1:12" x14ac:dyDescent="0.2">
      <c r="A117" s="389"/>
      <c r="B117" s="376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501488</v>
      </c>
      <c r="L117" s="1"/>
    </row>
    <row r="118" spans="1:12" x14ac:dyDescent="0.2">
      <c r="A118" s="389"/>
      <c r="B118" s="376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389"/>
      <c r="B119" s="376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389"/>
      <c r="B120" s="376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389"/>
      <c r="B121" s="376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389"/>
      <c r="B122" s="376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389"/>
      <c r="B123" s="376"/>
      <c r="C123" s="63" t="s">
        <v>2</v>
      </c>
      <c r="D123" s="4">
        <f t="shared" ref="D123:K123" si="24">D70+D53+D35+D62+D87</f>
        <v>31883770</v>
      </c>
      <c r="E123" s="4">
        <f t="shared" si="24"/>
        <v>35596035</v>
      </c>
      <c r="F123" s="4">
        <f>F70+F53+F35+F62+F87</f>
        <v>-97024</v>
      </c>
      <c r="G123" s="4">
        <f t="shared" si="24"/>
        <v>0</v>
      </c>
      <c r="H123" s="4">
        <f t="shared" si="24"/>
        <v>0</v>
      </c>
      <c r="I123" s="4">
        <f t="shared" si="24"/>
        <v>1847244</v>
      </c>
      <c r="J123" s="4">
        <f t="shared" si="24"/>
        <v>37346255</v>
      </c>
      <c r="K123" s="4">
        <f t="shared" si="24"/>
        <v>12430643</v>
      </c>
    </row>
    <row r="124" spans="1:12" x14ac:dyDescent="0.2">
      <c r="A124" s="389"/>
      <c r="B124" s="376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389"/>
      <c r="B125" s="376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389"/>
      <c r="B126" s="376"/>
      <c r="C126" s="63" t="s">
        <v>11</v>
      </c>
      <c r="D126" s="4">
        <f t="shared" ref="D126:I126" si="27">D72+D54+D37</f>
        <v>5188185</v>
      </c>
      <c r="E126" s="4">
        <f t="shared" si="27"/>
        <v>5222571</v>
      </c>
      <c r="F126" s="4">
        <f>F72+F54+F37+F89</f>
        <v>6561</v>
      </c>
      <c r="G126" s="4">
        <f t="shared" si="27"/>
        <v>0</v>
      </c>
      <c r="H126" s="4">
        <f t="shared" si="27"/>
        <v>0</v>
      </c>
      <c r="I126" s="4">
        <f t="shared" si="27"/>
        <v>498756</v>
      </c>
      <c r="J126" s="4">
        <f>J72+J54+J37+J89</f>
        <v>6781205</v>
      </c>
      <c r="K126" s="4">
        <f>K72+K54+K37+K89</f>
        <v>1398942</v>
      </c>
    </row>
    <row r="127" spans="1:12" x14ac:dyDescent="0.2">
      <c r="A127" s="389"/>
      <c r="B127" s="376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389"/>
      <c r="B128" s="376"/>
      <c r="C128" s="63" t="s">
        <v>12</v>
      </c>
      <c r="D128" s="4">
        <f t="shared" ref="D128:J128" si="29">D73+D55+D90+D39+D43</f>
        <v>229492</v>
      </c>
      <c r="E128" s="4">
        <f t="shared" si="29"/>
        <v>1249492</v>
      </c>
      <c r="F128" s="4">
        <f>F73+F55+F90+F39+F43</f>
        <v>63219</v>
      </c>
      <c r="G128" s="4">
        <f t="shared" si="29"/>
        <v>0</v>
      </c>
      <c r="H128" s="4">
        <f t="shared" si="29"/>
        <v>0</v>
      </c>
      <c r="I128" s="4">
        <f t="shared" si="29"/>
        <v>0</v>
      </c>
      <c r="J128" s="4">
        <f t="shared" si="29"/>
        <v>1312711</v>
      </c>
      <c r="K128" s="4">
        <f>K73+K55+K90+K39+K43</f>
        <v>283219</v>
      </c>
    </row>
    <row r="129" spans="1:12" x14ac:dyDescent="0.2">
      <c r="A129" s="389"/>
      <c r="B129" s="376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56333549</v>
      </c>
      <c r="F129" s="66">
        <f>F73+F72+F71+F70+F69+F68+F67+F66+F55+F54+F53+F52+F38+F37+F35+F33+F32+F62+F36+F85+F87+F90+F89+F83+F39+F34+F86+F88+F43+F84</f>
        <v>0</v>
      </c>
      <c r="G129" s="66">
        <f t="shared" si="30"/>
        <v>0</v>
      </c>
      <c r="H129" s="66">
        <f t="shared" si="30"/>
        <v>0</v>
      </c>
      <c r="I129" s="66">
        <f t="shared" si="30"/>
        <v>2346000</v>
      </c>
      <c r="J129" s="66">
        <f t="shared" si="30"/>
        <v>58652305</v>
      </c>
      <c r="K129" s="66">
        <f>K73+K72+K71+K70+K69+K68+K67+K66+K55+K54+K53+K52+K38+K37+K35+K33+K32+K62+K36+K85+K87+K90+K89+K83+K39+K34+K86+K88+K43+K84</f>
        <v>17502774</v>
      </c>
      <c r="L129" s="1"/>
    </row>
    <row r="130" spans="1:12" x14ac:dyDescent="0.2">
      <c r="A130" s="389"/>
      <c r="B130" s="376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389"/>
      <c r="B131" s="376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19745283</v>
      </c>
      <c r="K131" s="135">
        <f t="shared" si="32"/>
        <v>17986863</v>
      </c>
    </row>
    <row r="132" spans="1:12" x14ac:dyDescent="0.2">
      <c r="A132" s="389"/>
      <c r="B132" s="376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12244213</v>
      </c>
    </row>
    <row r="133" spans="1:12" x14ac:dyDescent="0.2">
      <c r="A133" s="389"/>
      <c r="B133" s="376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36054233</v>
      </c>
      <c r="K133" s="109">
        <f t="shared" si="34"/>
        <v>30231076</v>
      </c>
      <c r="L133" s="1"/>
    </row>
    <row r="134" spans="1:12" x14ac:dyDescent="0.2">
      <c r="A134" s="389"/>
      <c r="B134" s="376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704400</v>
      </c>
    </row>
    <row r="135" spans="1:12" x14ac:dyDescent="0.2">
      <c r="A135" s="389"/>
      <c r="B135" s="376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2194896</v>
      </c>
      <c r="K135" s="4">
        <f>K57+K76+K92</f>
        <v>1818096</v>
      </c>
    </row>
    <row r="136" spans="1:12" x14ac:dyDescent="0.2">
      <c r="A136" s="389"/>
      <c r="B136" s="376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10378760</v>
      </c>
      <c r="K136" s="4">
        <f t="shared" si="37"/>
        <v>2568661</v>
      </c>
    </row>
    <row r="137" spans="1:12" x14ac:dyDescent="0.2">
      <c r="A137" s="389"/>
      <c r="B137" s="376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1374613</v>
      </c>
    </row>
    <row r="138" spans="1:12" x14ac:dyDescent="0.2">
      <c r="A138" s="389"/>
      <c r="B138" s="376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6465770</v>
      </c>
      <c r="L138" s="1"/>
    </row>
    <row r="139" spans="1:12" x14ac:dyDescent="0.2">
      <c r="A139" s="389"/>
      <c r="B139" s="376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389"/>
      <c r="B140" s="376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389"/>
      <c r="B141" s="376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389"/>
      <c r="B142" s="376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389"/>
      <c r="B143" s="376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0</v>
      </c>
      <c r="H143" s="67">
        <f t="shared" si="42"/>
        <v>0</v>
      </c>
      <c r="I143" s="67">
        <f t="shared" si="42"/>
        <v>0</v>
      </c>
      <c r="J143" s="67">
        <f t="shared" si="42"/>
        <v>342702536</v>
      </c>
      <c r="K143" s="111">
        <f t="shared" si="42"/>
        <v>270590925</v>
      </c>
      <c r="L143" s="1"/>
    </row>
    <row r="144" spans="1:12" x14ac:dyDescent="0.2">
      <c r="A144" s="390"/>
      <c r="B144" s="391"/>
      <c r="C144" s="65" t="s">
        <v>99</v>
      </c>
      <c r="D144" s="66">
        <f>D97</f>
        <v>426209554</v>
      </c>
      <c r="E144" s="66">
        <f t="shared" ref="E144:K144" si="43">E97</f>
        <v>519398064</v>
      </c>
      <c r="F144" s="66">
        <f t="shared" si="43"/>
        <v>0</v>
      </c>
      <c r="G144" s="66">
        <f t="shared" si="43"/>
        <v>0</v>
      </c>
      <c r="H144" s="66">
        <f t="shared" si="43"/>
        <v>0</v>
      </c>
      <c r="I144" s="66">
        <f t="shared" si="43"/>
        <v>2346000</v>
      </c>
      <c r="J144" s="66">
        <f t="shared" si="43"/>
        <v>521744064</v>
      </c>
      <c r="K144" s="66">
        <f t="shared" si="43"/>
        <v>336391130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B44:B45"/>
    <mergeCell ref="A32:A43"/>
    <mergeCell ref="B18:B19"/>
    <mergeCell ref="A20:A24"/>
    <mergeCell ref="B20:B22"/>
    <mergeCell ref="B23:B24"/>
    <mergeCell ref="A25:A27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B25:B26"/>
    <mergeCell ref="A31:C31"/>
    <mergeCell ref="B32:B39"/>
    <mergeCell ref="B40:B42"/>
    <mergeCell ref="A44:A45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32"/>
  <sheetViews>
    <sheetView zoomScaleSheetLayoutView="100" workbookViewId="0">
      <pane xSplit="3" ySplit="5" topLeftCell="D18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6" width="12.7109375" customWidth="1"/>
    <col min="7" max="10" width="10.42578125" customWidth="1"/>
    <col min="11" max="11" width="11" customWidth="1"/>
    <col min="12" max="12" width="12.85546875" customWidth="1"/>
    <col min="13" max="13" width="13.5703125" style="101" customWidth="1"/>
    <col min="14" max="14" width="12.42578125" customWidth="1"/>
  </cols>
  <sheetData>
    <row r="1" spans="1:14" x14ac:dyDescent="0.2">
      <c r="A1" s="513" t="s">
        <v>82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  <c r="M1" s="514"/>
      <c r="N1" s="514"/>
    </row>
    <row r="2" spans="1:14" x14ac:dyDescent="0.2">
      <c r="F2" s="2"/>
    </row>
    <row r="3" spans="1:14" x14ac:dyDescent="0.2">
      <c r="E3" s="5"/>
      <c r="F3" s="3"/>
      <c r="M3" s="102"/>
    </row>
    <row r="4" spans="1:14" x14ac:dyDescent="0.2">
      <c r="A4" s="515" t="s">
        <v>19</v>
      </c>
      <c r="B4" s="517" t="s">
        <v>0</v>
      </c>
      <c r="C4" s="515" t="s">
        <v>44</v>
      </c>
      <c r="D4" s="515" t="s">
        <v>21</v>
      </c>
      <c r="E4" s="519" t="s">
        <v>142</v>
      </c>
      <c r="F4" s="521" t="s">
        <v>143</v>
      </c>
      <c r="G4" s="522"/>
      <c r="H4" s="522"/>
      <c r="I4" s="522"/>
      <c r="J4" s="522"/>
      <c r="K4" s="523"/>
      <c r="L4" s="519" t="s">
        <v>172</v>
      </c>
      <c r="M4" s="524" t="s">
        <v>169</v>
      </c>
      <c r="N4" s="525" t="s">
        <v>84</v>
      </c>
    </row>
    <row r="5" spans="1:14" ht="41.25" customHeight="1" x14ac:dyDescent="0.2">
      <c r="A5" s="516"/>
      <c r="B5" s="518"/>
      <c r="C5" s="516"/>
      <c r="D5" s="516"/>
      <c r="E5" s="520"/>
      <c r="F5" s="172" t="s">
        <v>43</v>
      </c>
      <c r="G5" s="100" t="s">
        <v>175</v>
      </c>
      <c r="H5" s="100" t="s">
        <v>173</v>
      </c>
      <c r="I5" s="100" t="s">
        <v>176</v>
      </c>
      <c r="J5" s="100" t="s">
        <v>174</v>
      </c>
      <c r="K5" s="100" t="s">
        <v>171</v>
      </c>
      <c r="L5" s="520"/>
      <c r="M5" s="524"/>
      <c r="N5" s="525"/>
    </row>
    <row r="6" spans="1:14" x14ac:dyDescent="0.2">
      <c r="A6" s="482" t="s">
        <v>38</v>
      </c>
      <c r="B6" s="378" t="s">
        <v>1</v>
      </c>
      <c r="C6" s="41" t="s">
        <v>41</v>
      </c>
      <c r="D6" s="42">
        <v>0</v>
      </c>
      <c r="E6" s="42">
        <v>40000</v>
      </c>
      <c r="F6" s="43">
        <f>'2019.10.31.'!F6</f>
        <v>1943</v>
      </c>
      <c r="G6" s="38"/>
      <c r="H6" s="38"/>
      <c r="I6" s="38">
        <v>2000</v>
      </c>
      <c r="J6" s="38"/>
      <c r="K6" s="38">
        <f>'2019.10.31.'!I6</f>
        <v>0</v>
      </c>
      <c r="L6" s="4">
        <f t="shared" ref="L6:L30" si="0">SUM(E6:K6)</f>
        <v>43943</v>
      </c>
      <c r="M6" s="103">
        <v>41943</v>
      </c>
      <c r="N6" s="4">
        <f>L6-M6</f>
        <v>2000</v>
      </c>
    </row>
    <row r="7" spans="1:14" x14ac:dyDescent="0.2">
      <c r="A7" s="482"/>
      <c r="B7" s="378"/>
      <c r="C7" s="41" t="s">
        <v>139</v>
      </c>
      <c r="D7" s="42">
        <v>0</v>
      </c>
      <c r="E7" s="42">
        <v>10800</v>
      </c>
      <c r="F7" s="43">
        <f>'2019.10.31.'!F7</f>
        <v>0</v>
      </c>
      <c r="G7" s="38"/>
      <c r="H7" s="38"/>
      <c r="I7" s="38"/>
      <c r="J7" s="38"/>
      <c r="K7" s="38">
        <f>'2019.10.31.'!I7</f>
        <v>0</v>
      </c>
      <c r="L7" s="4">
        <f t="shared" si="0"/>
        <v>10800</v>
      </c>
      <c r="M7" s="103">
        <v>10800</v>
      </c>
      <c r="N7" s="4">
        <f t="shared" ref="N7:N30" si="1">L7-M7</f>
        <v>0</v>
      </c>
    </row>
    <row r="8" spans="1:14" x14ac:dyDescent="0.2">
      <c r="A8" s="482"/>
      <c r="B8" s="378"/>
      <c r="C8" s="41" t="s">
        <v>40</v>
      </c>
      <c r="D8" s="42">
        <v>1500</v>
      </c>
      <c r="E8" s="42">
        <v>1500</v>
      </c>
      <c r="F8" s="43">
        <f>'2019.10.31.'!F8+'2019.09.30.'!F8</f>
        <v>-1943</v>
      </c>
      <c r="G8" s="38"/>
      <c r="H8" s="38"/>
      <c r="I8" s="38">
        <f>SUM('2019.09.30.'!I8)</f>
        <v>2000</v>
      </c>
      <c r="J8" s="38"/>
      <c r="K8" s="38">
        <f>'2019.10.31.'!I8</f>
        <v>0</v>
      </c>
      <c r="L8" s="4">
        <f t="shared" si="0"/>
        <v>1557</v>
      </c>
      <c r="M8" s="103">
        <v>1390</v>
      </c>
      <c r="N8" s="4">
        <f t="shared" si="1"/>
        <v>167</v>
      </c>
    </row>
    <row r="9" spans="1:14" x14ac:dyDescent="0.2">
      <c r="A9" s="482"/>
      <c r="B9" s="379" t="s">
        <v>4</v>
      </c>
      <c r="C9" s="41" t="s">
        <v>25</v>
      </c>
      <c r="D9" s="42">
        <v>2468000</v>
      </c>
      <c r="E9" s="42">
        <v>2468000</v>
      </c>
      <c r="F9" s="43">
        <f>'2019.10.31.'!F9</f>
        <v>0</v>
      </c>
      <c r="G9" s="38"/>
      <c r="H9" s="38"/>
      <c r="I9" s="38"/>
      <c r="J9" s="38"/>
      <c r="K9" s="38">
        <f>'2019.10.31.'!I9</f>
        <v>2346000</v>
      </c>
      <c r="L9" s="4">
        <f t="shared" si="0"/>
        <v>4814000</v>
      </c>
      <c r="M9" s="132">
        <v>4814000</v>
      </c>
      <c r="N9" s="120">
        <f t="shared" si="1"/>
        <v>0</v>
      </c>
    </row>
    <row r="10" spans="1:14" x14ac:dyDescent="0.2">
      <c r="A10" s="482"/>
      <c r="B10" s="380"/>
      <c r="C10" s="41" t="s">
        <v>28</v>
      </c>
      <c r="D10" s="42">
        <v>10810958</v>
      </c>
      <c r="E10" s="42">
        <v>10810958</v>
      </c>
      <c r="F10" s="43">
        <f>'2019.10.31.'!F10</f>
        <v>0</v>
      </c>
      <c r="G10" s="38"/>
      <c r="H10" s="38"/>
      <c r="I10" s="38"/>
      <c r="J10" s="38"/>
      <c r="K10" s="38">
        <f>'2019.10.31.'!I10</f>
        <v>0</v>
      </c>
      <c r="L10" s="4">
        <f t="shared" si="0"/>
        <v>10810958</v>
      </c>
      <c r="M10" s="103">
        <v>10810958</v>
      </c>
      <c r="N10" s="4">
        <f t="shared" si="1"/>
        <v>0</v>
      </c>
    </row>
    <row r="11" spans="1:14" x14ac:dyDescent="0.2">
      <c r="A11" s="483" t="s">
        <v>50</v>
      </c>
      <c r="B11" s="341" t="s">
        <v>4</v>
      </c>
      <c r="C11" s="41" t="s">
        <v>25</v>
      </c>
      <c r="D11" s="42">
        <v>7005263</v>
      </c>
      <c r="E11" s="42">
        <v>7005263</v>
      </c>
      <c r="F11" s="43">
        <f>'2019.10.31.'!F11</f>
        <v>0</v>
      </c>
      <c r="G11" s="38"/>
      <c r="H11" s="38"/>
      <c r="I11" s="38"/>
      <c r="J11" s="38"/>
      <c r="K11" s="38">
        <f>'2019.10.31.'!I11</f>
        <v>0</v>
      </c>
      <c r="L11" s="4">
        <f t="shared" si="0"/>
        <v>7005263</v>
      </c>
      <c r="M11" s="103">
        <v>5650402</v>
      </c>
      <c r="N11" s="4">
        <f t="shared" si="1"/>
        <v>1354861</v>
      </c>
    </row>
    <row r="12" spans="1:14" x14ac:dyDescent="0.2">
      <c r="A12" s="484"/>
      <c r="B12" s="342"/>
      <c r="C12" s="41" t="s">
        <v>37</v>
      </c>
      <c r="D12" s="42">
        <v>4500000</v>
      </c>
      <c r="E12" s="42">
        <v>4500000</v>
      </c>
      <c r="F12" s="43">
        <f>'2019.10.31.'!F12</f>
        <v>0</v>
      </c>
      <c r="G12" s="38"/>
      <c r="H12" s="38"/>
      <c r="I12" s="38"/>
      <c r="J12" s="38"/>
      <c r="K12" s="38">
        <f>'2019.10.31.'!I12</f>
        <v>0</v>
      </c>
      <c r="L12" s="4">
        <f t="shared" si="0"/>
        <v>4500000</v>
      </c>
      <c r="M12" s="103">
        <v>4230770</v>
      </c>
      <c r="N12" s="4">
        <f t="shared" si="1"/>
        <v>269230</v>
      </c>
    </row>
    <row r="13" spans="1:14" x14ac:dyDescent="0.2">
      <c r="A13" s="17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>
        <f>'2019.10.31.'!F13</f>
        <v>0</v>
      </c>
      <c r="G13" s="38"/>
      <c r="H13" s="38"/>
      <c r="I13" s="38"/>
      <c r="J13" s="38"/>
      <c r="K13" s="38">
        <f>'2019.10.31.'!I13</f>
        <v>0</v>
      </c>
      <c r="L13" s="4">
        <f t="shared" si="0"/>
        <v>19746500</v>
      </c>
      <c r="M13" s="103">
        <v>15886125</v>
      </c>
      <c r="N13" s="4">
        <f t="shared" si="1"/>
        <v>3860375</v>
      </c>
    </row>
    <row r="14" spans="1:14" x14ac:dyDescent="0.2">
      <c r="A14" s="17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>
        <f>'2019.10.31.'!F14</f>
        <v>0</v>
      </c>
      <c r="G14" s="38"/>
      <c r="H14" s="38"/>
      <c r="I14" s="38"/>
      <c r="J14" s="38"/>
      <c r="K14" s="38">
        <f>'2019.10.31.'!I14</f>
        <v>0</v>
      </c>
      <c r="L14" s="4">
        <f>SUM(E14:K14)</f>
        <v>16258950</v>
      </c>
      <c r="M14" s="103">
        <v>13162837</v>
      </c>
      <c r="N14" s="4">
        <f>L14-M14</f>
        <v>3096113</v>
      </c>
    </row>
    <row r="15" spans="1:14" x14ac:dyDescent="0.2">
      <c r="A15" s="483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>
        <f>'2019.10.31.'!F15</f>
        <v>0</v>
      </c>
      <c r="G15" s="38"/>
      <c r="H15" s="38"/>
      <c r="I15" s="38"/>
      <c r="J15" s="38"/>
      <c r="K15" s="38">
        <f>'2019.10.31.'!I15</f>
        <v>0</v>
      </c>
      <c r="L15" s="4">
        <f t="shared" si="0"/>
        <v>0</v>
      </c>
      <c r="M15" s="103">
        <v>0</v>
      </c>
      <c r="N15" s="4">
        <f t="shared" si="1"/>
        <v>0</v>
      </c>
    </row>
    <row r="16" spans="1:14" x14ac:dyDescent="0.2">
      <c r="A16" s="485"/>
      <c r="B16" s="381"/>
      <c r="C16" s="41" t="s">
        <v>37</v>
      </c>
      <c r="D16" s="42">
        <v>0</v>
      </c>
      <c r="E16" s="42">
        <v>0</v>
      </c>
      <c r="F16" s="43">
        <f>'2019.10.31.'!F16</f>
        <v>0</v>
      </c>
      <c r="G16" s="38"/>
      <c r="H16" s="38"/>
      <c r="I16" s="38"/>
      <c r="J16" s="38"/>
      <c r="K16" s="38">
        <f>'2019.10.31.'!I16</f>
        <v>0</v>
      </c>
      <c r="L16" s="4">
        <f t="shared" si="0"/>
        <v>0</v>
      </c>
      <c r="M16" s="103">
        <v>0</v>
      </c>
      <c r="N16" s="4">
        <f t="shared" si="1"/>
        <v>0</v>
      </c>
    </row>
    <row r="17" spans="1:15" x14ac:dyDescent="0.2">
      <c r="A17" s="485"/>
      <c r="B17" s="381"/>
      <c r="C17" s="41" t="s">
        <v>28</v>
      </c>
      <c r="D17" s="42">
        <v>199713</v>
      </c>
      <c r="E17" s="42">
        <v>199713</v>
      </c>
      <c r="F17" s="43">
        <f>'2019.10.31.'!F17</f>
        <v>0</v>
      </c>
      <c r="G17" s="38"/>
      <c r="H17" s="38"/>
      <c r="I17" s="38"/>
      <c r="J17" s="38"/>
      <c r="K17" s="38">
        <f>'2019.10.31.'!I17</f>
        <v>0</v>
      </c>
      <c r="L17" s="4">
        <f t="shared" si="0"/>
        <v>199713</v>
      </c>
      <c r="M17" s="103">
        <v>199713</v>
      </c>
      <c r="N17" s="4">
        <f t="shared" si="1"/>
        <v>0</v>
      </c>
    </row>
    <row r="18" spans="1:15" x14ac:dyDescent="0.2">
      <c r="A18" s="485"/>
      <c r="B18" s="381" t="s">
        <v>8</v>
      </c>
      <c r="C18" s="41" t="s">
        <v>40</v>
      </c>
      <c r="D18" s="42">
        <v>0</v>
      </c>
      <c r="E18" s="42">
        <v>0</v>
      </c>
      <c r="F18" s="43">
        <f>'2019.10.31.'!F18</f>
        <v>0</v>
      </c>
      <c r="G18" s="38"/>
      <c r="H18" s="38"/>
      <c r="I18" s="38"/>
      <c r="J18" s="38"/>
      <c r="K18" s="38">
        <f>'2019.10.31.'!I18</f>
        <v>0</v>
      </c>
      <c r="L18" s="4">
        <f t="shared" si="0"/>
        <v>0</v>
      </c>
      <c r="M18" s="103">
        <v>0</v>
      </c>
      <c r="N18" s="4">
        <f t="shared" si="1"/>
        <v>0</v>
      </c>
    </row>
    <row r="19" spans="1:15" x14ac:dyDescent="0.2">
      <c r="A19" s="485"/>
      <c r="B19" s="381"/>
      <c r="C19" s="41" t="s">
        <v>41</v>
      </c>
      <c r="D19" s="42">
        <v>0</v>
      </c>
      <c r="E19" s="42">
        <v>0</v>
      </c>
      <c r="F19" s="43">
        <f>'2019.10.31.'!F19</f>
        <v>0</v>
      </c>
      <c r="G19" s="38"/>
      <c r="H19" s="38"/>
      <c r="I19" s="38"/>
      <c r="J19" s="38"/>
      <c r="K19" s="38">
        <f>'2019.10.31.'!I19</f>
        <v>0</v>
      </c>
      <c r="L19" s="4">
        <f t="shared" si="0"/>
        <v>0</v>
      </c>
      <c r="M19" s="103">
        <v>0</v>
      </c>
      <c r="N19" s="4">
        <f t="shared" si="1"/>
        <v>0</v>
      </c>
    </row>
    <row r="20" spans="1:15" x14ac:dyDescent="0.2">
      <c r="A20" s="486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>
        <f>'2019.10.31.'!F20</f>
        <v>0</v>
      </c>
      <c r="G20" s="38"/>
      <c r="H20" s="38"/>
      <c r="I20" s="38"/>
      <c r="J20" s="38"/>
      <c r="K20" s="38">
        <f>'2019.10.31.'!I20</f>
        <v>0</v>
      </c>
      <c r="L20" s="4">
        <f t="shared" si="0"/>
        <v>37214812</v>
      </c>
      <c r="M20" s="103">
        <v>7259205</v>
      </c>
      <c r="N20" s="4">
        <f t="shared" si="1"/>
        <v>29955607</v>
      </c>
    </row>
    <row r="21" spans="1:15" x14ac:dyDescent="0.2">
      <c r="A21" s="487"/>
      <c r="B21" s="382"/>
      <c r="C21" s="41" t="s">
        <v>37</v>
      </c>
      <c r="D21" s="42">
        <v>0</v>
      </c>
      <c r="E21" s="42">
        <v>654581</v>
      </c>
      <c r="F21" s="43">
        <f>'2019.10.31.'!F21</f>
        <v>0</v>
      </c>
      <c r="G21" s="38"/>
      <c r="H21" s="38"/>
      <c r="I21" s="38"/>
      <c r="J21" s="38"/>
      <c r="K21" s="38">
        <f>'2019.10.31.'!I21</f>
        <v>0</v>
      </c>
      <c r="L21" s="4">
        <f t="shared" si="0"/>
        <v>654581</v>
      </c>
      <c r="M21" s="103">
        <v>654581</v>
      </c>
      <c r="N21" s="4">
        <f t="shared" si="1"/>
        <v>0</v>
      </c>
    </row>
    <row r="22" spans="1:15" x14ac:dyDescent="0.2">
      <c r="A22" s="487"/>
      <c r="B22" s="342"/>
      <c r="C22" s="41" t="s">
        <v>28</v>
      </c>
      <c r="D22" s="42">
        <v>17033910</v>
      </c>
      <c r="E22" s="42">
        <v>17033910</v>
      </c>
      <c r="F22" s="43">
        <f>'2019.10.31.'!F22</f>
        <v>0</v>
      </c>
      <c r="G22" s="38"/>
      <c r="H22" s="38"/>
      <c r="I22" s="38"/>
      <c r="J22" s="38"/>
      <c r="K22" s="38">
        <f>'2019.10.31.'!I22</f>
        <v>0</v>
      </c>
      <c r="L22" s="4">
        <f t="shared" si="0"/>
        <v>17033910</v>
      </c>
      <c r="M22" s="103">
        <v>17033910</v>
      </c>
      <c r="N22" s="4">
        <f t="shared" si="1"/>
        <v>0</v>
      </c>
    </row>
    <row r="23" spans="1:15" x14ac:dyDescent="0.2">
      <c r="A23" s="487"/>
      <c r="B23" s="341" t="s">
        <v>17</v>
      </c>
      <c r="C23" s="41" t="s">
        <v>41</v>
      </c>
      <c r="D23" s="42">
        <v>0</v>
      </c>
      <c r="E23" s="42">
        <v>300</v>
      </c>
      <c r="F23" s="43">
        <f>'2019.10.31.'!F23</f>
        <v>-300</v>
      </c>
      <c r="G23" s="38"/>
      <c r="H23" s="38"/>
      <c r="I23" s="38"/>
      <c r="J23" s="38"/>
      <c r="K23" s="38">
        <f>'2019.10.31.'!I23</f>
        <v>0</v>
      </c>
      <c r="L23" s="4">
        <f t="shared" si="0"/>
        <v>0</v>
      </c>
      <c r="M23" s="103">
        <v>0</v>
      </c>
      <c r="N23" s="120">
        <f t="shared" si="1"/>
        <v>0</v>
      </c>
    </row>
    <row r="24" spans="1:15" x14ac:dyDescent="0.2">
      <c r="A24" s="488"/>
      <c r="B24" s="342"/>
      <c r="C24" s="41" t="s">
        <v>40</v>
      </c>
      <c r="D24" s="42">
        <v>800</v>
      </c>
      <c r="E24" s="42">
        <v>500</v>
      </c>
      <c r="F24" s="43">
        <f>'2019.10.31.'!F24</f>
        <v>300</v>
      </c>
      <c r="G24" s="38"/>
      <c r="H24" s="38"/>
      <c r="I24" s="38"/>
      <c r="J24" s="38"/>
      <c r="K24" s="38">
        <f>'2019.10.31.'!I24</f>
        <v>0</v>
      </c>
      <c r="L24" s="4">
        <f t="shared" si="0"/>
        <v>800</v>
      </c>
      <c r="M24" s="103">
        <v>0</v>
      </c>
      <c r="N24" s="4">
        <f t="shared" si="1"/>
        <v>800</v>
      </c>
    </row>
    <row r="25" spans="1:15" ht="21" customHeight="1" x14ac:dyDescent="0.2">
      <c r="A25" s="393" t="s">
        <v>132</v>
      </c>
      <c r="B25" s="470" t="s">
        <v>4</v>
      </c>
      <c r="C25" s="126" t="s">
        <v>25</v>
      </c>
      <c r="D25" s="42">
        <v>0</v>
      </c>
      <c r="E25" s="42">
        <v>13839752</v>
      </c>
      <c r="F25" s="43">
        <f>'2019.10.31.'!F25</f>
        <v>0</v>
      </c>
      <c r="G25" s="38"/>
      <c r="H25" s="38"/>
      <c r="I25" s="38"/>
      <c r="J25" s="38"/>
      <c r="K25" s="38">
        <f>'2019.10.31.'!I25</f>
        <v>0</v>
      </c>
      <c r="L25" s="4">
        <f t="shared" si="0"/>
        <v>13839752</v>
      </c>
      <c r="M25" s="103">
        <v>13839752</v>
      </c>
      <c r="N25" s="4">
        <f t="shared" si="1"/>
        <v>0</v>
      </c>
    </row>
    <row r="26" spans="1:15" ht="21" customHeight="1" x14ac:dyDescent="0.2">
      <c r="A26" s="394"/>
      <c r="B26" s="471"/>
      <c r="C26" s="126" t="s">
        <v>37</v>
      </c>
      <c r="D26" s="42">
        <v>0</v>
      </c>
      <c r="E26" s="42">
        <v>49375989</v>
      </c>
      <c r="F26" s="43">
        <f>'2019.10.31.'!F26</f>
        <v>0</v>
      </c>
      <c r="G26" s="38"/>
      <c r="H26" s="38"/>
      <c r="I26" s="38"/>
      <c r="J26" s="38"/>
      <c r="K26" s="38">
        <f>'2019.10.31.'!I26</f>
        <v>0</v>
      </c>
      <c r="L26" s="4">
        <f t="shared" si="0"/>
        <v>49375989</v>
      </c>
      <c r="M26" s="103">
        <v>49375989</v>
      </c>
      <c r="N26" s="4">
        <f t="shared" si="1"/>
        <v>0</v>
      </c>
    </row>
    <row r="27" spans="1:15" ht="21" customHeight="1" x14ac:dyDescent="0.2">
      <c r="A27" s="395"/>
      <c r="B27" s="169" t="s">
        <v>128</v>
      </c>
      <c r="C27" s="126" t="s">
        <v>41</v>
      </c>
      <c r="D27" s="42">
        <v>0</v>
      </c>
      <c r="E27" s="42">
        <v>0</v>
      </c>
      <c r="F27" s="43">
        <f>'2019.10.31.'!F27+'2019.09.30.'!F27</f>
        <v>0</v>
      </c>
      <c r="G27" s="38"/>
      <c r="H27" s="38"/>
      <c r="I27" s="38"/>
      <c r="J27" s="38"/>
      <c r="K27" s="38">
        <f>'2019.10.31.'!I27</f>
        <v>0</v>
      </c>
      <c r="L27" s="4">
        <f t="shared" si="0"/>
        <v>0</v>
      </c>
      <c r="M27" s="103">
        <v>0</v>
      </c>
      <c r="N27" s="120">
        <f t="shared" si="1"/>
        <v>0</v>
      </c>
      <c r="O27" s="166"/>
    </row>
    <row r="28" spans="1:15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>
        <f>'2019.10.31.'!F28</f>
        <v>0</v>
      </c>
      <c r="G28" s="38"/>
      <c r="H28" s="38"/>
      <c r="I28" s="38"/>
      <c r="J28" s="38">
        <v>-1328080</v>
      </c>
      <c r="K28" s="38">
        <f>'2019.10.31.'!I28</f>
        <v>0</v>
      </c>
      <c r="L28" s="4">
        <f t="shared" si="0"/>
        <v>288207226</v>
      </c>
      <c r="M28" s="103">
        <v>235885991</v>
      </c>
      <c r="N28" s="4">
        <f t="shared" si="1"/>
        <v>52321235</v>
      </c>
    </row>
    <row r="29" spans="1:15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>
        <f>'2019.10.31.'!F29</f>
        <v>0</v>
      </c>
      <c r="G29" s="38"/>
      <c r="H29" s="38">
        <v>-911982</v>
      </c>
      <c r="I29" s="38"/>
      <c r="J29" s="38"/>
      <c r="K29" s="38">
        <f>'2019.10.31.'!I29</f>
        <v>0</v>
      </c>
      <c r="L29" s="4">
        <f t="shared" si="0"/>
        <v>2284576</v>
      </c>
      <c r="M29" s="103">
        <v>1917505</v>
      </c>
      <c r="N29" s="4">
        <f t="shared" si="1"/>
        <v>367071</v>
      </c>
    </row>
    <row r="30" spans="1:15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>
        <f>'2019.10.31.'!F30</f>
        <v>0</v>
      </c>
      <c r="G30" s="38"/>
      <c r="H30" s="38">
        <v>-2721026</v>
      </c>
      <c r="I30" s="38"/>
      <c r="J30" s="38"/>
      <c r="K30" s="38">
        <f>'2019.10.31.'!I30</f>
        <v>0</v>
      </c>
      <c r="L30" s="4">
        <f t="shared" si="0"/>
        <v>44781646</v>
      </c>
      <c r="M30" s="103">
        <v>37172478</v>
      </c>
      <c r="N30" s="4">
        <f t="shared" si="1"/>
        <v>7609168</v>
      </c>
    </row>
    <row r="31" spans="1:15" ht="34.5" customHeight="1" x14ac:dyDescent="0.2">
      <c r="A31" s="479" t="s">
        <v>85</v>
      </c>
      <c r="B31" s="480"/>
      <c r="C31" s="481"/>
      <c r="D31" s="138">
        <f t="shared" ref="D31:N31" si="2">SUM(D6:D30)</f>
        <v>426209554</v>
      </c>
      <c r="E31" s="138">
        <f t="shared" si="2"/>
        <v>519396064</v>
      </c>
      <c r="F31" s="138">
        <f t="shared" si="2"/>
        <v>0</v>
      </c>
      <c r="G31" s="138">
        <f t="shared" si="2"/>
        <v>0</v>
      </c>
      <c r="H31" s="138">
        <f t="shared" si="2"/>
        <v>-3633008</v>
      </c>
      <c r="I31" s="138">
        <f t="shared" si="2"/>
        <v>4000</v>
      </c>
      <c r="J31" s="138">
        <f t="shared" si="2"/>
        <v>-1328080</v>
      </c>
      <c r="K31" s="138">
        <f t="shared" si="2"/>
        <v>2346000</v>
      </c>
      <c r="L31" s="138">
        <f t="shared" si="2"/>
        <v>516784976</v>
      </c>
      <c r="M31" s="139">
        <f t="shared" si="2"/>
        <v>417948349</v>
      </c>
      <c r="N31" s="138">
        <f t="shared" si="2"/>
        <v>98836627</v>
      </c>
    </row>
    <row r="32" spans="1:15" ht="12.75" customHeight="1" x14ac:dyDescent="0.2">
      <c r="A32" s="393" t="s">
        <v>18</v>
      </c>
      <c r="B32" s="384" t="s">
        <v>1</v>
      </c>
      <c r="C32" s="41" t="s">
        <v>22</v>
      </c>
      <c r="D32" s="44">
        <v>24000</v>
      </c>
      <c r="E32" s="44">
        <v>24000</v>
      </c>
      <c r="F32" s="43">
        <f>'2019.10.31.'!F32</f>
        <v>0</v>
      </c>
      <c r="G32" s="38"/>
      <c r="H32" s="38"/>
      <c r="I32" s="38"/>
      <c r="J32" s="38"/>
      <c r="K32" s="38">
        <f>'2019.10.31.'!I32</f>
        <v>0</v>
      </c>
      <c r="L32" s="4">
        <f t="shared" ref="L32:L96" si="3">SUM(E32:K32)</f>
        <v>24000</v>
      </c>
      <c r="M32" s="105">
        <v>0</v>
      </c>
      <c r="N32" s="4">
        <f t="shared" ref="N32:N96" si="4">L32-M32</f>
        <v>24000</v>
      </c>
    </row>
    <row r="33" spans="1:14" x14ac:dyDescent="0.2">
      <c r="A33" s="394"/>
      <c r="B33" s="385"/>
      <c r="C33" s="41" t="s">
        <v>89</v>
      </c>
      <c r="D33" s="38">
        <v>1870</v>
      </c>
      <c r="E33" s="38">
        <v>1870</v>
      </c>
      <c r="F33" s="43">
        <f>'2019.10.31.'!F33</f>
        <v>0</v>
      </c>
      <c r="G33" s="38"/>
      <c r="H33" s="38"/>
      <c r="I33" s="38"/>
      <c r="J33" s="38"/>
      <c r="K33" s="38">
        <f>'2019.10.31.'!I33</f>
        <v>0</v>
      </c>
      <c r="L33" s="4">
        <f t="shared" si="3"/>
        <v>1870</v>
      </c>
      <c r="M33" s="105">
        <v>0</v>
      </c>
      <c r="N33" s="4">
        <f t="shared" si="4"/>
        <v>1870</v>
      </c>
    </row>
    <row r="34" spans="1:14" x14ac:dyDescent="0.2">
      <c r="A34" s="394"/>
      <c r="B34" s="385"/>
      <c r="C34" s="41" t="s">
        <v>10</v>
      </c>
      <c r="D34" s="38">
        <v>0</v>
      </c>
      <c r="E34" s="38">
        <v>50000</v>
      </c>
      <c r="F34" s="43">
        <f>'2019.10.31.'!F34</f>
        <v>0</v>
      </c>
      <c r="G34" s="38"/>
      <c r="H34" s="38"/>
      <c r="I34" s="38"/>
      <c r="J34" s="38"/>
      <c r="K34" s="38">
        <f>'2019.10.31.'!I34</f>
        <v>0</v>
      </c>
      <c r="L34" s="4">
        <f t="shared" si="3"/>
        <v>50000</v>
      </c>
      <c r="M34" s="105">
        <v>50000</v>
      </c>
      <c r="N34" s="4">
        <f t="shared" si="4"/>
        <v>0</v>
      </c>
    </row>
    <row r="35" spans="1:14" x14ac:dyDescent="0.2">
      <c r="A35" s="394"/>
      <c r="B35" s="385"/>
      <c r="C35" s="39" t="s">
        <v>2</v>
      </c>
      <c r="D35" s="38">
        <v>17684057</v>
      </c>
      <c r="E35" s="38">
        <v>17452958</v>
      </c>
      <c r="F35" s="43">
        <f>'2019.10.31.'!F35+'2019.09.30.'!F35</f>
        <v>-43219</v>
      </c>
      <c r="G35" s="38">
        <v>60000</v>
      </c>
      <c r="H35" s="38"/>
      <c r="I35" s="38">
        <f>SUM('2019.09.30.'!I35)</f>
        <v>2000</v>
      </c>
      <c r="J35" s="38"/>
      <c r="K35" s="38">
        <f>'2019.10.31.'!I35</f>
        <v>1847244</v>
      </c>
      <c r="L35" s="4">
        <f t="shared" si="3"/>
        <v>19318983</v>
      </c>
      <c r="M35" s="105">
        <v>6714450</v>
      </c>
      <c r="N35" s="4">
        <f t="shared" si="4"/>
        <v>12604533</v>
      </c>
    </row>
    <row r="36" spans="1:14" x14ac:dyDescent="0.2">
      <c r="A36" s="394"/>
      <c r="B36" s="385"/>
      <c r="C36" s="39" t="s">
        <v>117</v>
      </c>
      <c r="D36" s="38">
        <v>0</v>
      </c>
      <c r="E36" s="38">
        <v>73260</v>
      </c>
      <c r="F36" s="43">
        <f>'2019.10.31.'!F36</f>
        <v>0</v>
      </c>
      <c r="G36" s="38"/>
      <c r="H36" s="38"/>
      <c r="I36" s="38"/>
      <c r="J36" s="38"/>
      <c r="K36" s="38">
        <f>'2019.10.31.'!I36</f>
        <v>0</v>
      </c>
      <c r="L36" s="4">
        <f t="shared" si="3"/>
        <v>73260</v>
      </c>
      <c r="M36" s="105">
        <v>73260</v>
      </c>
      <c r="N36" s="4">
        <f t="shared" si="4"/>
        <v>0</v>
      </c>
    </row>
    <row r="37" spans="1:14" x14ac:dyDescent="0.2">
      <c r="A37" s="394"/>
      <c r="B37" s="385"/>
      <c r="C37" s="41" t="s">
        <v>11</v>
      </c>
      <c r="D37" s="38">
        <v>60264</v>
      </c>
      <c r="E37" s="38">
        <v>94650</v>
      </c>
      <c r="F37" s="43">
        <f>'2019.10.31.'!F37</f>
        <v>0</v>
      </c>
      <c r="G37" s="38"/>
      <c r="H37" s="38"/>
      <c r="I37" s="38"/>
      <c r="J37" s="38"/>
      <c r="K37" s="38">
        <f>'2019.10.31.'!I37</f>
        <v>498756</v>
      </c>
      <c r="L37" s="4">
        <f t="shared" si="3"/>
        <v>593406</v>
      </c>
      <c r="M37" s="105">
        <v>76105</v>
      </c>
      <c r="N37" s="4">
        <f t="shared" si="4"/>
        <v>517301</v>
      </c>
    </row>
    <row r="38" spans="1:14" x14ac:dyDescent="0.2">
      <c r="A38" s="394"/>
      <c r="B38" s="385"/>
      <c r="C38" s="41" t="s">
        <v>91</v>
      </c>
      <c r="D38" s="38">
        <v>0</v>
      </c>
      <c r="E38" s="38">
        <v>83000</v>
      </c>
      <c r="F38" s="43">
        <f>'2019.10.31.'!F38</f>
        <v>0</v>
      </c>
      <c r="G38" s="38"/>
      <c r="H38" s="38"/>
      <c r="I38" s="38"/>
      <c r="J38" s="38"/>
      <c r="K38" s="38">
        <f>'2019.10.31.'!I38</f>
        <v>0</v>
      </c>
      <c r="L38" s="4">
        <f t="shared" si="3"/>
        <v>83000</v>
      </c>
      <c r="M38" s="105">
        <v>83000</v>
      </c>
      <c r="N38" s="4">
        <f t="shared" si="4"/>
        <v>0</v>
      </c>
    </row>
    <row r="39" spans="1:14" x14ac:dyDescent="0.2">
      <c r="A39" s="394"/>
      <c r="B39" s="386"/>
      <c r="C39" s="41" t="s">
        <v>12</v>
      </c>
      <c r="D39" s="38">
        <v>0</v>
      </c>
      <c r="E39" s="38">
        <v>40000</v>
      </c>
      <c r="F39" s="43">
        <f>'2019.10.31.'!F39+'2019.09.30.'!F39</f>
        <v>43219</v>
      </c>
      <c r="G39" s="38"/>
      <c r="H39" s="38"/>
      <c r="I39" s="38">
        <v>2000</v>
      </c>
      <c r="J39" s="38"/>
      <c r="K39" s="38">
        <f>'2019.10.31.'!I39</f>
        <v>0</v>
      </c>
      <c r="L39" s="4">
        <f t="shared" si="3"/>
        <v>85219</v>
      </c>
      <c r="M39" s="105">
        <v>83219</v>
      </c>
      <c r="N39" s="120">
        <f t="shared" si="4"/>
        <v>2000</v>
      </c>
    </row>
    <row r="40" spans="1:14" x14ac:dyDescent="0.2">
      <c r="A40" s="394"/>
      <c r="B40" s="341" t="s">
        <v>4</v>
      </c>
      <c r="C40" s="41" t="s">
        <v>23</v>
      </c>
      <c r="D40" s="38">
        <v>2267</v>
      </c>
      <c r="E40" s="38">
        <v>3520</v>
      </c>
      <c r="F40" s="43">
        <f>'2019.10.31.'!F40</f>
        <v>0</v>
      </c>
      <c r="G40" s="38"/>
      <c r="H40" s="38"/>
      <c r="I40" s="38"/>
      <c r="J40" s="38"/>
      <c r="K40" s="38">
        <f>'2019.10.31.'!I40</f>
        <v>0</v>
      </c>
      <c r="L40" s="4">
        <f t="shared" si="3"/>
        <v>3520</v>
      </c>
      <c r="M40" s="133">
        <v>3520</v>
      </c>
      <c r="N40" s="120">
        <f t="shared" si="4"/>
        <v>0</v>
      </c>
    </row>
    <row r="41" spans="1:14" x14ac:dyDescent="0.2">
      <c r="A41" s="394"/>
      <c r="B41" s="383"/>
      <c r="C41" s="41" t="s">
        <v>5</v>
      </c>
      <c r="D41" s="42">
        <v>0</v>
      </c>
      <c r="E41" s="42">
        <v>0</v>
      </c>
      <c r="F41" s="43">
        <f>'2019.10.31.'!F41</f>
        <v>0</v>
      </c>
      <c r="G41" s="38"/>
      <c r="H41" s="38"/>
      <c r="I41" s="38"/>
      <c r="J41" s="38"/>
      <c r="K41" s="38">
        <f>'2019.10.31.'!I41</f>
        <v>0</v>
      </c>
      <c r="L41" s="4">
        <f t="shared" si="3"/>
        <v>0</v>
      </c>
      <c r="M41" s="105">
        <v>0</v>
      </c>
      <c r="N41" s="4">
        <f t="shared" si="4"/>
        <v>0</v>
      </c>
    </row>
    <row r="42" spans="1:14" x14ac:dyDescent="0.2">
      <c r="A42" s="394"/>
      <c r="B42" s="383"/>
      <c r="C42" s="39" t="s">
        <v>3</v>
      </c>
      <c r="D42" s="38">
        <v>313437148</v>
      </c>
      <c r="E42" s="38">
        <v>342702536</v>
      </c>
      <c r="F42" s="43">
        <f>'2019.10.31.'!F42</f>
        <v>0</v>
      </c>
      <c r="G42" s="38"/>
      <c r="H42" s="38">
        <f>-911982-2721026</f>
        <v>-3633008</v>
      </c>
      <c r="I42" s="38"/>
      <c r="J42" s="38">
        <v>-1328080</v>
      </c>
      <c r="K42" s="38">
        <f>'2019.10.31.'!I42</f>
        <v>0</v>
      </c>
      <c r="L42" s="4">
        <f t="shared" si="3"/>
        <v>337741448</v>
      </c>
      <c r="M42" s="105">
        <v>270590925</v>
      </c>
      <c r="N42" s="4">
        <f t="shared" si="4"/>
        <v>67150523</v>
      </c>
    </row>
    <row r="43" spans="1:14" x14ac:dyDescent="0.2">
      <c r="A43" s="395"/>
      <c r="B43" s="168" t="s">
        <v>128</v>
      </c>
      <c r="C43" s="39" t="s">
        <v>12</v>
      </c>
      <c r="D43" s="38">
        <v>0</v>
      </c>
      <c r="E43" s="38">
        <v>0</v>
      </c>
      <c r="F43" s="43">
        <f>'2019.10.31.'!F43</f>
        <v>0</v>
      </c>
      <c r="G43" s="38"/>
      <c r="H43" s="38"/>
      <c r="I43" s="38"/>
      <c r="J43" s="38"/>
      <c r="K43" s="38">
        <f>'2019.10.31.'!I43</f>
        <v>0</v>
      </c>
      <c r="L43" s="4">
        <f t="shared" si="3"/>
        <v>0</v>
      </c>
      <c r="M43" s="105">
        <v>0</v>
      </c>
      <c r="N43" s="4">
        <f t="shared" si="4"/>
        <v>0</v>
      </c>
    </row>
    <row r="44" spans="1:14" x14ac:dyDescent="0.2">
      <c r="A44" s="339" t="s">
        <v>24</v>
      </c>
      <c r="B44" s="341" t="s">
        <v>4</v>
      </c>
      <c r="C44" s="41" t="s">
        <v>23</v>
      </c>
      <c r="D44" s="38">
        <v>7005263</v>
      </c>
      <c r="E44" s="38">
        <v>7005263</v>
      </c>
      <c r="F44" s="43">
        <f>'2019.10.31.'!F44</f>
        <v>0</v>
      </c>
      <c r="G44" s="38"/>
      <c r="H44" s="38"/>
      <c r="I44" s="38"/>
      <c r="J44" s="38"/>
      <c r="K44" s="38">
        <f>'2019.10.31.'!I44</f>
        <v>0</v>
      </c>
      <c r="L44" s="4">
        <f t="shared" si="3"/>
        <v>7005263</v>
      </c>
      <c r="M44" s="105">
        <v>5306843</v>
      </c>
      <c r="N44" s="4">
        <f t="shared" si="4"/>
        <v>1698420</v>
      </c>
    </row>
    <row r="45" spans="1:14" x14ac:dyDescent="0.2">
      <c r="A45" s="340"/>
      <c r="B45" s="342"/>
      <c r="C45" s="41" t="s">
        <v>90</v>
      </c>
      <c r="D45" s="38">
        <v>4500000</v>
      </c>
      <c r="E45" s="38">
        <v>4500000</v>
      </c>
      <c r="F45" s="43">
        <f>'2019.10.31.'!F45</f>
        <v>0</v>
      </c>
      <c r="G45" s="38"/>
      <c r="H45" s="38"/>
      <c r="I45" s="38"/>
      <c r="J45" s="38"/>
      <c r="K45" s="38">
        <f>'2019.10.31.'!I45</f>
        <v>0</v>
      </c>
      <c r="L45" s="4">
        <f t="shared" si="3"/>
        <v>4500000</v>
      </c>
      <c r="M45" s="105">
        <v>4230770</v>
      </c>
      <c r="N45" s="4">
        <f t="shared" si="4"/>
        <v>269230</v>
      </c>
    </row>
    <row r="46" spans="1:14" x14ac:dyDescent="0.2">
      <c r="A46" s="339" t="s">
        <v>30</v>
      </c>
      <c r="B46" s="341" t="s">
        <v>4</v>
      </c>
      <c r="C46" s="41" t="s">
        <v>23</v>
      </c>
      <c r="D46" s="38">
        <v>12736500</v>
      </c>
      <c r="E46" s="38">
        <v>12736500</v>
      </c>
      <c r="F46" s="43">
        <f>'2019.10.31.'!F46</f>
        <v>0</v>
      </c>
      <c r="G46" s="38">
        <v>-60000</v>
      </c>
      <c r="H46" s="38"/>
      <c r="I46" s="38"/>
      <c r="J46" s="38"/>
      <c r="K46" s="38">
        <f>'2019.10.31.'!I46</f>
        <v>0</v>
      </c>
      <c r="L46" s="4">
        <f t="shared" si="3"/>
        <v>12676500</v>
      </c>
      <c r="M46" s="105">
        <v>12676500</v>
      </c>
      <c r="N46" s="4">
        <f t="shared" si="4"/>
        <v>0</v>
      </c>
    </row>
    <row r="47" spans="1:14" x14ac:dyDescent="0.2">
      <c r="A47" s="340"/>
      <c r="B47" s="342"/>
      <c r="C47" s="41" t="s">
        <v>5</v>
      </c>
      <c r="D47" s="38">
        <v>50000</v>
      </c>
      <c r="E47" s="38">
        <v>50000</v>
      </c>
      <c r="F47" s="43">
        <f>'2019.10.31.'!F47</f>
        <v>0</v>
      </c>
      <c r="G47" s="38"/>
      <c r="H47" s="38"/>
      <c r="I47" s="38"/>
      <c r="J47" s="38"/>
      <c r="K47" s="38">
        <f>'2019.10.31.'!I47</f>
        <v>0</v>
      </c>
      <c r="L47" s="4">
        <f t="shared" si="3"/>
        <v>50000</v>
      </c>
      <c r="M47" s="105">
        <v>50000</v>
      </c>
      <c r="N47" s="4">
        <f t="shared" si="4"/>
        <v>0</v>
      </c>
    </row>
    <row r="48" spans="1:14" x14ac:dyDescent="0.2">
      <c r="A48" s="339" t="s">
        <v>138</v>
      </c>
      <c r="B48" s="368" t="s">
        <v>6</v>
      </c>
      <c r="C48" s="41" t="s">
        <v>23</v>
      </c>
      <c r="D48" s="42">
        <v>0</v>
      </c>
      <c r="E48" s="42">
        <v>0</v>
      </c>
      <c r="F48" s="43">
        <f>'2019.10.31.'!F48</f>
        <v>0</v>
      </c>
      <c r="G48" s="38"/>
      <c r="H48" s="38"/>
      <c r="I48" s="38"/>
      <c r="J48" s="38"/>
      <c r="K48" s="38">
        <f>'2019.10.31.'!I48</f>
        <v>0</v>
      </c>
      <c r="L48" s="4">
        <f>SUM(E48:K48)</f>
        <v>0</v>
      </c>
      <c r="M48" s="105">
        <v>0</v>
      </c>
      <c r="N48" s="4">
        <f>L48-M48</f>
        <v>0</v>
      </c>
    </row>
    <row r="49" spans="1:14" x14ac:dyDescent="0.2">
      <c r="A49" s="358"/>
      <c r="B49" s="369"/>
      <c r="C49" s="39" t="s">
        <v>5</v>
      </c>
      <c r="D49" s="38">
        <v>16258950</v>
      </c>
      <c r="E49" s="38">
        <v>16258950</v>
      </c>
      <c r="F49" s="43">
        <f>'2019.10.31.'!F49</f>
        <v>0</v>
      </c>
      <c r="G49" s="38"/>
      <c r="H49" s="38"/>
      <c r="I49" s="38"/>
      <c r="J49" s="38"/>
      <c r="K49" s="38">
        <f>'2019.10.31.'!I49</f>
        <v>0</v>
      </c>
      <c r="L49" s="4">
        <f>SUM(E49:K49)</f>
        <v>16258950</v>
      </c>
      <c r="M49" s="105">
        <v>12194213</v>
      </c>
      <c r="N49" s="4">
        <f>L49-M49</f>
        <v>4064737</v>
      </c>
    </row>
    <row r="50" spans="1:14" x14ac:dyDescent="0.2">
      <c r="A50" s="339" t="s">
        <v>48</v>
      </c>
      <c r="B50" s="368" t="s">
        <v>8</v>
      </c>
      <c r="C50" s="39" t="s">
        <v>7</v>
      </c>
      <c r="D50" s="38">
        <v>0</v>
      </c>
      <c r="E50" s="38">
        <v>0</v>
      </c>
      <c r="F50" s="43">
        <f>'2019.10.31.'!F50</f>
        <v>0</v>
      </c>
      <c r="G50" s="38"/>
      <c r="H50" s="38"/>
      <c r="I50" s="38"/>
      <c r="J50" s="38"/>
      <c r="K50" s="38">
        <f>'2019.10.31.'!I50</f>
        <v>0</v>
      </c>
      <c r="L50" s="4">
        <f t="shared" si="3"/>
        <v>0</v>
      </c>
      <c r="M50" s="105">
        <v>0</v>
      </c>
      <c r="N50" s="4">
        <f t="shared" si="4"/>
        <v>0</v>
      </c>
    </row>
    <row r="51" spans="1:14" x14ac:dyDescent="0.2">
      <c r="A51" s="367"/>
      <c r="B51" s="369"/>
      <c r="C51" s="39" t="s">
        <v>9</v>
      </c>
      <c r="D51" s="38">
        <v>0</v>
      </c>
      <c r="E51" s="38">
        <v>0</v>
      </c>
      <c r="F51" s="43">
        <f>'2019.10.31.'!F51</f>
        <v>0</v>
      </c>
      <c r="G51" s="38"/>
      <c r="H51" s="38"/>
      <c r="I51" s="38"/>
      <c r="J51" s="38"/>
      <c r="K51" s="38">
        <f>'2019.10.31.'!I51</f>
        <v>0</v>
      </c>
      <c r="L51" s="4">
        <f t="shared" si="3"/>
        <v>0</v>
      </c>
      <c r="M51" s="105">
        <v>0</v>
      </c>
      <c r="N51" s="4">
        <f t="shared" si="4"/>
        <v>0</v>
      </c>
    </row>
    <row r="52" spans="1:14" x14ac:dyDescent="0.2">
      <c r="A52" s="367"/>
      <c r="B52" s="369"/>
      <c r="C52" s="39" t="s">
        <v>10</v>
      </c>
      <c r="D52" s="38">
        <v>0</v>
      </c>
      <c r="E52" s="38">
        <v>0</v>
      </c>
      <c r="F52" s="43">
        <f>'2019.10.31.'!F52</f>
        <v>0</v>
      </c>
      <c r="G52" s="38"/>
      <c r="H52" s="38"/>
      <c r="I52" s="38"/>
      <c r="J52" s="38"/>
      <c r="K52" s="38">
        <f>'2019.10.31.'!I52</f>
        <v>0</v>
      </c>
      <c r="L52" s="4">
        <f t="shared" si="3"/>
        <v>0</v>
      </c>
      <c r="M52" s="105">
        <v>0</v>
      </c>
      <c r="N52" s="4">
        <f t="shared" si="4"/>
        <v>0</v>
      </c>
    </row>
    <row r="53" spans="1:14" x14ac:dyDescent="0.2">
      <c r="A53" s="367"/>
      <c r="B53" s="369"/>
      <c r="C53" s="39" t="s">
        <v>2</v>
      </c>
      <c r="D53" s="38">
        <v>199713</v>
      </c>
      <c r="E53" s="38">
        <v>99713</v>
      </c>
      <c r="F53" s="43">
        <f>'2019.10.31.'!F53</f>
        <v>0</v>
      </c>
      <c r="G53" s="38"/>
      <c r="H53" s="38"/>
      <c r="I53" s="38"/>
      <c r="J53" s="38"/>
      <c r="K53" s="38">
        <f>'2019.10.31.'!I53</f>
        <v>0</v>
      </c>
      <c r="L53" s="4">
        <f t="shared" si="3"/>
        <v>99713</v>
      </c>
      <c r="M53" s="105">
        <v>500</v>
      </c>
      <c r="N53" s="4">
        <f t="shared" si="4"/>
        <v>99213</v>
      </c>
    </row>
    <row r="54" spans="1:14" x14ac:dyDescent="0.2">
      <c r="A54" s="367"/>
      <c r="B54" s="369"/>
      <c r="C54" s="39" t="s">
        <v>11</v>
      </c>
      <c r="D54" s="38">
        <v>0</v>
      </c>
      <c r="E54" s="38">
        <v>0</v>
      </c>
      <c r="F54" s="43">
        <f>'2019.10.31.'!F54</f>
        <v>0</v>
      </c>
      <c r="G54" s="38"/>
      <c r="H54" s="38"/>
      <c r="I54" s="38"/>
      <c r="J54" s="38"/>
      <c r="K54" s="38">
        <f>'2019.10.31.'!I54</f>
        <v>0</v>
      </c>
      <c r="L54" s="4">
        <f t="shared" si="3"/>
        <v>0</v>
      </c>
      <c r="M54" s="105">
        <v>0</v>
      </c>
      <c r="N54" s="4">
        <f t="shared" si="4"/>
        <v>0</v>
      </c>
    </row>
    <row r="55" spans="1:14" x14ac:dyDescent="0.2">
      <c r="A55" s="367"/>
      <c r="B55" s="369"/>
      <c r="C55" s="39" t="s">
        <v>12</v>
      </c>
      <c r="D55" s="38">
        <v>0</v>
      </c>
      <c r="E55" s="38">
        <v>100000</v>
      </c>
      <c r="F55" s="43">
        <f>'2019.10.31.'!F55</f>
        <v>0</v>
      </c>
      <c r="G55" s="38"/>
      <c r="H55" s="38"/>
      <c r="I55" s="38"/>
      <c r="J55" s="38"/>
      <c r="K55" s="38">
        <f>'2019.10.31.'!I55</f>
        <v>0</v>
      </c>
      <c r="L55" s="4">
        <f t="shared" si="3"/>
        <v>100000</v>
      </c>
      <c r="M55" s="105">
        <v>100000</v>
      </c>
      <c r="N55" s="4">
        <f t="shared" si="4"/>
        <v>0</v>
      </c>
    </row>
    <row r="56" spans="1:14" x14ac:dyDescent="0.2">
      <c r="A56" s="367"/>
      <c r="B56" s="369"/>
      <c r="C56" s="41" t="s">
        <v>31</v>
      </c>
      <c r="D56" s="38">
        <v>0</v>
      </c>
      <c r="E56" s="38">
        <v>0</v>
      </c>
      <c r="F56" s="43">
        <f>'2019.10.31.'!F56</f>
        <v>0</v>
      </c>
      <c r="G56" s="38"/>
      <c r="H56" s="38"/>
      <c r="I56" s="38"/>
      <c r="J56" s="38"/>
      <c r="K56" s="38">
        <f>'2019.10.31.'!I56</f>
        <v>0</v>
      </c>
      <c r="L56" s="4">
        <f t="shared" si="3"/>
        <v>0</v>
      </c>
      <c r="M56" s="105">
        <v>0</v>
      </c>
      <c r="N56" s="4">
        <f t="shared" si="4"/>
        <v>0</v>
      </c>
    </row>
    <row r="57" spans="1:14" x14ac:dyDescent="0.2">
      <c r="A57" s="367"/>
      <c r="B57" s="369"/>
      <c r="C57" s="41" t="s">
        <v>32</v>
      </c>
      <c r="D57" s="38">
        <v>0</v>
      </c>
      <c r="E57" s="38">
        <v>0</v>
      </c>
      <c r="F57" s="43">
        <f>'2019.10.31.'!F57</f>
        <v>0</v>
      </c>
      <c r="G57" s="38"/>
      <c r="H57" s="38"/>
      <c r="I57" s="38"/>
      <c r="J57" s="38"/>
      <c r="K57" s="38">
        <f>'2019.10.31.'!I57</f>
        <v>0</v>
      </c>
      <c r="L57" s="4">
        <f t="shared" si="3"/>
        <v>0</v>
      </c>
      <c r="M57" s="105">
        <v>0</v>
      </c>
      <c r="N57" s="4">
        <f t="shared" si="4"/>
        <v>0</v>
      </c>
    </row>
    <row r="58" spans="1:14" x14ac:dyDescent="0.2">
      <c r="A58" s="367"/>
      <c r="B58" s="369"/>
      <c r="C58" s="39" t="s">
        <v>13</v>
      </c>
      <c r="D58" s="38">
        <v>0</v>
      </c>
      <c r="E58" s="38">
        <v>0</v>
      </c>
      <c r="F58" s="43">
        <f>'2019.10.31.'!F58</f>
        <v>0</v>
      </c>
      <c r="G58" s="38"/>
      <c r="H58" s="38"/>
      <c r="I58" s="38"/>
      <c r="J58" s="38"/>
      <c r="K58" s="38">
        <f>'2019.10.31.'!I58</f>
        <v>0</v>
      </c>
      <c r="L58" s="4">
        <f t="shared" si="3"/>
        <v>0</v>
      </c>
      <c r="M58" s="105">
        <v>0</v>
      </c>
      <c r="N58" s="4">
        <f t="shared" si="4"/>
        <v>0</v>
      </c>
    </row>
    <row r="59" spans="1:14" x14ac:dyDescent="0.2">
      <c r="A59" s="367"/>
      <c r="B59" s="369"/>
      <c r="C59" s="39" t="s">
        <v>14</v>
      </c>
      <c r="D59" s="38">
        <v>0</v>
      </c>
      <c r="E59" s="38">
        <v>0</v>
      </c>
      <c r="F59" s="43">
        <f>'2019.10.31.'!F59</f>
        <v>0</v>
      </c>
      <c r="G59" s="38"/>
      <c r="H59" s="38"/>
      <c r="I59" s="38"/>
      <c r="J59" s="38"/>
      <c r="K59" s="38">
        <f>'2019.10.31.'!I59</f>
        <v>0</v>
      </c>
      <c r="L59" s="4">
        <f t="shared" si="3"/>
        <v>0</v>
      </c>
      <c r="M59" s="105">
        <v>0</v>
      </c>
      <c r="N59" s="4">
        <f t="shared" si="4"/>
        <v>0</v>
      </c>
    </row>
    <row r="60" spans="1:14" x14ac:dyDescent="0.2">
      <c r="A60" s="367"/>
      <c r="B60" s="369"/>
      <c r="C60" s="39" t="s">
        <v>15</v>
      </c>
      <c r="D60" s="38">
        <v>0</v>
      </c>
      <c r="E60" s="38">
        <v>0</v>
      </c>
      <c r="F60" s="43">
        <f>'2019.10.31.'!F60</f>
        <v>0</v>
      </c>
      <c r="G60" s="38"/>
      <c r="H60" s="38"/>
      <c r="I60" s="38"/>
      <c r="J60" s="38"/>
      <c r="K60" s="38">
        <f>'2019.10.31.'!I60</f>
        <v>0</v>
      </c>
      <c r="L60" s="4">
        <f t="shared" si="3"/>
        <v>0</v>
      </c>
      <c r="M60" s="105">
        <v>0</v>
      </c>
      <c r="N60" s="4">
        <f t="shared" si="4"/>
        <v>0</v>
      </c>
    </row>
    <row r="61" spans="1:14" x14ac:dyDescent="0.2">
      <c r="A61" s="367"/>
      <c r="B61" s="369"/>
      <c r="C61" s="39" t="s">
        <v>16</v>
      </c>
      <c r="D61" s="38">
        <v>0</v>
      </c>
      <c r="E61" s="38">
        <v>0</v>
      </c>
      <c r="F61" s="43">
        <f>'2019.10.31.'!F61</f>
        <v>0</v>
      </c>
      <c r="G61" s="38"/>
      <c r="H61" s="38"/>
      <c r="I61" s="38"/>
      <c r="J61" s="38"/>
      <c r="K61" s="38">
        <f>'2019.10.31.'!I61</f>
        <v>0</v>
      </c>
      <c r="L61" s="4">
        <f t="shared" si="3"/>
        <v>0</v>
      </c>
      <c r="M61" s="105">
        <v>0</v>
      </c>
      <c r="N61" s="4">
        <f t="shared" si="4"/>
        <v>0</v>
      </c>
    </row>
    <row r="62" spans="1:14" x14ac:dyDescent="0.2">
      <c r="A62" s="339" t="s">
        <v>49</v>
      </c>
      <c r="B62" s="168" t="s">
        <v>1</v>
      </c>
      <c r="C62" s="39" t="s">
        <v>2</v>
      </c>
      <c r="D62" s="39">
        <v>0</v>
      </c>
      <c r="E62" s="38">
        <v>8</v>
      </c>
      <c r="F62" s="43">
        <f>'2019.10.31.'!F62</f>
        <v>0</v>
      </c>
      <c r="G62" s="38"/>
      <c r="H62" s="38"/>
      <c r="I62" s="38"/>
      <c r="J62" s="38"/>
      <c r="K62" s="38">
        <f>'2019.10.31.'!I62</f>
        <v>0</v>
      </c>
      <c r="L62" s="4">
        <f t="shared" si="3"/>
        <v>8</v>
      </c>
      <c r="M62" s="105">
        <v>8</v>
      </c>
      <c r="N62" s="4">
        <f t="shared" si="4"/>
        <v>0</v>
      </c>
    </row>
    <row r="63" spans="1:14" ht="12.75" customHeight="1" x14ac:dyDescent="0.2">
      <c r="A63" s="367"/>
      <c r="B63" s="392" t="s">
        <v>17</v>
      </c>
      <c r="C63" s="39" t="s">
        <v>7</v>
      </c>
      <c r="D63" s="38">
        <v>970000</v>
      </c>
      <c r="E63" s="38">
        <v>970000</v>
      </c>
      <c r="F63" s="43">
        <f>'2019.10.31.'!F63</f>
        <v>0</v>
      </c>
      <c r="G63" s="38"/>
      <c r="H63" s="38"/>
      <c r="I63" s="38"/>
      <c r="J63" s="38"/>
      <c r="K63" s="38">
        <f>'2019.10.31.'!I63</f>
        <v>0</v>
      </c>
      <c r="L63" s="4">
        <f t="shared" si="3"/>
        <v>970000</v>
      </c>
      <c r="M63" s="105">
        <v>700000</v>
      </c>
      <c r="N63" s="4">
        <f t="shared" si="4"/>
        <v>270000</v>
      </c>
    </row>
    <row r="64" spans="1:14" x14ac:dyDescent="0.2">
      <c r="A64" s="367"/>
      <c r="B64" s="392"/>
      <c r="C64" s="41" t="s">
        <v>88</v>
      </c>
      <c r="D64" s="38">
        <v>10791000</v>
      </c>
      <c r="E64" s="38">
        <v>10791000</v>
      </c>
      <c r="F64" s="43">
        <f>'2019.10.31.'!F64</f>
        <v>0</v>
      </c>
      <c r="G64" s="38"/>
      <c r="H64" s="38"/>
      <c r="I64" s="38"/>
      <c r="J64" s="38"/>
      <c r="K64" s="38">
        <f>'2019.10.31.'!I64</f>
        <v>0</v>
      </c>
      <c r="L64" s="4">
        <f t="shared" si="3"/>
        <v>10791000</v>
      </c>
      <c r="M64" s="105">
        <v>736000</v>
      </c>
      <c r="N64" s="4">
        <f t="shared" si="4"/>
        <v>10055000</v>
      </c>
    </row>
    <row r="65" spans="1:14" x14ac:dyDescent="0.2">
      <c r="A65" s="367"/>
      <c r="B65" s="392"/>
      <c r="C65" s="39" t="s">
        <v>9</v>
      </c>
      <c r="D65" s="38">
        <v>3112282</v>
      </c>
      <c r="E65" s="38">
        <v>3112282</v>
      </c>
      <c r="F65" s="43">
        <f>'2019.10.31.'!F65</f>
        <v>0</v>
      </c>
      <c r="G65" s="38"/>
      <c r="H65" s="38"/>
      <c r="I65" s="38"/>
      <c r="J65" s="38"/>
      <c r="K65" s="38">
        <f>'2019.10.31.'!I65</f>
        <v>0</v>
      </c>
      <c r="L65" s="4">
        <f t="shared" si="3"/>
        <v>3112282</v>
      </c>
      <c r="M65" s="105">
        <v>132300</v>
      </c>
      <c r="N65" s="4">
        <f t="shared" si="4"/>
        <v>2979982</v>
      </c>
    </row>
    <row r="66" spans="1:14" x14ac:dyDescent="0.2">
      <c r="A66" s="367"/>
      <c r="B66" s="392"/>
      <c r="C66" s="41" t="s">
        <v>22</v>
      </c>
      <c r="D66" s="38">
        <v>230000</v>
      </c>
      <c r="E66" s="38">
        <v>230000</v>
      </c>
      <c r="F66" s="43">
        <f>'2019.10.31.'!F66</f>
        <v>0</v>
      </c>
      <c r="G66" s="38"/>
      <c r="H66" s="38"/>
      <c r="I66" s="38"/>
      <c r="J66" s="38"/>
      <c r="K66" s="38">
        <f>'2019.10.31.'!I66</f>
        <v>0</v>
      </c>
      <c r="L66" s="4">
        <f t="shared" si="3"/>
        <v>230000</v>
      </c>
      <c r="M66" s="105">
        <v>0</v>
      </c>
      <c r="N66" s="4">
        <f t="shared" si="4"/>
        <v>230000</v>
      </c>
    </row>
    <row r="67" spans="1:14" x14ac:dyDescent="0.2">
      <c r="A67" s="367"/>
      <c r="B67" s="392"/>
      <c r="C67" s="41" t="s">
        <v>33</v>
      </c>
      <c r="D67" s="38">
        <v>72000</v>
      </c>
      <c r="E67" s="38">
        <v>72000</v>
      </c>
      <c r="F67" s="43">
        <f>'2019.10.31.'!F67</f>
        <v>0</v>
      </c>
      <c r="G67" s="38"/>
      <c r="H67" s="38"/>
      <c r="I67" s="38"/>
      <c r="J67" s="38"/>
      <c r="K67" s="38">
        <f>'2019.10.31.'!I67</f>
        <v>0</v>
      </c>
      <c r="L67" s="4">
        <f t="shared" si="3"/>
        <v>72000</v>
      </c>
      <c r="M67" s="105">
        <v>0</v>
      </c>
      <c r="N67" s="4">
        <f t="shared" si="4"/>
        <v>72000</v>
      </c>
    </row>
    <row r="68" spans="1:14" x14ac:dyDescent="0.2">
      <c r="A68" s="367"/>
      <c r="B68" s="392"/>
      <c r="C68" s="41" t="s">
        <v>34</v>
      </c>
      <c r="D68" s="38">
        <v>230000</v>
      </c>
      <c r="E68" s="38">
        <v>230000</v>
      </c>
      <c r="F68" s="43">
        <f>'2019.10.31.'!F68</f>
        <v>0</v>
      </c>
      <c r="G68" s="38"/>
      <c r="H68" s="38"/>
      <c r="I68" s="38"/>
      <c r="J68" s="38"/>
      <c r="K68" s="38">
        <f>'2019.10.31.'!I68</f>
        <v>0</v>
      </c>
      <c r="L68" s="4">
        <f t="shared" si="3"/>
        <v>230000</v>
      </c>
      <c r="M68" s="105">
        <v>0</v>
      </c>
      <c r="N68" s="4">
        <f t="shared" si="4"/>
        <v>230000</v>
      </c>
    </row>
    <row r="69" spans="1:14" x14ac:dyDescent="0.2">
      <c r="A69" s="367"/>
      <c r="B69" s="392"/>
      <c r="C69" s="41" t="s">
        <v>10</v>
      </c>
      <c r="D69" s="38">
        <v>8009100</v>
      </c>
      <c r="E69" s="38">
        <v>8009100</v>
      </c>
      <c r="F69" s="43">
        <f>'2019.10.31.'!F69</f>
        <v>0</v>
      </c>
      <c r="G69" s="38"/>
      <c r="H69" s="38"/>
      <c r="I69" s="38"/>
      <c r="J69" s="38"/>
      <c r="K69" s="38">
        <f>'2019.10.31.'!I69</f>
        <v>0</v>
      </c>
      <c r="L69" s="4">
        <f t="shared" si="3"/>
        <v>8009100</v>
      </c>
      <c r="M69" s="105">
        <v>750000</v>
      </c>
      <c r="N69" s="4">
        <f t="shared" si="4"/>
        <v>7259100</v>
      </c>
    </row>
    <row r="70" spans="1:14" x14ac:dyDescent="0.2">
      <c r="A70" s="367"/>
      <c r="B70" s="392"/>
      <c r="C70" s="41" t="s">
        <v>2</v>
      </c>
      <c r="D70" s="38">
        <v>14000000</v>
      </c>
      <c r="E70" s="38">
        <v>13999992</v>
      </c>
      <c r="F70" s="43">
        <f>'2019.10.31.'!F70</f>
        <v>0</v>
      </c>
      <c r="G70" s="38"/>
      <c r="H70" s="38"/>
      <c r="I70" s="38"/>
      <c r="J70" s="38"/>
      <c r="K70" s="38">
        <f>'2019.10.31.'!I70</f>
        <v>0</v>
      </c>
      <c r="L70" s="4">
        <f t="shared" si="3"/>
        <v>13999992</v>
      </c>
      <c r="M70" s="105">
        <v>2436000</v>
      </c>
      <c r="N70" s="4">
        <f t="shared" si="4"/>
        <v>11563992</v>
      </c>
    </row>
    <row r="71" spans="1:14" x14ac:dyDescent="0.2">
      <c r="A71" s="367"/>
      <c r="B71" s="392"/>
      <c r="C71" s="41" t="s">
        <v>35</v>
      </c>
      <c r="D71" s="38">
        <v>292100</v>
      </c>
      <c r="E71" s="38">
        <v>292100</v>
      </c>
      <c r="F71" s="43">
        <f>'2019.10.31.'!F71</f>
        <v>0</v>
      </c>
      <c r="G71" s="38"/>
      <c r="H71" s="38"/>
      <c r="I71" s="38"/>
      <c r="J71" s="38"/>
      <c r="K71" s="38">
        <f>'2019.10.31.'!I71</f>
        <v>0</v>
      </c>
      <c r="L71" s="4">
        <f t="shared" si="3"/>
        <v>292100</v>
      </c>
      <c r="M71" s="105">
        <v>0</v>
      </c>
      <c r="N71" s="4">
        <f t="shared" si="4"/>
        <v>292100</v>
      </c>
    </row>
    <row r="72" spans="1:14" x14ac:dyDescent="0.2">
      <c r="A72" s="367"/>
      <c r="B72" s="392"/>
      <c r="C72" s="41" t="s">
        <v>11</v>
      </c>
      <c r="D72" s="38">
        <v>5127921</v>
      </c>
      <c r="E72" s="38">
        <v>5127921</v>
      </c>
      <c r="F72" s="43">
        <f>'2019.10.31.'!F72</f>
        <v>0</v>
      </c>
      <c r="G72" s="38"/>
      <c r="H72" s="38"/>
      <c r="I72" s="38"/>
      <c r="J72" s="38"/>
      <c r="K72" s="38">
        <f>'2019.10.31.'!I72</f>
        <v>0</v>
      </c>
      <c r="L72" s="4">
        <f t="shared" si="3"/>
        <v>5127921</v>
      </c>
      <c r="M72" s="105">
        <v>657720</v>
      </c>
      <c r="N72" s="4">
        <f t="shared" si="4"/>
        <v>4470201</v>
      </c>
    </row>
    <row r="73" spans="1:14" x14ac:dyDescent="0.2">
      <c r="A73" s="367"/>
      <c r="B73" s="392"/>
      <c r="C73" s="41" t="s">
        <v>12</v>
      </c>
      <c r="D73" s="38">
        <v>229492</v>
      </c>
      <c r="E73" s="38">
        <v>229492</v>
      </c>
      <c r="F73" s="43">
        <f>'2019.10.31.'!F73</f>
        <v>0</v>
      </c>
      <c r="G73" s="38"/>
      <c r="H73" s="38"/>
      <c r="I73" s="38"/>
      <c r="J73" s="38"/>
      <c r="K73" s="38">
        <f>'2019.10.31.'!I73</f>
        <v>0</v>
      </c>
      <c r="L73" s="4">
        <f t="shared" si="3"/>
        <v>229492</v>
      </c>
      <c r="M73" s="105">
        <v>0</v>
      </c>
      <c r="N73" s="4">
        <f t="shared" si="4"/>
        <v>229492</v>
      </c>
    </row>
    <row r="74" spans="1:14" x14ac:dyDescent="0.2">
      <c r="A74" s="367"/>
      <c r="B74" s="392"/>
      <c r="C74" s="41" t="s">
        <v>36</v>
      </c>
      <c r="D74" s="38">
        <v>0</v>
      </c>
      <c r="E74" s="38">
        <v>0</v>
      </c>
      <c r="F74" s="43">
        <f>'2019.10.31.'!F74</f>
        <v>0</v>
      </c>
      <c r="G74" s="38"/>
      <c r="H74" s="38"/>
      <c r="I74" s="38"/>
      <c r="J74" s="38"/>
      <c r="K74" s="38">
        <f>'2019.10.31.'!I74</f>
        <v>0</v>
      </c>
      <c r="L74" s="4">
        <f t="shared" si="3"/>
        <v>0</v>
      </c>
      <c r="M74" s="105">
        <v>0</v>
      </c>
      <c r="N74" s="4">
        <f t="shared" si="4"/>
        <v>0</v>
      </c>
    </row>
    <row r="75" spans="1:14" x14ac:dyDescent="0.2">
      <c r="A75" s="367"/>
      <c r="B75" s="392"/>
      <c r="C75" s="41" t="s">
        <v>31</v>
      </c>
      <c r="D75" s="38">
        <v>388897</v>
      </c>
      <c r="E75" s="38">
        <v>704400</v>
      </c>
      <c r="F75" s="43">
        <f>'2019.10.31.'!F75</f>
        <v>0</v>
      </c>
      <c r="G75" s="38"/>
      <c r="H75" s="38"/>
      <c r="I75" s="38"/>
      <c r="J75" s="38"/>
      <c r="K75" s="38">
        <f>'2019.10.31.'!I75</f>
        <v>0</v>
      </c>
      <c r="L75" s="4">
        <f t="shared" si="3"/>
        <v>704400</v>
      </c>
      <c r="M75" s="105">
        <v>704400</v>
      </c>
      <c r="N75" s="4">
        <f t="shared" si="4"/>
        <v>0</v>
      </c>
    </row>
    <row r="76" spans="1:14" x14ac:dyDescent="0.2">
      <c r="A76" s="367"/>
      <c r="B76" s="392"/>
      <c r="C76" s="41" t="s">
        <v>32</v>
      </c>
      <c r="D76" s="38">
        <v>0</v>
      </c>
      <c r="E76" s="38">
        <v>1818096</v>
      </c>
      <c r="F76" s="43">
        <f>'2019.10.31.'!F76</f>
        <v>0</v>
      </c>
      <c r="G76" s="38"/>
      <c r="H76" s="38"/>
      <c r="I76" s="38"/>
      <c r="J76" s="38"/>
      <c r="K76" s="38">
        <f>'2019.10.31.'!I76</f>
        <v>0</v>
      </c>
      <c r="L76" s="4">
        <f t="shared" si="3"/>
        <v>1818096</v>
      </c>
      <c r="M76" s="105">
        <v>1818096</v>
      </c>
      <c r="N76" s="4">
        <f t="shared" si="4"/>
        <v>0</v>
      </c>
    </row>
    <row r="77" spans="1:14" x14ac:dyDescent="0.2">
      <c r="A77" s="367"/>
      <c r="B77" s="392"/>
      <c r="C77" s="41" t="s">
        <v>13</v>
      </c>
      <c r="D77" s="38">
        <v>4296741</v>
      </c>
      <c r="E77" s="38">
        <v>2678560</v>
      </c>
      <c r="F77" s="43">
        <f>'2019.10.31.'!F77</f>
        <v>0</v>
      </c>
      <c r="G77" s="38"/>
      <c r="H77" s="38"/>
      <c r="I77" s="38"/>
      <c r="J77" s="38"/>
      <c r="K77" s="38">
        <f>'2019.10.31.'!I77</f>
        <v>0</v>
      </c>
      <c r="L77" s="4">
        <f t="shared" si="3"/>
        <v>2678560</v>
      </c>
      <c r="M77" s="105">
        <v>2568661</v>
      </c>
      <c r="N77" s="4">
        <f t="shared" si="4"/>
        <v>109899</v>
      </c>
    </row>
    <row r="78" spans="1:14" x14ac:dyDescent="0.2">
      <c r="A78" s="367"/>
      <c r="B78" s="392"/>
      <c r="C78" s="41" t="s">
        <v>14</v>
      </c>
      <c r="D78" s="38">
        <v>1265122</v>
      </c>
      <c r="E78" s="38">
        <v>1404285</v>
      </c>
      <c r="F78" s="43">
        <f>'2019.10.31.'!F78</f>
        <v>0</v>
      </c>
      <c r="G78" s="38"/>
      <c r="H78" s="38"/>
      <c r="I78" s="38"/>
      <c r="J78" s="38"/>
      <c r="K78" s="38">
        <f>'2019.10.31.'!I78</f>
        <v>0</v>
      </c>
      <c r="L78" s="4">
        <f t="shared" si="3"/>
        <v>1404285</v>
      </c>
      <c r="M78" s="105">
        <v>1374613</v>
      </c>
      <c r="N78" s="4">
        <f t="shared" si="4"/>
        <v>29672</v>
      </c>
    </row>
    <row r="79" spans="1:14" x14ac:dyDescent="0.2">
      <c r="A79" s="367"/>
      <c r="B79" s="392"/>
      <c r="C79" s="41" t="s">
        <v>15</v>
      </c>
      <c r="D79" s="38">
        <v>4121943</v>
      </c>
      <c r="E79" s="38">
        <v>4121943</v>
      </c>
      <c r="F79" s="43">
        <f>'2019.10.31.'!F79</f>
        <v>0</v>
      </c>
      <c r="G79" s="38"/>
      <c r="H79" s="38"/>
      <c r="I79" s="38"/>
      <c r="J79" s="38"/>
      <c r="K79" s="38">
        <f>'2019.10.31.'!I79</f>
        <v>0</v>
      </c>
      <c r="L79" s="4">
        <f t="shared" si="3"/>
        <v>4121943</v>
      </c>
      <c r="M79" s="105">
        <v>2828729</v>
      </c>
      <c r="N79" s="4">
        <f t="shared" si="4"/>
        <v>1293214</v>
      </c>
    </row>
    <row r="80" spans="1:14" x14ac:dyDescent="0.2">
      <c r="A80" s="340"/>
      <c r="B80" s="392"/>
      <c r="C80" s="41" t="s">
        <v>16</v>
      </c>
      <c r="D80" s="38">
        <v>1112924</v>
      </c>
      <c r="E80" s="38">
        <v>1112924</v>
      </c>
      <c r="F80" s="43">
        <f>'2019.10.31.'!F80</f>
        <v>0</v>
      </c>
      <c r="G80" s="38"/>
      <c r="H80" s="38"/>
      <c r="I80" s="38"/>
      <c r="J80" s="38"/>
      <c r="K80" s="38">
        <f>'2019.10.31.'!I80</f>
        <v>0</v>
      </c>
      <c r="L80" s="4">
        <f t="shared" si="3"/>
        <v>1112924</v>
      </c>
      <c r="M80" s="105">
        <v>493942</v>
      </c>
      <c r="N80" s="4">
        <f t="shared" si="4"/>
        <v>618982</v>
      </c>
    </row>
    <row r="81" spans="1:15" ht="16.5" customHeight="1" x14ac:dyDescent="0.2">
      <c r="A81" s="476" t="s">
        <v>127</v>
      </c>
      <c r="B81" s="470" t="s">
        <v>128</v>
      </c>
      <c r="C81" s="131" t="s">
        <v>7</v>
      </c>
      <c r="D81" s="42">
        <v>0</v>
      </c>
      <c r="E81" s="42">
        <v>5274140</v>
      </c>
      <c r="F81" s="43">
        <f>'2019.10.31.'!F81+'2019.09.30.'!F80</f>
        <v>-2109656</v>
      </c>
      <c r="G81" s="38"/>
      <c r="H81" s="38"/>
      <c r="I81" s="38"/>
      <c r="J81" s="38"/>
      <c r="K81" s="38">
        <f>'2019.10.31.'!I81</f>
        <v>0</v>
      </c>
      <c r="L81" s="4">
        <f>SUM(E81:K81)</f>
        <v>3164484</v>
      </c>
      <c r="M81" s="105">
        <v>2109656</v>
      </c>
      <c r="N81" s="4">
        <f t="shared" si="4"/>
        <v>1054828</v>
      </c>
    </row>
    <row r="82" spans="1:15" x14ac:dyDescent="0.2">
      <c r="A82" s="477"/>
      <c r="B82" s="475"/>
      <c r="C82" s="131" t="s">
        <v>9</v>
      </c>
      <c r="D82" s="42">
        <v>0</v>
      </c>
      <c r="E82" s="42">
        <v>978519</v>
      </c>
      <c r="F82" s="43">
        <f>'2019.10.31.'!F82+'2019.09.30.'!F81</f>
        <v>-424736</v>
      </c>
      <c r="G82" s="38"/>
      <c r="H82" s="38"/>
      <c r="I82" s="38"/>
      <c r="J82" s="38"/>
      <c r="K82" s="38">
        <f>'2019.10.31.'!I82</f>
        <v>0</v>
      </c>
      <c r="L82" s="4">
        <f t="shared" si="3"/>
        <v>553783</v>
      </c>
      <c r="M82" s="105">
        <v>369188</v>
      </c>
      <c r="N82" s="4">
        <f t="shared" si="4"/>
        <v>184595</v>
      </c>
    </row>
    <row r="83" spans="1:15" x14ac:dyDescent="0.2">
      <c r="A83" s="477"/>
      <c r="B83" s="475"/>
      <c r="C83" s="131" t="s">
        <v>22</v>
      </c>
      <c r="D83" s="42">
        <v>0</v>
      </c>
      <c r="E83" s="42">
        <v>2756</v>
      </c>
      <c r="F83" s="43">
        <f>'2019.10.31.'!F83+'2019.09.30.'!F82</f>
        <v>2403710</v>
      </c>
      <c r="G83" s="38"/>
      <c r="H83" s="38"/>
      <c r="I83" s="38"/>
      <c r="J83" s="38"/>
      <c r="K83" s="38">
        <f>'2019.10.31.'!I83</f>
        <v>0</v>
      </c>
      <c r="L83" s="4">
        <f t="shared" si="3"/>
        <v>2406466</v>
      </c>
      <c r="M83" s="105">
        <v>2406466</v>
      </c>
      <c r="N83" s="4">
        <f t="shared" si="4"/>
        <v>0</v>
      </c>
      <c r="O83" s="166"/>
    </row>
    <row r="84" spans="1:15" x14ac:dyDescent="0.2">
      <c r="A84" s="477"/>
      <c r="B84" s="475"/>
      <c r="C84" s="131" t="s">
        <v>33</v>
      </c>
      <c r="D84" s="42">
        <v>0</v>
      </c>
      <c r="E84" s="42">
        <v>0</v>
      </c>
      <c r="F84" s="43">
        <f>'2019.10.31.'!F84</f>
        <v>27244</v>
      </c>
      <c r="G84" s="38"/>
      <c r="H84" s="38"/>
      <c r="I84" s="38"/>
      <c r="J84" s="38"/>
      <c r="K84" s="38">
        <f>'2019.10.31.'!I84</f>
        <v>0</v>
      </c>
      <c r="L84" s="4">
        <f t="shared" si="3"/>
        <v>27244</v>
      </c>
      <c r="M84" s="105">
        <v>27244</v>
      </c>
      <c r="N84" s="4">
        <f t="shared" si="4"/>
        <v>0</v>
      </c>
      <c r="O84" s="166"/>
    </row>
    <row r="85" spans="1:15" x14ac:dyDescent="0.2">
      <c r="A85" s="477"/>
      <c r="B85" s="475"/>
      <c r="C85" s="131" t="s">
        <v>34</v>
      </c>
      <c r="D85" s="42">
        <v>0</v>
      </c>
      <c r="E85" s="42">
        <v>1248000</v>
      </c>
      <c r="F85" s="43">
        <f>'2019.10.31.'!F85+'2019.09.30.'!F83</f>
        <v>-707843</v>
      </c>
      <c r="G85" s="38"/>
      <c r="H85" s="38"/>
      <c r="I85" s="38"/>
      <c r="J85" s="38"/>
      <c r="K85" s="38">
        <f>'2019.10.31.'!I85</f>
        <v>0</v>
      </c>
      <c r="L85" s="4">
        <f t="shared" si="3"/>
        <v>540157</v>
      </c>
      <c r="M85" s="105">
        <v>0</v>
      </c>
      <c r="N85" s="4">
        <f t="shared" si="4"/>
        <v>540157</v>
      </c>
      <c r="O85" s="166"/>
    </row>
    <row r="86" spans="1:15" x14ac:dyDescent="0.2">
      <c r="A86" s="477"/>
      <c r="B86" s="475"/>
      <c r="C86" s="131" t="s">
        <v>10</v>
      </c>
      <c r="D86" s="42">
        <v>0</v>
      </c>
      <c r="E86" s="42">
        <v>0</v>
      </c>
      <c r="F86" s="43">
        <f>'2019.10.31.'!F86+'2019.09.30.'!F84</f>
        <v>846181</v>
      </c>
      <c r="G86" s="38"/>
      <c r="H86" s="38"/>
      <c r="I86" s="38"/>
      <c r="J86" s="38"/>
      <c r="K86" s="38">
        <f>'2019.10.31.'!I86</f>
        <v>0</v>
      </c>
      <c r="L86" s="4">
        <f t="shared" si="3"/>
        <v>846181</v>
      </c>
      <c r="M86" s="105">
        <v>0</v>
      </c>
      <c r="N86" s="4">
        <f t="shared" si="4"/>
        <v>846181</v>
      </c>
      <c r="O86" s="166"/>
    </row>
    <row r="87" spans="1:15" x14ac:dyDescent="0.2">
      <c r="A87" s="477"/>
      <c r="B87" s="475"/>
      <c r="C87" s="131" t="s">
        <v>2</v>
      </c>
      <c r="D87" s="42">
        <v>0</v>
      </c>
      <c r="E87" s="42">
        <v>6292893</v>
      </c>
      <c r="F87" s="43">
        <f>'2019.10.31.'!F87+'2019.09.30.'!F85</f>
        <v>-2305334</v>
      </c>
      <c r="G87" s="38"/>
      <c r="H87" s="38"/>
      <c r="I87" s="38"/>
      <c r="J87" s="38"/>
      <c r="K87" s="38">
        <f>'2019.10.31.'!I87</f>
        <v>0</v>
      </c>
      <c r="L87" s="4">
        <f t="shared" si="3"/>
        <v>3987559</v>
      </c>
      <c r="M87" s="105">
        <v>3279685</v>
      </c>
      <c r="N87" s="4">
        <f t="shared" si="4"/>
        <v>707874</v>
      </c>
      <c r="O87" s="166"/>
    </row>
    <row r="88" spans="1:15" x14ac:dyDescent="0.2">
      <c r="A88" s="477"/>
      <c r="B88" s="475"/>
      <c r="C88" s="131" t="s">
        <v>117</v>
      </c>
      <c r="D88" s="42">
        <v>0</v>
      </c>
      <c r="E88" s="42">
        <v>0</v>
      </c>
      <c r="F88" s="43">
        <f>'2019.10.31.'!F88+'2019.09.30.'!F86</f>
        <v>354000</v>
      </c>
      <c r="G88" s="38"/>
      <c r="H88" s="38"/>
      <c r="I88" s="38"/>
      <c r="J88" s="38"/>
      <c r="K88" s="38">
        <f>'2019.10.31.'!I88</f>
        <v>0</v>
      </c>
      <c r="L88" s="4">
        <f t="shared" si="3"/>
        <v>354000</v>
      </c>
      <c r="M88" s="105">
        <v>0</v>
      </c>
      <c r="N88" s="4">
        <f t="shared" si="4"/>
        <v>354000</v>
      </c>
      <c r="O88" s="166"/>
    </row>
    <row r="89" spans="1:15" x14ac:dyDescent="0.2">
      <c r="A89" s="477"/>
      <c r="B89" s="475"/>
      <c r="C89" s="131" t="s">
        <v>11</v>
      </c>
      <c r="D89" s="42">
        <v>0</v>
      </c>
      <c r="E89" s="42">
        <v>3444</v>
      </c>
      <c r="F89" s="43">
        <f>'2019.10.31.'!F89+'2019.09.30.'!F87</f>
        <v>1056434</v>
      </c>
      <c r="G89" s="38"/>
      <c r="H89" s="38"/>
      <c r="I89" s="38"/>
      <c r="J89" s="38"/>
      <c r="K89" s="38">
        <f>'2019.10.31.'!I89</f>
        <v>0</v>
      </c>
      <c r="L89" s="4">
        <f t="shared" si="3"/>
        <v>1059878</v>
      </c>
      <c r="M89" s="105">
        <v>665117</v>
      </c>
      <c r="N89" s="120">
        <f t="shared" si="4"/>
        <v>394761</v>
      </c>
      <c r="O89" s="166"/>
    </row>
    <row r="90" spans="1:15" x14ac:dyDescent="0.2">
      <c r="A90" s="477"/>
      <c r="B90" s="475"/>
      <c r="C90" s="131" t="s">
        <v>12</v>
      </c>
      <c r="D90" s="42">
        <v>0</v>
      </c>
      <c r="E90" s="42">
        <v>40000</v>
      </c>
      <c r="F90" s="43">
        <f>'2019.10.31.'!F90+'2019.09.30.'!F88</f>
        <v>860000</v>
      </c>
      <c r="G90" s="38"/>
      <c r="H90" s="38"/>
      <c r="I90" s="38"/>
      <c r="J90" s="38"/>
      <c r="K90" s="38">
        <f>'2019.10.31.'!I90</f>
        <v>0</v>
      </c>
      <c r="L90" s="4">
        <f t="shared" si="3"/>
        <v>900000</v>
      </c>
      <c r="M90" s="105">
        <v>100000</v>
      </c>
      <c r="N90" s="4">
        <f t="shared" si="4"/>
        <v>800000</v>
      </c>
      <c r="O90" s="166"/>
    </row>
    <row r="91" spans="1:15" x14ac:dyDescent="0.2">
      <c r="A91" s="477"/>
      <c r="B91" s="475"/>
      <c r="C91" s="131" t="s">
        <v>31</v>
      </c>
      <c r="D91" s="42">
        <v>0</v>
      </c>
      <c r="E91" s="42">
        <v>262453</v>
      </c>
      <c r="F91" s="43">
        <f>'2019.10.31.'!F91</f>
        <v>0</v>
      </c>
      <c r="G91" s="38"/>
      <c r="H91" s="38"/>
      <c r="I91" s="38"/>
      <c r="J91" s="38"/>
      <c r="K91" s="38">
        <f>'2019.10.31.'!I91</f>
        <v>0</v>
      </c>
      <c r="L91" s="4">
        <f t="shared" si="3"/>
        <v>262453</v>
      </c>
      <c r="M91" s="105">
        <v>0</v>
      </c>
      <c r="N91" s="4">
        <f t="shared" si="4"/>
        <v>262453</v>
      </c>
      <c r="O91" s="166"/>
    </row>
    <row r="92" spans="1:15" x14ac:dyDescent="0.2">
      <c r="A92" s="477"/>
      <c r="B92" s="475"/>
      <c r="C92" s="131" t="s">
        <v>32</v>
      </c>
      <c r="D92" s="42">
        <v>0</v>
      </c>
      <c r="E92" s="42">
        <v>0</v>
      </c>
      <c r="F92" s="43">
        <f>'2019.10.31.'!F92+'2019.09.30.'!F90+345000</f>
        <v>721800</v>
      </c>
      <c r="G92" s="38"/>
      <c r="H92" s="38"/>
      <c r="I92" s="38"/>
      <c r="J92" s="38"/>
      <c r="K92" s="38">
        <f>'2019.10.31.'!I92</f>
        <v>0</v>
      </c>
      <c r="L92" s="4">
        <f t="shared" si="3"/>
        <v>721800</v>
      </c>
      <c r="M92" s="105">
        <v>0</v>
      </c>
      <c r="N92" s="4">
        <f t="shared" si="4"/>
        <v>721800</v>
      </c>
      <c r="O92" s="166"/>
    </row>
    <row r="93" spans="1:15" ht="13.5" customHeight="1" x14ac:dyDescent="0.2">
      <c r="A93" s="477"/>
      <c r="B93" s="475"/>
      <c r="C93" s="131" t="s">
        <v>13</v>
      </c>
      <c r="D93" s="42">
        <v>0</v>
      </c>
      <c r="E93" s="42">
        <v>8077000</v>
      </c>
      <c r="F93" s="43">
        <f>'2019.10.31.'!F93+'2019.09.30.'!F91-345000</f>
        <v>-721800</v>
      </c>
      <c r="G93" s="38"/>
      <c r="H93" s="38"/>
      <c r="I93" s="38"/>
      <c r="J93" s="38"/>
      <c r="K93" s="38">
        <f>'2019.10.31.'!I93</f>
        <v>0</v>
      </c>
      <c r="L93" s="4">
        <f t="shared" si="3"/>
        <v>7355200</v>
      </c>
      <c r="M93" s="105">
        <v>0</v>
      </c>
      <c r="N93" s="4">
        <f t="shared" si="4"/>
        <v>7355200</v>
      </c>
    </row>
    <row r="94" spans="1:15" ht="13.5" customHeight="1" x14ac:dyDescent="0.2">
      <c r="A94" s="477"/>
      <c r="B94" s="475"/>
      <c r="C94" s="131" t="s">
        <v>14</v>
      </c>
      <c r="D94" s="42">
        <v>0</v>
      </c>
      <c r="E94" s="42">
        <v>2251652</v>
      </c>
      <c r="F94" s="43">
        <f>'2019.10.31.'!F94+'2019.09.30.'!F93</f>
        <v>0</v>
      </c>
      <c r="G94" s="38"/>
      <c r="H94" s="38"/>
      <c r="I94" s="38"/>
      <c r="J94" s="38"/>
      <c r="K94" s="38">
        <f>'2019.10.31.'!I94</f>
        <v>0</v>
      </c>
      <c r="L94" s="4">
        <f t="shared" si="3"/>
        <v>2251652</v>
      </c>
      <c r="M94" s="105">
        <v>0</v>
      </c>
      <c r="N94" s="4">
        <f t="shared" si="4"/>
        <v>2251652</v>
      </c>
    </row>
    <row r="95" spans="1:15" x14ac:dyDescent="0.2">
      <c r="A95" s="477"/>
      <c r="B95" s="475"/>
      <c r="C95" s="131" t="s">
        <v>15</v>
      </c>
      <c r="D95" s="42">
        <v>0</v>
      </c>
      <c r="E95" s="42">
        <v>30539278</v>
      </c>
      <c r="F95" s="43">
        <f>'2019.10.31.'!F95+'2019.09.30.'!F94</f>
        <v>0</v>
      </c>
      <c r="G95" s="38"/>
      <c r="H95" s="38"/>
      <c r="I95" s="38"/>
      <c r="J95" s="38"/>
      <c r="K95" s="38">
        <f>'2019.10.31.'!I95</f>
        <v>0</v>
      </c>
      <c r="L95" s="4">
        <f t="shared" si="3"/>
        <v>30539278</v>
      </c>
      <c r="M95" s="105">
        <v>0</v>
      </c>
      <c r="N95" s="4">
        <f t="shared" si="4"/>
        <v>30539278</v>
      </c>
    </row>
    <row r="96" spans="1:15" x14ac:dyDescent="0.2">
      <c r="A96" s="478"/>
      <c r="B96" s="471"/>
      <c r="C96" s="131" t="s">
        <v>16</v>
      </c>
      <c r="D96" s="42">
        <v>0</v>
      </c>
      <c r="E96" s="42">
        <v>8245606</v>
      </c>
      <c r="F96" s="43">
        <f>'2019.10.31.'!F96+'2019.09.30.'!F95</f>
        <v>0</v>
      </c>
      <c r="G96" s="38"/>
      <c r="H96" s="38"/>
      <c r="I96" s="38"/>
      <c r="J96" s="38"/>
      <c r="K96" s="38">
        <f>'2019.10.31.'!I96</f>
        <v>0</v>
      </c>
      <c r="L96" s="4">
        <f t="shared" si="3"/>
        <v>8245606</v>
      </c>
      <c r="M96" s="105">
        <v>0</v>
      </c>
      <c r="N96" s="4">
        <f t="shared" si="4"/>
        <v>8245606</v>
      </c>
    </row>
    <row r="97" spans="1:14" ht="23.25" customHeight="1" x14ac:dyDescent="0.2">
      <c r="A97" s="479" t="s">
        <v>86</v>
      </c>
      <c r="B97" s="480"/>
      <c r="C97" s="481"/>
      <c r="D97" s="138">
        <f t="shared" ref="D97:N97" si="5">SUM(D32:D96)</f>
        <v>426209554</v>
      </c>
      <c r="E97" s="138">
        <f t="shared" si="5"/>
        <v>519396064</v>
      </c>
      <c r="F97" s="138">
        <f t="shared" si="5"/>
        <v>0</v>
      </c>
      <c r="G97" s="138">
        <f t="shared" si="5"/>
        <v>0</v>
      </c>
      <c r="H97" s="138">
        <f t="shared" si="5"/>
        <v>-3633008</v>
      </c>
      <c r="I97" s="138">
        <f t="shared" si="5"/>
        <v>4000</v>
      </c>
      <c r="J97" s="138">
        <f t="shared" si="5"/>
        <v>-1328080</v>
      </c>
      <c r="K97" s="138">
        <f t="shared" si="5"/>
        <v>2346000</v>
      </c>
      <c r="L97" s="138">
        <f t="shared" si="5"/>
        <v>516784976</v>
      </c>
      <c r="M97" s="138">
        <f t="shared" si="5"/>
        <v>336391130</v>
      </c>
      <c r="N97" s="138">
        <f t="shared" si="5"/>
        <v>180393846</v>
      </c>
    </row>
    <row r="98" spans="1:14" x14ac:dyDescent="0.2">
      <c r="F98" s="2"/>
    </row>
    <row r="99" spans="1:14" x14ac:dyDescent="0.2">
      <c r="F99" s="2"/>
    </row>
    <row r="100" spans="1:14" x14ac:dyDescent="0.2">
      <c r="F100" s="2"/>
    </row>
    <row r="101" spans="1:14" ht="15.75" x14ac:dyDescent="0.25">
      <c r="A101" s="64" t="s">
        <v>140</v>
      </c>
      <c r="F101" s="2"/>
    </row>
    <row r="102" spans="1:14" x14ac:dyDescent="0.2">
      <c r="G102" s="73"/>
      <c r="H102" s="73"/>
      <c r="I102" s="73"/>
      <c r="N102" s="55"/>
    </row>
    <row r="103" spans="1:14" s="85" customFormat="1" ht="56.25" x14ac:dyDescent="0.2">
      <c r="A103" s="387" t="s">
        <v>101</v>
      </c>
      <c r="B103" s="388"/>
      <c r="C103" s="84" t="s">
        <v>44</v>
      </c>
      <c r="D103" s="86" t="s">
        <v>21</v>
      </c>
      <c r="E103" s="86" t="s">
        <v>142</v>
      </c>
      <c r="F103" s="172" t="s">
        <v>43</v>
      </c>
      <c r="G103" s="100" t="s">
        <v>175</v>
      </c>
      <c r="H103" s="100" t="s">
        <v>173</v>
      </c>
      <c r="I103" s="100" t="s">
        <v>176</v>
      </c>
      <c r="J103" s="100" t="s">
        <v>174</v>
      </c>
      <c r="K103" s="100" t="s">
        <v>171</v>
      </c>
      <c r="L103" s="86" t="s">
        <v>172</v>
      </c>
      <c r="M103" s="106" t="s">
        <v>169</v>
      </c>
    </row>
    <row r="104" spans="1:14" x14ac:dyDescent="0.2">
      <c r="A104" s="389"/>
      <c r="B104" s="376"/>
      <c r="C104" s="63" t="s">
        <v>25</v>
      </c>
      <c r="D104" s="4">
        <f t="shared" ref="D104:M104" si="6">D30+D29+D28+D20+D15+D13+D11+D14+D9+D25</f>
        <v>393662673</v>
      </c>
      <c r="E104" s="4">
        <f t="shared" si="6"/>
        <v>436767813</v>
      </c>
      <c r="F104" s="4">
        <f>F30+F29+F28+F20+F15+F13+F11+F14+F9+F25</f>
        <v>0</v>
      </c>
      <c r="G104" s="4">
        <f t="shared" si="6"/>
        <v>0</v>
      </c>
      <c r="H104" s="4">
        <f t="shared" ref="H104:L104" si="7">H30+H29+H28+H20+H15+H13+H11+H14+H9+H25</f>
        <v>-3633008</v>
      </c>
      <c r="I104" s="4">
        <f t="shared" si="7"/>
        <v>0</v>
      </c>
      <c r="J104" s="4">
        <f t="shared" si="7"/>
        <v>-1328080</v>
      </c>
      <c r="K104" s="4">
        <f t="shared" si="7"/>
        <v>2346000</v>
      </c>
      <c r="L104" s="4">
        <f t="shared" si="7"/>
        <v>434152725</v>
      </c>
      <c r="M104" s="4">
        <f t="shared" si="6"/>
        <v>335588295</v>
      </c>
    </row>
    <row r="105" spans="1:14" x14ac:dyDescent="0.2">
      <c r="A105" s="389"/>
      <c r="B105" s="376"/>
      <c r="C105" s="63" t="s">
        <v>37</v>
      </c>
      <c r="D105" s="4">
        <f t="shared" ref="D105:M105" si="8">D21+D16+D12+D26</f>
        <v>4500000</v>
      </c>
      <c r="E105" s="4">
        <f t="shared" si="8"/>
        <v>54530570</v>
      </c>
      <c r="F105" s="4">
        <f t="shared" si="8"/>
        <v>0</v>
      </c>
      <c r="G105" s="4">
        <f t="shared" si="8"/>
        <v>0</v>
      </c>
      <c r="H105" s="4">
        <f t="shared" ref="H105:L105" si="9">H21+H16+H12+H26</f>
        <v>0</v>
      </c>
      <c r="I105" s="4">
        <f t="shared" si="9"/>
        <v>0</v>
      </c>
      <c r="J105" s="4">
        <f t="shared" si="9"/>
        <v>0</v>
      </c>
      <c r="K105" s="4">
        <f t="shared" si="9"/>
        <v>0</v>
      </c>
      <c r="L105" s="4">
        <f t="shared" si="9"/>
        <v>54530570</v>
      </c>
      <c r="M105" s="4">
        <f t="shared" si="8"/>
        <v>54261340</v>
      </c>
    </row>
    <row r="106" spans="1:14" x14ac:dyDescent="0.2">
      <c r="A106" s="389"/>
      <c r="B106" s="376"/>
      <c r="C106" s="63" t="s">
        <v>27</v>
      </c>
      <c r="D106" s="4">
        <f t="shared" ref="D106:L107" si="10">D6</f>
        <v>0</v>
      </c>
      <c r="E106" s="4">
        <f t="shared" si="10"/>
        <v>40000</v>
      </c>
      <c r="F106" s="4">
        <v>0</v>
      </c>
      <c r="G106" s="4">
        <f t="shared" si="10"/>
        <v>0</v>
      </c>
      <c r="H106" s="4">
        <f t="shared" si="10"/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4" x14ac:dyDescent="0.2">
      <c r="A107" s="389"/>
      <c r="B107" s="376"/>
      <c r="C107" s="63" t="s">
        <v>139</v>
      </c>
      <c r="D107" s="4">
        <f t="shared" si="10"/>
        <v>0</v>
      </c>
      <c r="E107" s="4">
        <f t="shared" si="10"/>
        <v>10800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0</v>
      </c>
      <c r="K107" s="4">
        <f t="shared" si="10"/>
        <v>0</v>
      </c>
      <c r="L107" s="4">
        <f t="shared" si="10"/>
        <v>10800</v>
      </c>
      <c r="M107" s="4">
        <f>M7</f>
        <v>10800</v>
      </c>
    </row>
    <row r="108" spans="1:14" x14ac:dyDescent="0.2">
      <c r="A108" s="389"/>
      <c r="B108" s="376"/>
      <c r="C108" s="63" t="s">
        <v>40</v>
      </c>
      <c r="D108" s="4">
        <f t="shared" ref="D108:M108" si="11">D24+D18+D8</f>
        <v>2300</v>
      </c>
      <c r="E108" s="4">
        <f t="shared" si="11"/>
        <v>2000</v>
      </c>
      <c r="F108" s="4">
        <f>F24+F18+F8</f>
        <v>-1643</v>
      </c>
      <c r="G108" s="4">
        <f t="shared" si="11"/>
        <v>0</v>
      </c>
      <c r="H108" s="4">
        <f t="shared" ref="H108:L108" si="12">H24+H18+H8</f>
        <v>0</v>
      </c>
      <c r="I108" s="4">
        <f t="shared" si="12"/>
        <v>2000</v>
      </c>
      <c r="J108" s="4">
        <f t="shared" si="12"/>
        <v>0</v>
      </c>
      <c r="K108" s="4">
        <f t="shared" si="12"/>
        <v>0</v>
      </c>
      <c r="L108" s="120">
        <f t="shared" si="12"/>
        <v>2357</v>
      </c>
      <c r="M108" s="4">
        <f t="shared" si="11"/>
        <v>1390</v>
      </c>
    </row>
    <row r="109" spans="1:14" x14ac:dyDescent="0.2">
      <c r="A109" s="389"/>
      <c r="B109" s="376"/>
      <c r="C109" s="63" t="s">
        <v>41</v>
      </c>
      <c r="D109" s="4">
        <f t="shared" ref="D109:L109" si="13">D19+D23+D6+D27</f>
        <v>0</v>
      </c>
      <c r="E109" s="4">
        <f t="shared" si="13"/>
        <v>40300</v>
      </c>
      <c r="F109" s="4">
        <f>F19+F23+F6+F27</f>
        <v>1643</v>
      </c>
      <c r="G109" s="4">
        <f t="shared" si="13"/>
        <v>0</v>
      </c>
      <c r="H109" s="4">
        <f t="shared" si="13"/>
        <v>0</v>
      </c>
      <c r="I109" s="4">
        <f t="shared" si="13"/>
        <v>2000</v>
      </c>
      <c r="J109" s="4">
        <f t="shared" si="13"/>
        <v>0</v>
      </c>
      <c r="K109" s="4">
        <f t="shared" si="13"/>
        <v>0</v>
      </c>
      <c r="L109" s="120">
        <f t="shared" si="13"/>
        <v>43943</v>
      </c>
      <c r="M109" s="4">
        <f>M19+M23+M6+M27</f>
        <v>41943</v>
      </c>
    </row>
    <row r="110" spans="1:14" x14ac:dyDescent="0.2">
      <c r="A110" s="389"/>
      <c r="B110" s="376"/>
      <c r="C110" s="65" t="s">
        <v>93</v>
      </c>
      <c r="D110" s="66">
        <f t="shared" ref="D110:L110" si="14">D24+D23+D19+D18+D8+D7+D6+D27</f>
        <v>2300</v>
      </c>
      <c r="E110" s="66">
        <f t="shared" si="14"/>
        <v>53100</v>
      </c>
      <c r="F110" s="66">
        <f t="shared" si="14"/>
        <v>0</v>
      </c>
      <c r="G110" s="66">
        <f t="shared" si="14"/>
        <v>0</v>
      </c>
      <c r="H110" s="66">
        <f t="shared" si="14"/>
        <v>0</v>
      </c>
      <c r="I110" s="66">
        <f t="shared" si="14"/>
        <v>4000</v>
      </c>
      <c r="J110" s="66">
        <f t="shared" si="14"/>
        <v>0</v>
      </c>
      <c r="K110" s="66">
        <f t="shared" si="14"/>
        <v>0</v>
      </c>
      <c r="L110" s="66">
        <f t="shared" si="14"/>
        <v>57100</v>
      </c>
      <c r="M110" s="66">
        <f>M24+M23+M19+M18+M8+M7+M6+M27</f>
        <v>54133</v>
      </c>
      <c r="N110" s="1"/>
    </row>
    <row r="111" spans="1:14" x14ac:dyDescent="0.2">
      <c r="A111" s="389"/>
      <c r="B111" s="376"/>
      <c r="C111" s="63" t="s">
        <v>28</v>
      </c>
      <c r="D111" s="4">
        <f t="shared" ref="D111:M111" si="15">D22+D17+D10</f>
        <v>28044581</v>
      </c>
      <c r="E111" s="4">
        <f t="shared" si="15"/>
        <v>28044581</v>
      </c>
      <c r="F111" s="4">
        <f t="shared" si="15"/>
        <v>0</v>
      </c>
      <c r="G111" s="107">
        <f t="shared" si="15"/>
        <v>0</v>
      </c>
      <c r="H111" s="107">
        <f t="shared" si="15"/>
        <v>0</v>
      </c>
      <c r="I111" s="107">
        <f t="shared" si="15"/>
        <v>0</v>
      </c>
      <c r="J111" s="107">
        <f t="shared" si="15"/>
        <v>0</v>
      </c>
      <c r="K111" s="107">
        <f t="shared" si="15"/>
        <v>0</v>
      </c>
      <c r="L111" s="107">
        <f t="shared" si="15"/>
        <v>28044581</v>
      </c>
      <c r="M111" s="107">
        <f t="shared" si="15"/>
        <v>28044581</v>
      </c>
    </row>
    <row r="112" spans="1:14" x14ac:dyDescent="0.2">
      <c r="A112" s="389"/>
      <c r="B112" s="376"/>
      <c r="C112" s="65" t="s">
        <v>92</v>
      </c>
      <c r="D112" s="66">
        <f t="shared" ref="D112:M112" si="16">D22+D17+D10</f>
        <v>28044581</v>
      </c>
      <c r="E112" s="109">
        <f t="shared" si="16"/>
        <v>28044581</v>
      </c>
      <c r="F112" s="109">
        <f t="shared" si="16"/>
        <v>0</v>
      </c>
      <c r="G112" s="109">
        <f t="shared" si="16"/>
        <v>0</v>
      </c>
      <c r="H112" s="109">
        <f t="shared" si="16"/>
        <v>0</v>
      </c>
      <c r="I112" s="109">
        <f t="shared" si="16"/>
        <v>0</v>
      </c>
      <c r="J112" s="109">
        <f t="shared" si="16"/>
        <v>0</v>
      </c>
      <c r="K112" s="109">
        <f t="shared" si="16"/>
        <v>0</v>
      </c>
      <c r="L112" s="109">
        <f t="shared" si="16"/>
        <v>28044581</v>
      </c>
      <c r="M112" s="109">
        <f t="shared" si="16"/>
        <v>28044581</v>
      </c>
      <c r="N112" s="1"/>
    </row>
    <row r="113" spans="1:14" x14ac:dyDescent="0.2">
      <c r="A113" s="389"/>
      <c r="B113" s="376"/>
      <c r="C113" s="65" t="s">
        <v>102</v>
      </c>
      <c r="D113" s="66">
        <f t="shared" ref="D113:M113" si="17">D31</f>
        <v>426209554</v>
      </c>
      <c r="E113" s="66">
        <f t="shared" si="17"/>
        <v>519396064</v>
      </c>
      <c r="F113" s="66">
        <f t="shared" si="17"/>
        <v>0</v>
      </c>
      <c r="G113" s="66">
        <f t="shared" si="17"/>
        <v>0</v>
      </c>
      <c r="H113" s="66">
        <f t="shared" si="17"/>
        <v>-3633008</v>
      </c>
      <c r="I113" s="66">
        <f t="shared" si="17"/>
        <v>4000</v>
      </c>
      <c r="J113" s="66">
        <f t="shared" si="17"/>
        <v>-1328080</v>
      </c>
      <c r="K113" s="66">
        <f t="shared" si="17"/>
        <v>2346000</v>
      </c>
      <c r="L113" s="66">
        <f t="shared" si="17"/>
        <v>516784976</v>
      </c>
      <c r="M113" s="66">
        <f t="shared" si="17"/>
        <v>417948349</v>
      </c>
      <c r="N113" s="1"/>
    </row>
    <row r="114" spans="1:14" x14ac:dyDescent="0.2">
      <c r="A114" s="389"/>
      <c r="B114" s="376"/>
      <c r="C114" s="63" t="s">
        <v>7</v>
      </c>
      <c r="D114" s="4">
        <f>D63+D50+D81</f>
        <v>970000</v>
      </c>
      <c r="E114" s="4">
        <f>E63+E50+E81</f>
        <v>6244140</v>
      </c>
      <c r="F114" s="4">
        <f t="shared" ref="F114:M114" si="18">F63+F50+F81</f>
        <v>-2109656</v>
      </c>
      <c r="G114" s="4">
        <f t="shared" si="18"/>
        <v>0</v>
      </c>
      <c r="H114" s="120">
        <f t="shared" ref="H114:K114" si="19">H63+H50+H81</f>
        <v>0</v>
      </c>
      <c r="I114" s="120">
        <f t="shared" si="19"/>
        <v>0</v>
      </c>
      <c r="J114" s="120">
        <f t="shared" si="19"/>
        <v>0</v>
      </c>
      <c r="K114" s="120">
        <f t="shared" si="19"/>
        <v>0</v>
      </c>
      <c r="L114" s="120">
        <f>L63+L50+L81</f>
        <v>4134484</v>
      </c>
      <c r="M114" s="120">
        <f t="shared" si="18"/>
        <v>2809656</v>
      </c>
    </row>
    <row r="115" spans="1:14" x14ac:dyDescent="0.2">
      <c r="A115" s="389"/>
      <c r="B115" s="376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M115" si="20">F64</f>
        <v>0</v>
      </c>
      <c r="G115" s="4">
        <f t="shared" si="20"/>
        <v>0</v>
      </c>
      <c r="H115" s="120">
        <f t="shared" ref="H115:L115" si="21">H64</f>
        <v>0</v>
      </c>
      <c r="I115" s="120">
        <f t="shared" si="21"/>
        <v>0</v>
      </c>
      <c r="J115" s="120">
        <f t="shared" si="21"/>
        <v>0</v>
      </c>
      <c r="K115" s="120">
        <f t="shared" si="21"/>
        <v>0</v>
      </c>
      <c r="L115" s="120">
        <f t="shared" si="21"/>
        <v>10791000</v>
      </c>
      <c r="M115" s="120">
        <f t="shared" si="20"/>
        <v>736000</v>
      </c>
    </row>
    <row r="116" spans="1:14" x14ac:dyDescent="0.2">
      <c r="A116" s="389"/>
      <c r="B116" s="376"/>
      <c r="C116" s="65" t="s">
        <v>94</v>
      </c>
      <c r="D116" s="66">
        <f>D64+D63+D50+D81</f>
        <v>11761000</v>
      </c>
      <c r="E116" s="66">
        <f t="shared" ref="E116:M116" si="22">E64+E63+E50+E81</f>
        <v>17035140</v>
      </c>
      <c r="F116" s="66">
        <f t="shared" si="22"/>
        <v>-2109656</v>
      </c>
      <c r="G116" s="66">
        <f t="shared" si="22"/>
        <v>0</v>
      </c>
      <c r="H116" s="66">
        <f t="shared" si="22"/>
        <v>0</v>
      </c>
      <c r="I116" s="66">
        <f t="shared" si="22"/>
        <v>0</v>
      </c>
      <c r="J116" s="66">
        <f t="shared" si="22"/>
        <v>0</v>
      </c>
      <c r="K116" s="66">
        <f t="shared" si="22"/>
        <v>0</v>
      </c>
      <c r="L116" s="66">
        <f t="shared" si="22"/>
        <v>14925484</v>
      </c>
      <c r="M116" s="66">
        <f t="shared" si="22"/>
        <v>3545656</v>
      </c>
      <c r="N116" s="1"/>
    </row>
    <row r="117" spans="1:14" x14ac:dyDescent="0.2">
      <c r="A117" s="389"/>
      <c r="B117" s="376"/>
      <c r="C117" s="65" t="s">
        <v>9</v>
      </c>
      <c r="D117" s="66">
        <f>D65+D51+D82</f>
        <v>3112282</v>
      </c>
      <c r="E117" s="66">
        <f t="shared" ref="E117:M117" si="23">E65+E51+E82</f>
        <v>4090801</v>
      </c>
      <c r="F117" s="66">
        <f t="shared" si="23"/>
        <v>-424736</v>
      </c>
      <c r="G117" s="66">
        <f t="shared" si="23"/>
        <v>0</v>
      </c>
      <c r="H117" s="66">
        <f t="shared" si="23"/>
        <v>0</v>
      </c>
      <c r="I117" s="66">
        <f t="shared" si="23"/>
        <v>0</v>
      </c>
      <c r="J117" s="66">
        <f t="shared" si="23"/>
        <v>0</v>
      </c>
      <c r="K117" s="66">
        <f t="shared" si="23"/>
        <v>0</v>
      </c>
      <c r="L117" s="66">
        <f t="shared" si="23"/>
        <v>3666065</v>
      </c>
      <c r="M117" s="66">
        <f t="shared" si="23"/>
        <v>501488</v>
      </c>
      <c r="N117" s="1"/>
    </row>
    <row r="118" spans="1:14" x14ac:dyDescent="0.2">
      <c r="A118" s="389"/>
      <c r="B118" s="376"/>
      <c r="C118" s="63" t="s">
        <v>22</v>
      </c>
      <c r="D118" s="4">
        <f t="shared" ref="D118:G118" si="24">D66+D32</f>
        <v>254000</v>
      </c>
      <c r="E118" s="4">
        <f t="shared" si="24"/>
        <v>254000</v>
      </c>
      <c r="F118" s="4">
        <f t="shared" si="24"/>
        <v>0</v>
      </c>
      <c r="G118" s="4">
        <f t="shared" si="24"/>
        <v>0</v>
      </c>
      <c r="H118" s="4">
        <f t="shared" ref="H118:L118" si="25">H66+H32+H83</f>
        <v>0</v>
      </c>
      <c r="I118" s="4">
        <f t="shared" si="25"/>
        <v>0</v>
      </c>
      <c r="J118" s="4">
        <f t="shared" si="25"/>
        <v>0</v>
      </c>
      <c r="K118" s="4">
        <f t="shared" si="25"/>
        <v>0</v>
      </c>
      <c r="L118" s="4">
        <f t="shared" si="25"/>
        <v>2660466</v>
      </c>
      <c r="M118" s="4">
        <f>M66+M32+M83</f>
        <v>2406466</v>
      </c>
    </row>
    <row r="119" spans="1:14" x14ac:dyDescent="0.2">
      <c r="A119" s="389"/>
      <c r="B119" s="376"/>
      <c r="C119" s="63" t="s">
        <v>33</v>
      </c>
      <c r="D119" s="4">
        <f>D67</f>
        <v>72000</v>
      </c>
      <c r="E119" s="4">
        <f>E67</f>
        <v>72000</v>
      </c>
      <c r="F119" s="4">
        <f>F67+F84</f>
        <v>27244</v>
      </c>
      <c r="G119" s="4">
        <f t="shared" ref="G119:L119" si="26">G67+G84</f>
        <v>0</v>
      </c>
      <c r="H119" s="4">
        <f t="shared" si="26"/>
        <v>0</v>
      </c>
      <c r="I119" s="4">
        <f t="shared" si="26"/>
        <v>0</v>
      </c>
      <c r="J119" s="4">
        <f t="shared" si="26"/>
        <v>0</v>
      </c>
      <c r="K119" s="4">
        <f t="shared" si="26"/>
        <v>0</v>
      </c>
      <c r="L119" s="4">
        <f t="shared" si="26"/>
        <v>99244</v>
      </c>
      <c r="M119" s="4">
        <f>M67+M84</f>
        <v>27244</v>
      </c>
    </row>
    <row r="120" spans="1:14" x14ac:dyDescent="0.2">
      <c r="A120" s="389"/>
      <c r="B120" s="376"/>
      <c r="C120" s="63" t="s">
        <v>89</v>
      </c>
      <c r="D120" s="4">
        <f t="shared" ref="D120:M120" si="27">D33</f>
        <v>1870</v>
      </c>
      <c r="E120" s="4">
        <f t="shared" si="27"/>
        <v>1870</v>
      </c>
      <c r="F120" s="4">
        <f t="shared" si="27"/>
        <v>0</v>
      </c>
      <c r="G120" s="4">
        <f t="shared" si="27"/>
        <v>0</v>
      </c>
      <c r="H120" s="4">
        <f t="shared" ref="H120:K120" si="28">H33</f>
        <v>0</v>
      </c>
      <c r="I120" s="4">
        <f t="shared" si="28"/>
        <v>0</v>
      </c>
      <c r="J120" s="4">
        <f t="shared" si="28"/>
        <v>0</v>
      </c>
      <c r="K120" s="4">
        <f t="shared" si="28"/>
        <v>0</v>
      </c>
      <c r="L120" s="4">
        <f t="shared" si="27"/>
        <v>1870</v>
      </c>
      <c r="M120" s="107">
        <f t="shared" si="27"/>
        <v>0</v>
      </c>
    </row>
    <row r="121" spans="1:14" x14ac:dyDescent="0.2">
      <c r="A121" s="389"/>
      <c r="B121" s="376"/>
      <c r="C121" s="63" t="s">
        <v>34</v>
      </c>
      <c r="D121" s="4">
        <f>D68+D85</f>
        <v>230000</v>
      </c>
      <c r="E121" s="4">
        <f>E68+E85</f>
        <v>1478000</v>
      </c>
      <c r="F121" s="4">
        <f t="shared" ref="F121:M121" si="29">F68+F85</f>
        <v>-707843</v>
      </c>
      <c r="G121" s="4">
        <f t="shared" si="29"/>
        <v>0</v>
      </c>
      <c r="H121" s="4">
        <f t="shared" ref="H121:K121" si="30">H68+H85</f>
        <v>0</v>
      </c>
      <c r="I121" s="4">
        <f t="shared" si="30"/>
        <v>0</v>
      </c>
      <c r="J121" s="4">
        <f t="shared" si="30"/>
        <v>0</v>
      </c>
      <c r="K121" s="4">
        <f t="shared" si="30"/>
        <v>0</v>
      </c>
      <c r="L121" s="4">
        <f t="shared" si="29"/>
        <v>770157</v>
      </c>
      <c r="M121" s="4">
        <f t="shared" si="29"/>
        <v>0</v>
      </c>
    </row>
    <row r="122" spans="1:14" x14ac:dyDescent="0.2">
      <c r="A122" s="389"/>
      <c r="B122" s="376"/>
      <c r="C122" s="63" t="s">
        <v>10</v>
      </c>
      <c r="D122" s="4">
        <f t="shared" ref="D122:L122" si="31">D69+D52+D34+D86</f>
        <v>8009100</v>
      </c>
      <c r="E122" s="4">
        <f t="shared" si="31"/>
        <v>8059100</v>
      </c>
      <c r="F122" s="4">
        <f t="shared" si="31"/>
        <v>846181</v>
      </c>
      <c r="G122" s="4">
        <f t="shared" si="31"/>
        <v>0</v>
      </c>
      <c r="H122" s="4">
        <f t="shared" si="31"/>
        <v>0</v>
      </c>
      <c r="I122" s="4">
        <f t="shared" si="31"/>
        <v>0</v>
      </c>
      <c r="J122" s="4">
        <f t="shared" si="31"/>
        <v>0</v>
      </c>
      <c r="K122" s="4">
        <f t="shared" si="31"/>
        <v>0</v>
      </c>
      <c r="L122" s="4">
        <f t="shared" si="31"/>
        <v>8905281</v>
      </c>
      <c r="M122" s="4">
        <f>M69+M52+M34+M86</f>
        <v>800000</v>
      </c>
    </row>
    <row r="123" spans="1:14" x14ac:dyDescent="0.2">
      <c r="A123" s="389"/>
      <c r="B123" s="376"/>
      <c r="C123" s="63" t="s">
        <v>2</v>
      </c>
      <c r="D123" s="4">
        <f t="shared" ref="D123:M123" si="32">D70+D53+D35+D62+D87</f>
        <v>31883770</v>
      </c>
      <c r="E123" s="4">
        <f>E70+E53+E35+E62+E87</f>
        <v>37845564</v>
      </c>
      <c r="F123" s="4">
        <f>F70+F53+F35+F62+F87</f>
        <v>-2348553</v>
      </c>
      <c r="G123" s="4">
        <f t="shared" si="32"/>
        <v>60000</v>
      </c>
      <c r="H123" s="4">
        <f t="shared" ref="H123:L123" si="33">H70+H53+H35+H62+H87</f>
        <v>0</v>
      </c>
      <c r="I123" s="4">
        <f t="shared" si="33"/>
        <v>2000</v>
      </c>
      <c r="J123" s="4">
        <f t="shared" si="33"/>
        <v>0</v>
      </c>
      <c r="K123" s="4">
        <f t="shared" si="33"/>
        <v>1847244</v>
      </c>
      <c r="L123" s="120">
        <f t="shared" si="33"/>
        <v>37406255</v>
      </c>
      <c r="M123" s="4">
        <f t="shared" si="32"/>
        <v>12430643</v>
      </c>
    </row>
    <row r="124" spans="1:14" x14ac:dyDescent="0.2">
      <c r="A124" s="389"/>
      <c r="B124" s="376"/>
      <c r="C124" s="63" t="s">
        <v>35</v>
      </c>
      <c r="D124" s="4">
        <f>D71</f>
        <v>292100</v>
      </c>
      <c r="E124" s="4">
        <f>E71</f>
        <v>292100</v>
      </c>
      <c r="F124" s="4">
        <f t="shared" ref="F124:M124" si="34">F71</f>
        <v>0</v>
      </c>
      <c r="G124" s="4">
        <f t="shared" si="34"/>
        <v>0</v>
      </c>
      <c r="H124" s="107">
        <f t="shared" ref="H124:L124" si="35">H71</f>
        <v>0</v>
      </c>
      <c r="I124" s="107">
        <f t="shared" si="35"/>
        <v>0</v>
      </c>
      <c r="J124" s="107">
        <f t="shared" si="35"/>
        <v>0</v>
      </c>
      <c r="K124" s="107">
        <f t="shared" si="35"/>
        <v>0</v>
      </c>
      <c r="L124" s="135">
        <f t="shared" si="35"/>
        <v>292100</v>
      </c>
      <c r="M124" s="107">
        <f t="shared" si="34"/>
        <v>0</v>
      </c>
    </row>
    <row r="125" spans="1:14" x14ac:dyDescent="0.2">
      <c r="A125" s="389"/>
      <c r="B125" s="376"/>
      <c r="C125" s="63" t="s">
        <v>117</v>
      </c>
      <c r="D125" s="108">
        <f t="shared" ref="D125:L125" si="36">D36+D88</f>
        <v>0</v>
      </c>
      <c r="E125" s="108">
        <f t="shared" si="36"/>
        <v>73260</v>
      </c>
      <c r="F125" s="108">
        <f t="shared" si="36"/>
        <v>354000</v>
      </c>
      <c r="G125" s="108">
        <f t="shared" si="36"/>
        <v>0</v>
      </c>
      <c r="H125" s="108">
        <f t="shared" si="36"/>
        <v>0</v>
      </c>
      <c r="I125" s="108">
        <f t="shared" si="36"/>
        <v>0</v>
      </c>
      <c r="J125" s="108">
        <f t="shared" si="36"/>
        <v>0</v>
      </c>
      <c r="K125" s="108">
        <f t="shared" si="36"/>
        <v>0</v>
      </c>
      <c r="L125" s="179">
        <f t="shared" si="36"/>
        <v>427260</v>
      </c>
      <c r="M125" s="108">
        <f>M36+M88</f>
        <v>73260</v>
      </c>
    </row>
    <row r="126" spans="1:14" x14ac:dyDescent="0.2">
      <c r="A126" s="389"/>
      <c r="B126" s="376"/>
      <c r="C126" s="63" t="s">
        <v>11</v>
      </c>
      <c r="D126" s="4">
        <f t="shared" ref="D126:G126" si="37">D72+D54+D37</f>
        <v>5188185</v>
      </c>
      <c r="E126" s="4">
        <f t="shared" si="37"/>
        <v>5222571</v>
      </c>
      <c r="F126" s="4">
        <f>F72+F54+F37+F89</f>
        <v>1056434</v>
      </c>
      <c r="G126" s="4">
        <f t="shared" si="37"/>
        <v>0</v>
      </c>
      <c r="H126" s="4">
        <f t="shared" ref="H126:K126" si="38">H72+H54+H37+H89</f>
        <v>0</v>
      </c>
      <c r="I126" s="4">
        <f t="shared" si="38"/>
        <v>0</v>
      </c>
      <c r="J126" s="4">
        <f t="shared" si="38"/>
        <v>0</v>
      </c>
      <c r="K126" s="4">
        <f t="shared" si="38"/>
        <v>498756</v>
      </c>
      <c r="L126" s="120">
        <f>L72+L54+L37+L89</f>
        <v>6781205</v>
      </c>
      <c r="M126" s="4">
        <f>M72+M54+M37+M89</f>
        <v>1398942</v>
      </c>
    </row>
    <row r="127" spans="1:14" x14ac:dyDescent="0.2">
      <c r="A127" s="389"/>
      <c r="B127" s="376"/>
      <c r="C127" s="63" t="s">
        <v>91</v>
      </c>
      <c r="D127" s="4">
        <f t="shared" ref="D127:M127" si="39">D38</f>
        <v>0</v>
      </c>
      <c r="E127" s="4">
        <f t="shared" si="39"/>
        <v>83000</v>
      </c>
      <c r="F127" s="4">
        <f t="shared" si="39"/>
        <v>0</v>
      </c>
      <c r="G127" s="4">
        <f t="shared" si="39"/>
        <v>0</v>
      </c>
      <c r="H127" s="107">
        <f t="shared" ref="H127:L127" si="40">H38</f>
        <v>0</v>
      </c>
      <c r="I127" s="107">
        <f t="shared" si="40"/>
        <v>0</v>
      </c>
      <c r="J127" s="107">
        <f t="shared" si="40"/>
        <v>0</v>
      </c>
      <c r="K127" s="107">
        <f t="shared" si="40"/>
        <v>0</v>
      </c>
      <c r="L127" s="135">
        <f t="shared" si="40"/>
        <v>83000</v>
      </c>
      <c r="M127" s="107">
        <f t="shared" si="39"/>
        <v>83000</v>
      </c>
    </row>
    <row r="128" spans="1:14" x14ac:dyDescent="0.2">
      <c r="A128" s="389"/>
      <c r="B128" s="376"/>
      <c r="C128" s="63" t="s">
        <v>12</v>
      </c>
      <c r="D128" s="4">
        <f t="shared" ref="D128:K128" si="41">D73+D55+D90+D39+D43</f>
        <v>229492</v>
      </c>
      <c r="E128" s="4">
        <f>E73+E55+E90+E39+E43</f>
        <v>409492</v>
      </c>
      <c r="F128" s="4">
        <f>F73+F55+F90+F39+F43</f>
        <v>903219</v>
      </c>
      <c r="G128" s="4">
        <f t="shared" si="41"/>
        <v>0</v>
      </c>
      <c r="H128" s="4">
        <f t="shared" si="41"/>
        <v>0</v>
      </c>
      <c r="I128" s="4">
        <f t="shared" si="41"/>
        <v>2000</v>
      </c>
      <c r="J128" s="4">
        <f t="shared" si="41"/>
        <v>0</v>
      </c>
      <c r="K128" s="4">
        <f t="shared" si="41"/>
        <v>0</v>
      </c>
      <c r="L128" s="120">
        <f>L73+L55+L90+L39+L43</f>
        <v>1314711</v>
      </c>
      <c r="M128" s="4">
        <f>M73+M55+M90+M39+M43</f>
        <v>283219</v>
      </c>
    </row>
    <row r="129" spans="1:14" x14ac:dyDescent="0.2">
      <c r="A129" s="389"/>
      <c r="B129" s="376"/>
      <c r="C129" s="65" t="s">
        <v>95</v>
      </c>
      <c r="D129" s="66">
        <f t="shared" ref="D129" si="42">D73+D72+D71+D70+D69+D68+D67+D66+D55+D54+D53+D52+D38+D37+D35+D33+D32+D62+D36+D85+D87+D90+D89+D83+D39+D34+D86+D88+D43</f>
        <v>46160517</v>
      </c>
      <c r="E129" s="66">
        <f t="shared" ref="E129:L129" si="43">E73+E72+E71+E70+E69+E68+E67+E66+E55+E54+E53+E52+E38+E37+E35+E33+E32+E62+E36+E85+E87+E90+E89+E83+E39+E34+E86+E88+E43+E84</f>
        <v>53797157</v>
      </c>
      <c r="F129" s="66">
        <f t="shared" si="43"/>
        <v>2534392</v>
      </c>
      <c r="G129" s="66">
        <f t="shared" si="43"/>
        <v>60000</v>
      </c>
      <c r="H129" s="66">
        <f t="shared" si="43"/>
        <v>0</v>
      </c>
      <c r="I129" s="66">
        <f t="shared" si="43"/>
        <v>4000</v>
      </c>
      <c r="J129" s="66">
        <f t="shared" si="43"/>
        <v>0</v>
      </c>
      <c r="K129" s="66">
        <f t="shared" si="43"/>
        <v>2346000</v>
      </c>
      <c r="L129" s="66">
        <f t="shared" si="43"/>
        <v>58741549</v>
      </c>
      <c r="M129" s="66">
        <f>M73+M72+M71+M70+M69+M68+M67+M66+M55+M54+M53+M52+M38+M37+M35+M33+M32+M62+M36+M85+M87+M90+M89+M83+M39+M34+M86+M88+M43+M84</f>
        <v>17502774</v>
      </c>
      <c r="N129" s="1"/>
    </row>
    <row r="130" spans="1:14" x14ac:dyDescent="0.2">
      <c r="A130" s="389"/>
      <c r="B130" s="376"/>
      <c r="C130" s="63" t="s">
        <v>36</v>
      </c>
      <c r="D130" s="4">
        <f>D74</f>
        <v>0</v>
      </c>
      <c r="E130" s="4">
        <f>E74</f>
        <v>0</v>
      </c>
      <c r="F130" s="4">
        <f t="shared" ref="F130:M130" si="44">F74</f>
        <v>0</v>
      </c>
      <c r="G130" s="4">
        <f t="shared" si="44"/>
        <v>0</v>
      </c>
      <c r="H130" s="4"/>
      <c r="I130" s="4"/>
      <c r="J130" s="4">
        <f t="shared" si="44"/>
        <v>0</v>
      </c>
      <c r="K130" s="4">
        <f t="shared" si="44"/>
        <v>0</v>
      </c>
      <c r="L130" s="4">
        <f t="shared" si="44"/>
        <v>0</v>
      </c>
      <c r="M130" s="107">
        <f t="shared" si="44"/>
        <v>0</v>
      </c>
    </row>
    <row r="131" spans="1:14" x14ac:dyDescent="0.2">
      <c r="A131" s="389"/>
      <c r="B131" s="376"/>
      <c r="C131" s="63" t="s">
        <v>23</v>
      </c>
      <c r="D131" s="4">
        <f t="shared" ref="D131:M131" si="45">D46+D44+D48+D40</f>
        <v>19744030</v>
      </c>
      <c r="E131" s="4">
        <f t="shared" si="45"/>
        <v>19745283</v>
      </c>
      <c r="F131" s="4">
        <f t="shared" si="45"/>
        <v>0</v>
      </c>
      <c r="G131" s="4">
        <f t="shared" si="45"/>
        <v>-60000</v>
      </c>
      <c r="H131" s="135">
        <f t="shared" ref="H131:L131" si="46">H46+H44+H48+H40</f>
        <v>0</v>
      </c>
      <c r="I131" s="135">
        <f t="shared" si="46"/>
        <v>0</v>
      </c>
      <c r="J131" s="135">
        <f t="shared" si="46"/>
        <v>0</v>
      </c>
      <c r="K131" s="135">
        <f t="shared" si="46"/>
        <v>0</v>
      </c>
      <c r="L131" s="135">
        <f t="shared" si="46"/>
        <v>19685283</v>
      </c>
      <c r="M131" s="135">
        <f t="shared" si="45"/>
        <v>17986863</v>
      </c>
    </row>
    <row r="132" spans="1:14" x14ac:dyDescent="0.2">
      <c r="A132" s="389"/>
      <c r="B132" s="376"/>
      <c r="C132" s="63" t="s">
        <v>5</v>
      </c>
      <c r="D132" s="4">
        <f t="shared" ref="D132:M132" si="47">D47+D49+D41</f>
        <v>16308950</v>
      </c>
      <c r="E132" s="4">
        <f t="shared" si="47"/>
        <v>16308950</v>
      </c>
      <c r="F132" s="4">
        <f t="shared" si="47"/>
        <v>0</v>
      </c>
      <c r="G132" s="4">
        <f t="shared" si="47"/>
        <v>0</v>
      </c>
      <c r="H132" s="107">
        <f t="shared" ref="H132:L132" si="48">H47+H49+H41</f>
        <v>0</v>
      </c>
      <c r="I132" s="107">
        <f t="shared" si="48"/>
        <v>0</v>
      </c>
      <c r="J132" s="107">
        <f t="shared" si="48"/>
        <v>0</v>
      </c>
      <c r="K132" s="107">
        <f t="shared" si="48"/>
        <v>0</v>
      </c>
      <c r="L132" s="107">
        <f t="shared" si="48"/>
        <v>16308950</v>
      </c>
      <c r="M132" s="107">
        <f t="shared" si="47"/>
        <v>12244213</v>
      </c>
    </row>
    <row r="133" spans="1:14" x14ac:dyDescent="0.2">
      <c r="A133" s="389"/>
      <c r="B133" s="376"/>
      <c r="C133" s="65" t="s">
        <v>96</v>
      </c>
      <c r="D133" s="66">
        <f t="shared" ref="D133:M133" si="49">D47+D46+D44+D49+D48+D41+D40</f>
        <v>36052980</v>
      </c>
      <c r="E133" s="66">
        <f t="shared" si="49"/>
        <v>36054233</v>
      </c>
      <c r="F133" s="66">
        <f t="shared" si="49"/>
        <v>0</v>
      </c>
      <c r="G133" s="66">
        <f t="shared" si="49"/>
        <v>-60000</v>
      </c>
      <c r="H133" s="109">
        <f t="shared" si="49"/>
        <v>0</v>
      </c>
      <c r="I133" s="109">
        <f t="shared" si="49"/>
        <v>0</v>
      </c>
      <c r="J133" s="109">
        <f t="shared" si="49"/>
        <v>0</v>
      </c>
      <c r="K133" s="109">
        <f t="shared" si="49"/>
        <v>0</v>
      </c>
      <c r="L133" s="109">
        <f t="shared" si="49"/>
        <v>35994233</v>
      </c>
      <c r="M133" s="109">
        <f t="shared" si="49"/>
        <v>30231076</v>
      </c>
      <c r="N133" s="1"/>
    </row>
    <row r="134" spans="1:14" x14ac:dyDescent="0.2">
      <c r="A134" s="389"/>
      <c r="B134" s="376"/>
      <c r="C134" s="63" t="s">
        <v>31</v>
      </c>
      <c r="D134" s="4">
        <f>D75+D56+D91</f>
        <v>388897</v>
      </c>
      <c r="E134" s="4">
        <f t="shared" ref="E134:M134" si="50">E75+E56+E91</f>
        <v>966853</v>
      </c>
      <c r="F134" s="4">
        <f t="shared" si="50"/>
        <v>0</v>
      </c>
      <c r="G134" s="4">
        <f t="shared" si="50"/>
        <v>0</v>
      </c>
      <c r="H134" s="4">
        <f t="shared" ref="H134:L134" si="51">H75+H56+H91</f>
        <v>0</v>
      </c>
      <c r="I134" s="4">
        <f t="shared" si="51"/>
        <v>0</v>
      </c>
      <c r="J134" s="4">
        <f t="shared" si="51"/>
        <v>0</v>
      </c>
      <c r="K134" s="4">
        <f t="shared" si="51"/>
        <v>0</v>
      </c>
      <c r="L134" s="4">
        <f t="shared" si="51"/>
        <v>966853</v>
      </c>
      <c r="M134" s="4">
        <f t="shared" si="50"/>
        <v>704400</v>
      </c>
    </row>
    <row r="135" spans="1:14" x14ac:dyDescent="0.2">
      <c r="A135" s="389"/>
      <c r="B135" s="376"/>
      <c r="C135" s="63" t="s">
        <v>32</v>
      </c>
      <c r="D135" s="4">
        <f t="shared" ref="D135:L135" si="52">D57+D76+D92</f>
        <v>0</v>
      </c>
      <c r="E135" s="4">
        <f t="shared" si="52"/>
        <v>1818096</v>
      </c>
      <c r="F135" s="4">
        <f t="shared" si="52"/>
        <v>721800</v>
      </c>
      <c r="G135" s="4">
        <f t="shared" si="52"/>
        <v>0</v>
      </c>
      <c r="H135" s="4">
        <f t="shared" si="52"/>
        <v>0</v>
      </c>
      <c r="I135" s="4">
        <f t="shared" si="52"/>
        <v>0</v>
      </c>
      <c r="J135" s="4">
        <f t="shared" si="52"/>
        <v>0</v>
      </c>
      <c r="K135" s="4">
        <f t="shared" si="52"/>
        <v>0</v>
      </c>
      <c r="L135" s="4">
        <f t="shared" si="52"/>
        <v>2539896</v>
      </c>
      <c r="M135" s="4">
        <f>M57+M76+M92</f>
        <v>1818096</v>
      </c>
    </row>
    <row r="136" spans="1:14" x14ac:dyDescent="0.2">
      <c r="A136" s="389"/>
      <c r="B136" s="376"/>
      <c r="C136" s="63" t="s">
        <v>13</v>
      </c>
      <c r="D136" s="4">
        <f t="shared" ref="D136:M137" si="53">D77+D58+D93</f>
        <v>4296741</v>
      </c>
      <c r="E136" s="4">
        <f t="shared" si="53"/>
        <v>10755560</v>
      </c>
      <c r="F136" s="4">
        <f t="shared" si="53"/>
        <v>-721800</v>
      </c>
      <c r="G136" s="4">
        <f t="shared" si="53"/>
        <v>0</v>
      </c>
      <c r="H136" s="4">
        <f t="shared" ref="H136:L136" si="54">H77+H58+H93</f>
        <v>0</v>
      </c>
      <c r="I136" s="4">
        <f t="shared" si="54"/>
        <v>0</v>
      </c>
      <c r="J136" s="4">
        <f t="shared" si="54"/>
        <v>0</v>
      </c>
      <c r="K136" s="4">
        <f t="shared" si="54"/>
        <v>0</v>
      </c>
      <c r="L136" s="4">
        <f t="shared" si="54"/>
        <v>10033760</v>
      </c>
      <c r="M136" s="4">
        <f t="shared" si="53"/>
        <v>2568661</v>
      </c>
    </row>
    <row r="137" spans="1:14" x14ac:dyDescent="0.2">
      <c r="A137" s="389"/>
      <c r="B137" s="376"/>
      <c r="C137" s="63" t="s">
        <v>14</v>
      </c>
      <c r="D137" s="4">
        <f t="shared" si="53"/>
        <v>1265122</v>
      </c>
      <c r="E137" s="4">
        <f t="shared" si="53"/>
        <v>3655937</v>
      </c>
      <c r="F137" s="4">
        <f t="shared" si="53"/>
        <v>0</v>
      </c>
      <c r="G137" s="4">
        <f t="shared" si="53"/>
        <v>0</v>
      </c>
      <c r="H137" s="4">
        <f t="shared" ref="H137:L137" si="55">H78+H59+H94</f>
        <v>0</v>
      </c>
      <c r="I137" s="4">
        <f t="shared" si="55"/>
        <v>0</v>
      </c>
      <c r="J137" s="4">
        <f t="shared" si="55"/>
        <v>0</v>
      </c>
      <c r="K137" s="4">
        <f t="shared" si="55"/>
        <v>0</v>
      </c>
      <c r="L137" s="4">
        <f t="shared" si="55"/>
        <v>3655937</v>
      </c>
      <c r="M137" s="4">
        <f t="shared" si="53"/>
        <v>1374613</v>
      </c>
    </row>
    <row r="138" spans="1:14" x14ac:dyDescent="0.2">
      <c r="A138" s="389"/>
      <c r="B138" s="376"/>
      <c r="C138" s="65" t="s">
        <v>97</v>
      </c>
      <c r="D138" s="66">
        <f t="shared" ref="D138:L138" si="56">D78+D77+D75+D59+D58+D57+D56+D76+D91+D93+D94+D92</f>
        <v>5950760</v>
      </c>
      <c r="E138" s="66">
        <f t="shared" si="56"/>
        <v>17196446</v>
      </c>
      <c r="F138" s="66">
        <f t="shared" si="56"/>
        <v>0</v>
      </c>
      <c r="G138" s="66">
        <f t="shared" si="56"/>
        <v>0</v>
      </c>
      <c r="H138" s="66">
        <f t="shared" si="56"/>
        <v>0</v>
      </c>
      <c r="I138" s="66">
        <f t="shared" si="56"/>
        <v>0</v>
      </c>
      <c r="J138" s="66">
        <f t="shared" si="56"/>
        <v>0</v>
      </c>
      <c r="K138" s="66">
        <f t="shared" si="56"/>
        <v>0</v>
      </c>
      <c r="L138" s="66">
        <f t="shared" si="56"/>
        <v>17196446</v>
      </c>
      <c r="M138" s="66">
        <f>M78+M77+M75+M59+M58+M57+M56+M76+M91+M93+M94+M92</f>
        <v>6465770</v>
      </c>
      <c r="N138" s="1"/>
    </row>
    <row r="139" spans="1:14" x14ac:dyDescent="0.2">
      <c r="A139" s="389"/>
      <c r="B139" s="376"/>
      <c r="C139" s="63" t="s">
        <v>15</v>
      </c>
      <c r="D139" s="4">
        <f t="shared" ref="D139:M140" si="57">D79+D60+D95</f>
        <v>4121943</v>
      </c>
      <c r="E139" s="4">
        <f t="shared" si="57"/>
        <v>34661221</v>
      </c>
      <c r="F139" s="4">
        <f t="shared" si="57"/>
        <v>0</v>
      </c>
      <c r="G139" s="4">
        <f t="shared" si="57"/>
        <v>0</v>
      </c>
      <c r="H139" s="4">
        <f t="shared" ref="H139:L139" si="58">H79+H60+H95</f>
        <v>0</v>
      </c>
      <c r="I139" s="4">
        <f t="shared" si="58"/>
        <v>0</v>
      </c>
      <c r="J139" s="4">
        <f t="shared" si="58"/>
        <v>0</v>
      </c>
      <c r="K139" s="4">
        <f t="shared" si="58"/>
        <v>0</v>
      </c>
      <c r="L139" s="4">
        <f t="shared" si="58"/>
        <v>34661221</v>
      </c>
      <c r="M139" s="4">
        <f t="shared" si="57"/>
        <v>2828729</v>
      </c>
    </row>
    <row r="140" spans="1:14" x14ac:dyDescent="0.2">
      <c r="A140" s="389"/>
      <c r="B140" s="376"/>
      <c r="C140" s="63" t="s">
        <v>16</v>
      </c>
      <c r="D140" s="4">
        <f t="shared" si="57"/>
        <v>1112924</v>
      </c>
      <c r="E140" s="4">
        <f t="shared" si="57"/>
        <v>9358530</v>
      </c>
      <c r="F140" s="4">
        <f t="shared" si="57"/>
        <v>0</v>
      </c>
      <c r="G140" s="4">
        <f t="shared" si="57"/>
        <v>0</v>
      </c>
      <c r="H140" s="4">
        <f t="shared" ref="H140:L140" si="59">H80+H61+H96</f>
        <v>0</v>
      </c>
      <c r="I140" s="4">
        <f t="shared" si="59"/>
        <v>0</v>
      </c>
      <c r="J140" s="4">
        <f t="shared" si="59"/>
        <v>0</v>
      </c>
      <c r="K140" s="4">
        <f t="shared" si="59"/>
        <v>0</v>
      </c>
      <c r="L140" s="4">
        <f t="shared" si="59"/>
        <v>9358530</v>
      </c>
      <c r="M140" s="4">
        <f t="shared" si="57"/>
        <v>493942</v>
      </c>
    </row>
    <row r="141" spans="1:14" x14ac:dyDescent="0.2">
      <c r="A141" s="389"/>
      <c r="B141" s="376"/>
      <c r="C141" s="65" t="s">
        <v>98</v>
      </c>
      <c r="D141" s="66">
        <f>D80+D79+D61+D60+D95+D96</f>
        <v>5234867</v>
      </c>
      <c r="E141" s="66">
        <f t="shared" ref="E141:M141" si="60">E80+E79+E61+E60+E95+E96</f>
        <v>44019751</v>
      </c>
      <c r="F141" s="66">
        <f t="shared" si="60"/>
        <v>0</v>
      </c>
      <c r="G141" s="66">
        <f t="shared" si="60"/>
        <v>0</v>
      </c>
      <c r="H141" s="66">
        <f t="shared" ref="H141:L141" si="61">H80+H79+H61+H60+H95+H96</f>
        <v>0</v>
      </c>
      <c r="I141" s="66">
        <f t="shared" si="61"/>
        <v>0</v>
      </c>
      <c r="J141" s="66">
        <f t="shared" si="61"/>
        <v>0</v>
      </c>
      <c r="K141" s="66">
        <f t="shared" si="61"/>
        <v>0</v>
      </c>
      <c r="L141" s="66">
        <f t="shared" si="61"/>
        <v>44019751</v>
      </c>
      <c r="M141" s="66">
        <f t="shared" si="60"/>
        <v>3322671</v>
      </c>
      <c r="N141" s="1"/>
    </row>
    <row r="142" spans="1:14" x14ac:dyDescent="0.2">
      <c r="A142" s="389"/>
      <c r="B142" s="376"/>
      <c r="C142" s="65" t="s">
        <v>110</v>
      </c>
      <c r="D142" s="66">
        <f>D45</f>
        <v>4500000</v>
      </c>
      <c r="E142" s="66">
        <f t="shared" ref="E142:M142" si="62">E45</f>
        <v>4500000</v>
      </c>
      <c r="F142" s="66">
        <f t="shared" si="62"/>
        <v>0</v>
      </c>
      <c r="G142" s="66">
        <f t="shared" si="62"/>
        <v>0</v>
      </c>
      <c r="H142" s="110">
        <f t="shared" ref="H142:L142" si="63">H45</f>
        <v>0</v>
      </c>
      <c r="I142" s="110">
        <f t="shared" si="63"/>
        <v>0</v>
      </c>
      <c r="J142" s="110">
        <f t="shared" si="63"/>
        <v>0</v>
      </c>
      <c r="K142" s="110">
        <f t="shared" si="63"/>
        <v>0</v>
      </c>
      <c r="L142" s="110">
        <f t="shared" si="63"/>
        <v>4500000</v>
      </c>
      <c r="M142" s="110">
        <f t="shared" si="62"/>
        <v>4230770</v>
      </c>
      <c r="N142" s="1"/>
    </row>
    <row r="143" spans="1:14" x14ac:dyDescent="0.2">
      <c r="A143" s="389"/>
      <c r="B143" s="376"/>
      <c r="C143" s="63" t="s">
        <v>3</v>
      </c>
      <c r="D143" s="67">
        <f t="shared" ref="D143:M143" si="64">D42</f>
        <v>313437148</v>
      </c>
      <c r="E143" s="67">
        <f t="shared" si="64"/>
        <v>342702536</v>
      </c>
      <c r="F143" s="67">
        <f t="shared" si="64"/>
        <v>0</v>
      </c>
      <c r="G143" s="67">
        <f t="shared" si="64"/>
        <v>0</v>
      </c>
      <c r="H143" s="111">
        <f t="shared" ref="H143:L143" si="65">H42</f>
        <v>-3633008</v>
      </c>
      <c r="I143" s="111">
        <f t="shared" si="65"/>
        <v>0</v>
      </c>
      <c r="J143" s="111">
        <f t="shared" si="65"/>
        <v>-1328080</v>
      </c>
      <c r="K143" s="111">
        <f t="shared" si="65"/>
        <v>0</v>
      </c>
      <c r="L143" s="111">
        <f t="shared" si="65"/>
        <v>337741448</v>
      </c>
      <c r="M143" s="111">
        <f t="shared" si="64"/>
        <v>270590925</v>
      </c>
      <c r="N143" s="1"/>
    </row>
    <row r="144" spans="1:14" x14ac:dyDescent="0.2">
      <c r="A144" s="390"/>
      <c r="B144" s="391"/>
      <c r="C144" s="65" t="s">
        <v>99</v>
      </c>
      <c r="D144" s="66">
        <f>D97</f>
        <v>426209554</v>
      </c>
      <c r="E144" s="66">
        <f t="shared" ref="E144:M144" si="66">E97</f>
        <v>519396064</v>
      </c>
      <c r="F144" s="66">
        <f t="shared" si="66"/>
        <v>0</v>
      </c>
      <c r="G144" s="66">
        <f t="shared" si="66"/>
        <v>0</v>
      </c>
      <c r="H144" s="66">
        <f t="shared" ref="H144:L144" si="67">H97</f>
        <v>-3633008</v>
      </c>
      <c r="I144" s="66">
        <f t="shared" si="67"/>
        <v>4000</v>
      </c>
      <c r="J144" s="66">
        <f t="shared" si="67"/>
        <v>-1328080</v>
      </c>
      <c r="K144" s="66">
        <f t="shared" si="67"/>
        <v>2346000</v>
      </c>
      <c r="L144" s="66">
        <f t="shared" si="67"/>
        <v>516784976</v>
      </c>
      <c r="M144" s="66">
        <f t="shared" si="66"/>
        <v>336391130</v>
      </c>
      <c r="N144" s="1"/>
    </row>
    <row r="145" spans="1:14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"/>
      <c r="L145" s="1"/>
      <c r="M145" s="112"/>
      <c r="N145" s="1"/>
    </row>
    <row r="146" spans="1:14" x14ac:dyDescent="0.2">
      <c r="C146" s="5"/>
      <c r="D146" s="5"/>
      <c r="F146" s="2"/>
    </row>
    <row r="147" spans="1:14" x14ac:dyDescent="0.2">
      <c r="L147" s="101"/>
      <c r="M147"/>
    </row>
    <row r="148" spans="1:14" x14ac:dyDescent="0.2">
      <c r="L148" s="101"/>
      <c r="M148"/>
    </row>
    <row r="149" spans="1:14" x14ac:dyDescent="0.2">
      <c r="A149" s="16" t="s">
        <v>52</v>
      </c>
      <c r="B149" s="16"/>
      <c r="C149" s="16"/>
      <c r="D149" s="16"/>
      <c r="E149" s="16"/>
      <c r="F149" s="16"/>
      <c r="L149" s="101"/>
      <c r="M149"/>
    </row>
    <row r="150" spans="1:14" x14ac:dyDescent="0.2">
      <c r="A150" s="175"/>
      <c r="B150" s="175"/>
      <c r="C150" s="175"/>
      <c r="D150" s="14"/>
      <c r="E150" s="14"/>
      <c r="F150" s="15"/>
      <c r="L150" s="101"/>
      <c r="M150"/>
    </row>
    <row r="151" spans="1:14" x14ac:dyDescent="0.2">
      <c r="A151" s="16" t="s">
        <v>145</v>
      </c>
      <c r="B151" s="16"/>
      <c r="C151" s="16"/>
      <c r="D151" s="16"/>
      <c r="E151" s="174"/>
      <c r="F151" s="15">
        <v>0</v>
      </c>
      <c r="L151" s="101"/>
      <c r="M151"/>
    </row>
    <row r="152" spans="1:14" x14ac:dyDescent="0.2">
      <c r="A152" s="16" t="s">
        <v>146</v>
      </c>
      <c r="B152" s="16"/>
      <c r="C152" s="16"/>
      <c r="D152" s="16"/>
      <c r="E152" s="174"/>
      <c r="F152" s="15">
        <v>0</v>
      </c>
      <c r="L152" s="101"/>
      <c r="M152"/>
    </row>
    <row r="153" spans="1:14" x14ac:dyDescent="0.2">
      <c r="A153" s="16" t="s">
        <v>147</v>
      </c>
      <c r="B153" s="16"/>
      <c r="C153" s="16"/>
      <c r="D153" s="16"/>
      <c r="E153" s="174"/>
      <c r="F153" s="15">
        <f>H29+H28+J28+K9+H30</f>
        <v>-2615088</v>
      </c>
      <c r="L153" s="101"/>
      <c r="M153"/>
    </row>
    <row r="154" spans="1:14" x14ac:dyDescent="0.2">
      <c r="A154" s="364" t="s">
        <v>159</v>
      </c>
      <c r="B154" s="364"/>
      <c r="C154" s="364"/>
      <c r="D154" s="364"/>
      <c r="E154" s="174"/>
      <c r="F154" s="15">
        <v>0</v>
      </c>
      <c r="L154" s="101"/>
      <c r="M154"/>
    </row>
    <row r="155" spans="1:14" x14ac:dyDescent="0.2">
      <c r="A155" s="364" t="s">
        <v>58</v>
      </c>
      <c r="B155" s="364"/>
      <c r="C155" s="364"/>
      <c r="D155" s="364"/>
      <c r="E155" s="174"/>
      <c r="F155" s="15">
        <v>0</v>
      </c>
      <c r="L155" s="101"/>
      <c r="M155"/>
    </row>
    <row r="156" spans="1:14" x14ac:dyDescent="0.2">
      <c r="A156" s="16" t="s">
        <v>158</v>
      </c>
      <c r="B156" s="16"/>
      <c r="C156" s="16"/>
      <c r="D156" s="16"/>
      <c r="E156" s="174"/>
      <c r="F156" s="15">
        <v>0</v>
      </c>
      <c r="L156" s="101"/>
      <c r="M156"/>
    </row>
    <row r="157" spans="1:14" x14ac:dyDescent="0.2">
      <c r="A157" s="174" t="s">
        <v>61</v>
      </c>
      <c r="B157" s="174"/>
      <c r="C157" s="174"/>
      <c r="D157" s="174"/>
      <c r="E157" s="174"/>
      <c r="F157" s="15">
        <v>0</v>
      </c>
      <c r="L157" s="101"/>
      <c r="M157"/>
    </row>
    <row r="158" spans="1:14" x14ac:dyDescent="0.2">
      <c r="A158" s="364" t="s">
        <v>62</v>
      </c>
      <c r="B158" s="364"/>
      <c r="C158" s="364"/>
      <c r="D158" s="364"/>
      <c r="E158" s="174"/>
      <c r="F158" s="15">
        <f>I6+I8</f>
        <v>4000</v>
      </c>
      <c r="L158" s="101"/>
      <c r="M158"/>
    </row>
    <row r="159" spans="1:14" x14ac:dyDescent="0.2">
      <c r="A159" s="173" t="s">
        <v>149</v>
      </c>
      <c r="B159" s="173"/>
      <c r="C159" s="173"/>
      <c r="D159" s="173"/>
      <c r="E159" s="173"/>
      <c r="F159" s="19">
        <v>0</v>
      </c>
      <c r="L159" s="101"/>
      <c r="M159"/>
    </row>
    <row r="160" spans="1:14" x14ac:dyDescent="0.2">
      <c r="A160" s="364" t="s">
        <v>63</v>
      </c>
      <c r="B160" s="364"/>
      <c r="C160" s="364"/>
      <c r="D160" s="364"/>
      <c r="E160" s="174"/>
      <c r="F160" s="15">
        <f>SUM(F151:F159)</f>
        <v>-2611088</v>
      </c>
      <c r="L160" s="101"/>
      <c r="M160"/>
    </row>
    <row r="161" spans="1:13" x14ac:dyDescent="0.2">
      <c r="A161" s="366"/>
      <c r="B161" s="366"/>
      <c r="C161" s="366"/>
      <c r="D161" s="366"/>
      <c r="E161" s="366"/>
      <c r="F161" s="366"/>
      <c r="L161" s="101"/>
      <c r="M161"/>
    </row>
    <row r="162" spans="1:13" x14ac:dyDescent="0.2">
      <c r="A162" s="366"/>
      <c r="B162" s="366"/>
      <c r="C162" s="366"/>
      <c r="D162" s="366"/>
      <c r="E162" s="366"/>
      <c r="F162" s="366"/>
      <c r="L162" s="101"/>
      <c r="M162"/>
    </row>
    <row r="163" spans="1:13" x14ac:dyDescent="0.2">
      <c r="A163" s="366"/>
      <c r="B163" s="366"/>
      <c r="C163" s="366"/>
      <c r="D163" s="366"/>
      <c r="E163" s="366"/>
      <c r="F163" s="366"/>
      <c r="L163" s="101"/>
      <c r="M163"/>
    </row>
    <row r="164" spans="1:13" x14ac:dyDescent="0.2">
      <c r="A164" s="364" t="s">
        <v>64</v>
      </c>
      <c r="B164" s="364"/>
      <c r="C164" s="364"/>
      <c r="D164" s="364"/>
      <c r="E164" s="364"/>
      <c r="F164" s="364"/>
      <c r="L164" s="101"/>
      <c r="M164"/>
    </row>
    <row r="165" spans="1:13" x14ac:dyDescent="0.2">
      <c r="A165" s="366"/>
      <c r="B165" s="366"/>
      <c r="C165" s="366"/>
      <c r="D165" s="366"/>
      <c r="E165" s="366"/>
      <c r="F165" s="366"/>
      <c r="L165" s="101"/>
      <c r="M165"/>
    </row>
    <row r="166" spans="1:13" x14ac:dyDescent="0.2">
      <c r="A166" s="364" t="s">
        <v>65</v>
      </c>
      <c r="B166" s="364"/>
      <c r="C166" s="364"/>
      <c r="D166" s="364"/>
      <c r="E166" s="174"/>
      <c r="F166" s="15">
        <f>H42+J42</f>
        <v>-4961088</v>
      </c>
      <c r="L166" s="101"/>
      <c r="M166"/>
    </row>
    <row r="167" spans="1:13" x14ac:dyDescent="0.2">
      <c r="A167" s="174" t="s">
        <v>150</v>
      </c>
      <c r="B167" s="174"/>
      <c r="C167" s="174"/>
      <c r="D167" s="174"/>
      <c r="E167" s="174"/>
      <c r="F167" s="15">
        <v>0</v>
      </c>
      <c r="L167" s="101"/>
      <c r="M167"/>
    </row>
    <row r="168" spans="1:13" x14ac:dyDescent="0.2">
      <c r="A168" s="364" t="s">
        <v>66</v>
      </c>
      <c r="B168" s="364"/>
      <c r="C168" s="364"/>
      <c r="D168" s="364"/>
      <c r="E168" s="174"/>
      <c r="F168" s="15">
        <v>0</v>
      </c>
      <c r="L168" s="101"/>
      <c r="M168"/>
    </row>
    <row r="169" spans="1:13" x14ac:dyDescent="0.2">
      <c r="A169" s="364" t="s">
        <v>67</v>
      </c>
      <c r="B169" s="364"/>
      <c r="C169" s="364"/>
      <c r="D169" s="364"/>
      <c r="E169" s="174"/>
      <c r="F169" s="15">
        <v>0</v>
      </c>
      <c r="L169" s="101"/>
      <c r="M169"/>
    </row>
    <row r="170" spans="1:13" x14ac:dyDescent="0.2">
      <c r="A170" s="364" t="s">
        <v>68</v>
      </c>
      <c r="B170" s="364"/>
      <c r="C170" s="364"/>
      <c r="D170" s="364"/>
      <c r="E170" s="174"/>
      <c r="F170" s="15">
        <f>I39+K35+K37+I35</f>
        <v>2350000</v>
      </c>
      <c r="L170" s="101"/>
      <c r="M170"/>
    </row>
    <row r="171" spans="1:13" x14ac:dyDescent="0.2">
      <c r="A171" s="174" t="s">
        <v>151</v>
      </c>
      <c r="B171" s="174"/>
      <c r="C171" s="174"/>
      <c r="D171" s="174"/>
      <c r="E171" s="174"/>
      <c r="F171" s="15">
        <v>0</v>
      </c>
      <c r="L171" s="101"/>
      <c r="M171"/>
    </row>
    <row r="172" spans="1:13" x14ac:dyDescent="0.2">
      <c r="A172" s="174" t="s">
        <v>157</v>
      </c>
      <c r="B172" s="174"/>
      <c r="C172" s="174"/>
      <c r="D172" s="174"/>
      <c r="E172" s="174"/>
      <c r="F172" s="15">
        <v>0</v>
      </c>
      <c r="L172" s="101"/>
      <c r="M172"/>
    </row>
    <row r="173" spans="1:13" x14ac:dyDescent="0.2">
      <c r="A173" s="174" t="s">
        <v>69</v>
      </c>
      <c r="B173" s="174"/>
      <c r="C173" s="174"/>
      <c r="D173" s="174"/>
      <c r="E173" s="174"/>
      <c r="F173" s="15">
        <v>0</v>
      </c>
      <c r="L173" s="101"/>
      <c r="M173"/>
    </row>
    <row r="174" spans="1:13" x14ac:dyDescent="0.2">
      <c r="A174" s="20" t="s">
        <v>152</v>
      </c>
      <c r="B174" s="20"/>
      <c r="C174" s="20"/>
      <c r="D174" s="21"/>
      <c r="E174" s="21"/>
      <c r="F174" s="22">
        <v>0</v>
      </c>
      <c r="L174" s="101"/>
      <c r="M174"/>
    </row>
    <row r="175" spans="1:13" x14ac:dyDescent="0.2">
      <c r="A175" s="362" t="s">
        <v>63</v>
      </c>
      <c r="B175" s="362"/>
      <c r="C175" s="362"/>
      <c r="D175" s="362"/>
      <c r="E175" s="174"/>
      <c r="F175" s="15">
        <f>SUM(F166:F174)</f>
        <v>-2611088</v>
      </c>
      <c r="L175" s="101"/>
      <c r="M175"/>
    </row>
    <row r="176" spans="1:13" x14ac:dyDescent="0.2">
      <c r="A176" s="174"/>
      <c r="B176" s="16"/>
      <c r="C176" s="23"/>
      <c r="D176" s="14"/>
      <c r="E176" s="14"/>
      <c r="F176" s="15"/>
      <c r="L176" s="101"/>
      <c r="M176"/>
    </row>
    <row r="177" spans="1:13" x14ac:dyDescent="0.2">
      <c r="A177" s="364" t="s">
        <v>70</v>
      </c>
      <c r="B177" s="364"/>
      <c r="C177" s="364"/>
      <c r="D177" s="364"/>
      <c r="E177" s="364"/>
      <c r="F177" s="364"/>
      <c r="L177" s="101"/>
      <c r="M177"/>
    </row>
    <row r="178" spans="1:13" x14ac:dyDescent="0.2">
      <c r="A178" s="175"/>
      <c r="B178" s="175"/>
      <c r="C178" s="175"/>
      <c r="D178" s="14"/>
      <c r="E178" s="14"/>
      <c r="F178" s="15"/>
      <c r="L178" s="101"/>
      <c r="M178"/>
    </row>
    <row r="179" spans="1:13" x14ac:dyDescent="0.2">
      <c r="A179" s="16" t="s">
        <v>145</v>
      </c>
      <c r="B179" s="16"/>
      <c r="C179" s="16"/>
      <c r="D179" s="16"/>
      <c r="E179" s="174"/>
      <c r="F179" s="15">
        <v>0</v>
      </c>
      <c r="L179" s="101"/>
      <c r="M179"/>
    </row>
    <row r="180" spans="1:13" x14ac:dyDescent="0.2">
      <c r="A180" s="364" t="s">
        <v>146</v>
      </c>
      <c r="B180" s="364"/>
      <c r="C180" s="364"/>
      <c r="D180" s="364"/>
      <c r="E180" s="174"/>
      <c r="F180" s="15">
        <v>0</v>
      </c>
      <c r="L180" s="101"/>
      <c r="M180"/>
    </row>
    <row r="181" spans="1:13" x14ac:dyDescent="0.2">
      <c r="A181" s="16" t="s">
        <v>147</v>
      </c>
      <c r="B181" s="174"/>
      <c r="C181" s="174"/>
      <c r="D181" s="174"/>
      <c r="E181" s="174"/>
      <c r="F181" s="15">
        <v>0</v>
      </c>
      <c r="L181" s="101"/>
      <c r="M181"/>
    </row>
    <row r="182" spans="1:13" x14ac:dyDescent="0.2">
      <c r="A182" s="364" t="s">
        <v>148</v>
      </c>
      <c r="B182" s="364"/>
      <c r="C182" s="364"/>
      <c r="D182" s="364"/>
      <c r="E182" s="174"/>
      <c r="F182" s="15">
        <v>0</v>
      </c>
      <c r="L182" s="101"/>
      <c r="M182"/>
    </row>
    <row r="183" spans="1:13" x14ac:dyDescent="0.2">
      <c r="A183" s="364" t="s">
        <v>153</v>
      </c>
      <c r="B183" s="364"/>
      <c r="C183" s="364"/>
      <c r="D183" s="364"/>
      <c r="E183" s="174"/>
      <c r="F183" s="15">
        <v>0</v>
      </c>
      <c r="L183" s="101"/>
      <c r="M183"/>
    </row>
    <row r="184" spans="1:13" x14ac:dyDescent="0.2">
      <c r="A184" s="16" t="s">
        <v>154</v>
      </c>
      <c r="B184" s="16"/>
      <c r="C184" s="16"/>
      <c r="D184" s="16"/>
      <c r="E184" s="174"/>
      <c r="F184" s="15">
        <v>0</v>
      </c>
      <c r="L184" s="101"/>
      <c r="M184"/>
    </row>
    <row r="185" spans="1:13" x14ac:dyDescent="0.2">
      <c r="A185" s="174" t="s">
        <v>61</v>
      </c>
      <c r="B185" s="174"/>
      <c r="C185" s="174"/>
      <c r="D185" s="174"/>
      <c r="E185" s="174"/>
      <c r="F185" s="15">
        <v>0</v>
      </c>
      <c r="L185" s="101"/>
      <c r="M185"/>
    </row>
    <row r="186" spans="1:13" x14ac:dyDescent="0.2">
      <c r="A186" s="365" t="s">
        <v>62</v>
      </c>
      <c r="B186" s="365"/>
      <c r="C186" s="365"/>
      <c r="D186" s="365"/>
      <c r="E186" s="173"/>
      <c r="F186" s="19">
        <f>F27+F24+F23+F8+F6</f>
        <v>0</v>
      </c>
      <c r="L186" s="101"/>
      <c r="M186"/>
    </row>
    <row r="187" spans="1:13" x14ac:dyDescent="0.2">
      <c r="A187" s="362" t="s">
        <v>63</v>
      </c>
      <c r="B187" s="362"/>
      <c r="C187" s="362"/>
      <c r="D187" s="362"/>
      <c r="E187" s="174"/>
      <c r="F187" s="15">
        <f>SUM(F179:F186)</f>
        <v>0</v>
      </c>
      <c r="L187" s="101"/>
      <c r="M187"/>
    </row>
    <row r="188" spans="1:13" x14ac:dyDescent="0.2">
      <c r="A188" s="366"/>
      <c r="B188" s="366"/>
      <c r="C188" s="366"/>
      <c r="D188" s="366"/>
      <c r="E188" s="366"/>
      <c r="F188" s="366"/>
      <c r="L188" s="101"/>
      <c r="M188"/>
    </row>
    <row r="189" spans="1:13" x14ac:dyDescent="0.2">
      <c r="A189" s="366"/>
      <c r="B189" s="366"/>
      <c r="C189" s="366"/>
      <c r="D189" s="366"/>
      <c r="E189" s="366"/>
      <c r="F189" s="366"/>
      <c r="L189" s="101"/>
      <c r="M189"/>
    </row>
    <row r="190" spans="1:13" x14ac:dyDescent="0.2">
      <c r="A190" s="366"/>
      <c r="B190" s="366"/>
      <c r="C190" s="366"/>
      <c r="D190" s="366"/>
      <c r="E190" s="366"/>
      <c r="F190" s="366"/>
      <c r="L190" s="101"/>
      <c r="M190"/>
    </row>
    <row r="191" spans="1:13" x14ac:dyDescent="0.2">
      <c r="A191" s="364" t="s">
        <v>71</v>
      </c>
      <c r="B191" s="364"/>
      <c r="C191" s="364"/>
      <c r="D191" s="364"/>
      <c r="E191" s="364"/>
      <c r="F191" s="364"/>
      <c r="L191" s="101"/>
      <c r="M191"/>
    </row>
    <row r="192" spans="1:13" x14ac:dyDescent="0.2">
      <c r="A192" s="366"/>
      <c r="B192" s="366"/>
      <c r="C192" s="366"/>
      <c r="D192" s="366"/>
      <c r="E192" s="366"/>
      <c r="F192" s="366"/>
      <c r="L192" s="101"/>
      <c r="M192"/>
    </row>
    <row r="193" spans="1:13" x14ac:dyDescent="0.2">
      <c r="A193" s="364" t="s">
        <v>65</v>
      </c>
      <c r="B193" s="364"/>
      <c r="C193" s="364"/>
      <c r="D193" s="364"/>
      <c r="E193" s="174"/>
      <c r="F193" s="15">
        <v>0</v>
      </c>
      <c r="L193" s="101"/>
      <c r="M193"/>
    </row>
    <row r="194" spans="1:13" x14ac:dyDescent="0.2">
      <c r="A194" s="174" t="s">
        <v>162</v>
      </c>
      <c r="B194" s="174"/>
      <c r="C194" s="174"/>
      <c r="D194" s="174"/>
      <c r="E194" s="174"/>
      <c r="F194" s="15">
        <f>G46</f>
        <v>-60000</v>
      </c>
      <c r="L194" s="101"/>
      <c r="M194"/>
    </row>
    <row r="195" spans="1:13" x14ac:dyDescent="0.2">
      <c r="A195" s="364" t="s">
        <v>66</v>
      </c>
      <c r="B195" s="364"/>
      <c r="C195" s="364"/>
      <c r="D195" s="364"/>
      <c r="E195" s="174"/>
      <c r="F195" s="15">
        <f>SUM(F114)</f>
        <v>-2109656</v>
      </c>
      <c r="L195" s="101"/>
      <c r="M195"/>
    </row>
    <row r="196" spans="1:13" x14ac:dyDescent="0.2">
      <c r="A196" s="364" t="s">
        <v>67</v>
      </c>
      <c r="B196" s="364"/>
      <c r="C196" s="364"/>
      <c r="D196" s="364"/>
      <c r="E196" s="174"/>
      <c r="F196" s="15">
        <f>SUM(F117)</f>
        <v>-424736</v>
      </c>
      <c r="L196" s="101"/>
      <c r="M196"/>
    </row>
    <row r="197" spans="1:13" x14ac:dyDescent="0.2">
      <c r="A197" s="364" t="s">
        <v>68</v>
      </c>
      <c r="B197" s="364"/>
      <c r="C197" s="364"/>
      <c r="D197" s="364"/>
      <c r="E197" s="174"/>
      <c r="F197" s="15">
        <f>F90+F89+F87+F84+G35+F39+F35+F85+F86+F88+F83</f>
        <v>2594392</v>
      </c>
      <c r="L197" s="101"/>
      <c r="M197"/>
    </row>
    <row r="198" spans="1:13" x14ac:dyDescent="0.2">
      <c r="A198" s="174" t="s">
        <v>72</v>
      </c>
      <c r="B198" s="174"/>
      <c r="C198" s="174"/>
      <c r="D198" s="174"/>
      <c r="E198" s="174"/>
      <c r="F198" s="15">
        <v>0</v>
      </c>
      <c r="L198" s="101"/>
      <c r="M198"/>
    </row>
    <row r="199" spans="1:13" x14ac:dyDescent="0.2">
      <c r="A199" s="174" t="s">
        <v>73</v>
      </c>
      <c r="B199" s="174"/>
      <c r="C199" s="174"/>
      <c r="D199" s="174"/>
      <c r="E199" s="174"/>
      <c r="F199" s="15">
        <v>0</v>
      </c>
      <c r="L199" s="101"/>
      <c r="M199"/>
    </row>
    <row r="200" spans="1:13" x14ac:dyDescent="0.2">
      <c r="A200" s="20" t="s">
        <v>152</v>
      </c>
      <c r="B200" s="20"/>
      <c r="C200" s="20"/>
      <c r="D200" s="21"/>
      <c r="E200" s="21"/>
      <c r="F200" s="22">
        <v>0</v>
      </c>
      <c r="L200" s="101"/>
      <c r="M200"/>
    </row>
    <row r="201" spans="1:13" x14ac:dyDescent="0.2">
      <c r="A201" s="362" t="s">
        <v>63</v>
      </c>
      <c r="B201" s="362"/>
      <c r="C201" s="362"/>
      <c r="D201" s="362"/>
      <c r="E201" s="174"/>
      <c r="F201" s="15">
        <f>SUM(F193:F200)</f>
        <v>0</v>
      </c>
      <c r="L201" s="101"/>
      <c r="M201"/>
    </row>
    <row r="202" spans="1:13" x14ac:dyDescent="0.2">
      <c r="A202" s="24"/>
      <c r="B202" s="25"/>
      <c r="C202" s="26"/>
      <c r="D202" s="27"/>
      <c r="E202" s="27"/>
      <c r="F202" s="28"/>
      <c r="L202" s="101"/>
      <c r="M202"/>
    </row>
    <row r="203" spans="1:13" x14ac:dyDescent="0.2">
      <c r="A203" s="24"/>
      <c r="B203" s="25"/>
      <c r="C203" s="26"/>
      <c r="D203" s="27"/>
      <c r="E203" s="27"/>
      <c r="F203" s="28"/>
      <c r="L203" s="101"/>
      <c r="M203"/>
    </row>
    <row r="204" spans="1:13" x14ac:dyDescent="0.2">
      <c r="A204" s="359" t="s">
        <v>74</v>
      </c>
      <c r="B204" s="359"/>
      <c r="C204" s="359"/>
      <c r="D204" s="359"/>
      <c r="E204" s="359"/>
      <c r="F204" s="359"/>
      <c r="L204" s="101"/>
      <c r="M204"/>
    </row>
    <row r="205" spans="1:13" x14ac:dyDescent="0.2">
      <c r="A205" s="361"/>
      <c r="B205" s="361"/>
      <c r="C205" s="361"/>
      <c r="D205" s="361"/>
      <c r="E205" s="361"/>
      <c r="F205" s="361"/>
      <c r="L205" s="101"/>
      <c r="M205"/>
    </row>
    <row r="206" spans="1:13" x14ac:dyDescent="0.2">
      <c r="A206" s="176"/>
      <c r="B206" s="176"/>
      <c r="C206" s="176"/>
      <c r="D206" s="30"/>
      <c r="E206" s="30"/>
      <c r="F206" s="31"/>
      <c r="L206" s="101"/>
      <c r="M206"/>
    </row>
    <row r="207" spans="1:13" x14ac:dyDescent="0.2">
      <c r="A207" s="177" t="s">
        <v>145</v>
      </c>
      <c r="B207" s="32"/>
      <c r="C207" s="32"/>
      <c r="D207" s="32"/>
      <c r="E207" s="32"/>
      <c r="F207" s="31">
        <f>SUM(F151,F179)</f>
        <v>0</v>
      </c>
      <c r="L207" s="101"/>
      <c r="M207"/>
    </row>
    <row r="208" spans="1:13" x14ac:dyDescent="0.2">
      <c r="A208" s="177" t="s">
        <v>146</v>
      </c>
      <c r="B208" s="32"/>
      <c r="C208" s="32"/>
      <c r="D208" s="32"/>
      <c r="E208" s="177"/>
      <c r="F208" s="31">
        <f>SUM(F152,F180)</f>
        <v>0</v>
      </c>
      <c r="L208" s="101"/>
      <c r="M208"/>
    </row>
    <row r="209" spans="1:13" x14ac:dyDescent="0.2">
      <c r="A209" s="359" t="s">
        <v>155</v>
      </c>
      <c r="B209" s="359"/>
      <c r="C209" s="359"/>
      <c r="D209" s="359"/>
      <c r="E209" s="177"/>
      <c r="F209" s="31">
        <f>SUM(F153,F181)</f>
        <v>-2615088</v>
      </c>
      <c r="L209" s="101"/>
      <c r="M209"/>
    </row>
    <row r="210" spans="1:13" x14ac:dyDescent="0.2">
      <c r="A210" s="359" t="s">
        <v>160</v>
      </c>
      <c r="B210" s="359"/>
      <c r="C210" s="359"/>
      <c r="D210" s="359"/>
      <c r="E210" s="177"/>
      <c r="F210" s="31">
        <f>F154+F182</f>
        <v>0</v>
      </c>
      <c r="L210" s="101"/>
      <c r="M210"/>
    </row>
    <row r="211" spans="1:13" x14ac:dyDescent="0.2">
      <c r="A211" s="359" t="s">
        <v>156</v>
      </c>
      <c r="B211" s="359"/>
      <c r="C211" s="359"/>
      <c r="D211" s="359"/>
      <c r="E211" s="177"/>
      <c r="F211" s="31">
        <f>F155+F183</f>
        <v>0</v>
      </c>
      <c r="L211" s="101"/>
      <c r="M211"/>
    </row>
    <row r="212" spans="1:13" x14ac:dyDescent="0.2">
      <c r="A212" s="32" t="s">
        <v>161</v>
      </c>
      <c r="B212" s="32"/>
      <c r="C212" s="32"/>
      <c r="D212" s="32"/>
      <c r="E212" s="177"/>
      <c r="F212" s="31">
        <f>SUM(F184,F156)</f>
        <v>0</v>
      </c>
      <c r="L212" s="101"/>
      <c r="M212"/>
    </row>
    <row r="213" spans="1:13" x14ac:dyDescent="0.2">
      <c r="A213" s="177" t="s">
        <v>61</v>
      </c>
      <c r="B213" s="177"/>
      <c r="C213" s="177"/>
      <c r="D213" s="177"/>
      <c r="E213" s="177"/>
      <c r="F213" s="31">
        <f>F185+F157</f>
        <v>0</v>
      </c>
      <c r="L213" s="101"/>
      <c r="M213"/>
    </row>
    <row r="214" spans="1:13" x14ac:dyDescent="0.2">
      <c r="A214" s="359" t="s">
        <v>62</v>
      </c>
      <c r="B214" s="359"/>
      <c r="C214" s="359"/>
      <c r="D214" s="359"/>
      <c r="E214" s="177"/>
      <c r="F214" s="31">
        <f>F186+F158</f>
        <v>4000</v>
      </c>
      <c r="L214" s="101"/>
      <c r="M214"/>
    </row>
    <row r="215" spans="1:13" x14ac:dyDescent="0.2">
      <c r="A215" s="178" t="s">
        <v>149</v>
      </c>
      <c r="B215" s="178"/>
      <c r="C215" s="178"/>
      <c r="D215" s="178"/>
      <c r="E215" s="178"/>
      <c r="F215" s="35">
        <f>F159</f>
        <v>0</v>
      </c>
      <c r="L215" s="101"/>
      <c r="M215"/>
    </row>
    <row r="216" spans="1:13" x14ac:dyDescent="0.2">
      <c r="A216" s="359" t="s">
        <v>63</v>
      </c>
      <c r="B216" s="359"/>
      <c r="C216" s="359"/>
      <c r="D216" s="359"/>
      <c r="E216" s="177"/>
      <c r="F216" s="31">
        <f>SUM(F207:F215)</f>
        <v>-2611088</v>
      </c>
      <c r="L216" s="101"/>
      <c r="M216"/>
    </row>
    <row r="217" spans="1:13" x14ac:dyDescent="0.2">
      <c r="A217" s="177"/>
      <c r="B217" s="177"/>
      <c r="C217" s="177"/>
      <c r="D217" s="177"/>
      <c r="E217" s="177"/>
      <c r="F217" s="31"/>
      <c r="L217" s="101"/>
      <c r="M217"/>
    </row>
    <row r="218" spans="1:13" x14ac:dyDescent="0.2">
      <c r="A218" s="177"/>
      <c r="B218" s="177"/>
      <c r="C218" s="177"/>
      <c r="D218" s="177"/>
      <c r="E218" s="177"/>
      <c r="F218" s="31"/>
      <c r="L218" s="101"/>
      <c r="M218"/>
    </row>
    <row r="219" spans="1:13" x14ac:dyDescent="0.2">
      <c r="A219" s="361"/>
      <c r="B219" s="361"/>
      <c r="C219" s="361"/>
      <c r="D219" s="361"/>
      <c r="E219" s="361"/>
      <c r="F219" s="361"/>
      <c r="L219" s="101"/>
      <c r="M219"/>
    </row>
    <row r="220" spans="1:13" x14ac:dyDescent="0.2">
      <c r="A220" s="359" t="s">
        <v>76</v>
      </c>
      <c r="B220" s="359"/>
      <c r="C220" s="359"/>
      <c r="D220" s="359"/>
      <c r="E220" s="359"/>
      <c r="F220" s="359"/>
      <c r="L220" s="101"/>
      <c r="M220"/>
    </row>
    <row r="221" spans="1:13" x14ac:dyDescent="0.2">
      <c r="A221" s="361"/>
      <c r="B221" s="361"/>
      <c r="C221" s="361"/>
      <c r="D221" s="361"/>
      <c r="E221" s="361"/>
      <c r="F221" s="361"/>
      <c r="L221" s="101"/>
      <c r="M221"/>
    </row>
    <row r="222" spans="1:13" x14ac:dyDescent="0.2">
      <c r="A222" s="359" t="s">
        <v>65</v>
      </c>
      <c r="B222" s="359"/>
      <c r="C222" s="359"/>
      <c r="D222" s="359"/>
      <c r="E222" s="177"/>
      <c r="F222" s="31">
        <f>SUM(F193,F166)</f>
        <v>-4961088</v>
      </c>
      <c r="L222" s="101"/>
      <c r="M222"/>
    </row>
    <row r="223" spans="1:13" x14ac:dyDescent="0.2">
      <c r="A223" s="177" t="s">
        <v>162</v>
      </c>
      <c r="B223" s="177"/>
      <c r="C223" s="177"/>
      <c r="D223" s="177"/>
      <c r="E223" s="177"/>
      <c r="F223" s="31">
        <f>F194+F167</f>
        <v>-60000</v>
      </c>
      <c r="L223" s="101"/>
      <c r="M223"/>
    </row>
    <row r="224" spans="1:13" x14ac:dyDescent="0.2">
      <c r="A224" s="359" t="s">
        <v>66</v>
      </c>
      <c r="B224" s="359"/>
      <c r="C224" s="359"/>
      <c r="D224" s="359"/>
      <c r="E224" s="177"/>
      <c r="F224" s="31">
        <f>F195+F168</f>
        <v>-2109656</v>
      </c>
      <c r="L224" s="101"/>
      <c r="M224"/>
    </row>
    <row r="225" spans="1:13" x14ac:dyDescent="0.2">
      <c r="A225" s="359" t="s">
        <v>67</v>
      </c>
      <c r="B225" s="359"/>
      <c r="C225" s="359"/>
      <c r="D225" s="359"/>
      <c r="E225" s="177"/>
      <c r="F225" s="31">
        <f>F196+F169</f>
        <v>-424736</v>
      </c>
      <c r="L225" s="101"/>
      <c r="M225"/>
    </row>
    <row r="226" spans="1:13" x14ac:dyDescent="0.2">
      <c r="A226" s="359" t="s">
        <v>68</v>
      </c>
      <c r="B226" s="359"/>
      <c r="C226" s="359"/>
      <c r="D226" s="359"/>
      <c r="E226" s="177"/>
      <c r="F226" s="31">
        <f>F197+F170</f>
        <v>4944392</v>
      </c>
      <c r="L226" s="101"/>
      <c r="M226"/>
    </row>
    <row r="227" spans="1:13" x14ac:dyDescent="0.2">
      <c r="A227" s="177" t="s">
        <v>72</v>
      </c>
      <c r="B227" s="177"/>
      <c r="C227" s="177"/>
      <c r="D227" s="177"/>
      <c r="E227" s="177"/>
      <c r="F227" s="31">
        <f>SUM(F198,F171)</f>
        <v>0</v>
      </c>
      <c r="L227" s="101"/>
      <c r="M227"/>
    </row>
    <row r="228" spans="1:13" x14ac:dyDescent="0.2">
      <c r="A228" s="177" t="s">
        <v>73</v>
      </c>
      <c r="B228" s="177"/>
      <c r="C228" s="177"/>
      <c r="D228" s="177"/>
      <c r="E228" s="177"/>
      <c r="F228" s="31">
        <f>SUM(F199,F172)</f>
        <v>0</v>
      </c>
      <c r="L228" s="101"/>
      <c r="M228"/>
    </row>
    <row r="229" spans="1:13" x14ac:dyDescent="0.2">
      <c r="A229" s="36" t="s">
        <v>152</v>
      </c>
      <c r="B229" s="36"/>
      <c r="C229" s="36"/>
      <c r="D229" s="37"/>
      <c r="E229" s="37"/>
      <c r="F229" s="155">
        <f>F200+F174</f>
        <v>0</v>
      </c>
      <c r="L229" s="101"/>
      <c r="M229"/>
    </row>
    <row r="230" spans="1:13" x14ac:dyDescent="0.2">
      <c r="A230" s="360" t="s">
        <v>63</v>
      </c>
      <c r="B230" s="360"/>
      <c r="C230" s="360"/>
      <c r="D230" s="360"/>
      <c r="E230" s="177"/>
      <c r="F230" s="31">
        <f>SUM(F222:F229)</f>
        <v>-2611088</v>
      </c>
      <c r="L230" s="101"/>
      <c r="M230"/>
    </row>
    <row r="231" spans="1:13" x14ac:dyDescent="0.2">
      <c r="L231" s="101"/>
      <c r="M231"/>
    </row>
    <row r="232" spans="1:13" x14ac:dyDescent="0.2">
      <c r="L232" s="101"/>
      <c r="M232"/>
    </row>
  </sheetData>
  <mergeCells count="82">
    <mergeCell ref="A230:D230"/>
    <mergeCell ref="A221:F221"/>
    <mergeCell ref="A222:D222"/>
    <mergeCell ref="A224:D224"/>
    <mergeCell ref="A225:D225"/>
    <mergeCell ref="A226:D226"/>
    <mergeCell ref="A211:D211"/>
    <mergeCell ref="A214:D214"/>
    <mergeCell ref="A216:D216"/>
    <mergeCell ref="A219:F219"/>
    <mergeCell ref="A220:F220"/>
    <mergeCell ref="A201:D201"/>
    <mergeCell ref="A204:F204"/>
    <mergeCell ref="A205:F205"/>
    <mergeCell ref="A209:D209"/>
    <mergeCell ref="A210:D210"/>
    <mergeCell ref="A192:F192"/>
    <mergeCell ref="A193:D193"/>
    <mergeCell ref="A195:D195"/>
    <mergeCell ref="A196:D196"/>
    <mergeCell ref="A197:D197"/>
    <mergeCell ref="A183:D183"/>
    <mergeCell ref="A186:D186"/>
    <mergeCell ref="A187:D187"/>
    <mergeCell ref="A188:F190"/>
    <mergeCell ref="A191:F191"/>
    <mergeCell ref="A170:D170"/>
    <mergeCell ref="A175:D175"/>
    <mergeCell ref="A177:F177"/>
    <mergeCell ref="A180:D180"/>
    <mergeCell ref="A182:D182"/>
    <mergeCell ref="A164:F164"/>
    <mergeCell ref="A165:F165"/>
    <mergeCell ref="A166:D166"/>
    <mergeCell ref="A168:D168"/>
    <mergeCell ref="A169:D169"/>
    <mergeCell ref="A154:D154"/>
    <mergeCell ref="A155:D155"/>
    <mergeCell ref="A158:D158"/>
    <mergeCell ref="A160:D160"/>
    <mergeCell ref="A161:F163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:N1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25:B26"/>
    <mergeCell ref="A31:C31"/>
    <mergeCell ref="A32:A43"/>
    <mergeCell ref="B32:B39"/>
    <mergeCell ref="B40:B42"/>
  </mergeCells>
  <pageMargins left="0.7" right="0.7" top="0.75" bottom="0.75" header="0.3" footer="0.3"/>
  <pageSetup paperSize="9" scale="47" orientation="portrait" r:id="rId1"/>
  <rowBreaks count="2" manualBreakCount="2">
    <brk id="97" max="13" man="1"/>
    <brk id="148" max="13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147"/>
  <sheetViews>
    <sheetView workbookViewId="0">
      <pane xSplit="3" ySplit="5" topLeftCell="D7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8" width="11.140625" customWidth="1"/>
    <col min="9" max="9" width="12.710937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07" t="s">
        <v>82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502" t="s">
        <v>19</v>
      </c>
      <c r="B4" s="504" t="s">
        <v>0</v>
      </c>
      <c r="C4" s="502" t="s">
        <v>44</v>
      </c>
      <c r="D4" s="502" t="s">
        <v>21</v>
      </c>
      <c r="E4" s="506" t="s">
        <v>168</v>
      </c>
      <c r="F4" s="508" t="s">
        <v>177</v>
      </c>
      <c r="G4" s="509"/>
      <c r="H4" s="509"/>
      <c r="I4" s="510"/>
      <c r="J4" s="506" t="s">
        <v>172</v>
      </c>
      <c r="K4" s="511" t="s">
        <v>178</v>
      </c>
      <c r="L4" s="512" t="s">
        <v>179</v>
      </c>
    </row>
    <row r="5" spans="1:12" ht="41.25" customHeight="1" x14ac:dyDescent="0.2">
      <c r="A5" s="503"/>
      <c r="B5" s="505"/>
      <c r="C5" s="503"/>
      <c r="D5" s="503"/>
      <c r="E5" s="507"/>
      <c r="F5" s="160" t="s">
        <v>43</v>
      </c>
      <c r="G5" s="161" t="s">
        <v>173</v>
      </c>
      <c r="H5" s="161" t="s">
        <v>176</v>
      </c>
      <c r="I5" s="161" t="s">
        <v>174</v>
      </c>
      <c r="J5" s="507"/>
      <c r="K5" s="511"/>
      <c r="L5" s="512"/>
    </row>
    <row r="6" spans="1:12" x14ac:dyDescent="0.2">
      <c r="A6" s="482" t="s">
        <v>38</v>
      </c>
      <c r="B6" s="378" t="s">
        <v>1</v>
      </c>
      <c r="C6" s="41" t="s">
        <v>41</v>
      </c>
      <c r="D6" s="42">
        <v>0</v>
      </c>
      <c r="E6" s="42">
        <v>41943</v>
      </c>
      <c r="F6" s="43"/>
      <c r="G6" s="38"/>
      <c r="H6" s="38">
        <v>2000</v>
      </c>
      <c r="I6" s="38"/>
      <c r="J6" s="4">
        <f t="shared" ref="J6:J30" si="0">SUM(E6:I6)</f>
        <v>43943</v>
      </c>
      <c r="K6" s="103">
        <v>41943</v>
      </c>
      <c r="L6" s="4">
        <f>J6-K6</f>
        <v>2000</v>
      </c>
    </row>
    <row r="7" spans="1:12" x14ac:dyDescent="0.2">
      <c r="A7" s="482"/>
      <c r="B7" s="378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482"/>
      <c r="B8" s="378"/>
      <c r="C8" s="41" t="s">
        <v>40</v>
      </c>
      <c r="D8" s="42">
        <v>1500</v>
      </c>
      <c r="E8" s="42">
        <v>1557</v>
      </c>
      <c r="F8" s="43"/>
      <c r="G8" s="38"/>
      <c r="H8" s="38"/>
      <c r="I8" s="38"/>
      <c r="J8" s="4">
        <f t="shared" si="0"/>
        <v>1557</v>
      </c>
      <c r="K8" s="103">
        <v>1496</v>
      </c>
      <c r="L8" s="4">
        <f t="shared" si="1"/>
        <v>61</v>
      </c>
    </row>
    <row r="9" spans="1:12" x14ac:dyDescent="0.2">
      <c r="A9" s="482"/>
      <c r="B9" s="379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/>
      <c r="I9" s="38"/>
      <c r="J9" s="4">
        <f t="shared" si="0"/>
        <v>4814000</v>
      </c>
      <c r="K9" s="132">
        <v>4814000</v>
      </c>
      <c r="L9" s="120">
        <f t="shared" si="1"/>
        <v>0</v>
      </c>
    </row>
    <row r="10" spans="1:12" x14ac:dyDescent="0.2">
      <c r="A10" s="482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83" t="s">
        <v>50</v>
      </c>
      <c r="B11" s="341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6234076</v>
      </c>
      <c r="L11" s="4">
        <f t="shared" si="1"/>
        <v>771187</v>
      </c>
    </row>
    <row r="12" spans="1:12" x14ac:dyDescent="0.2">
      <c r="A12" s="484"/>
      <c r="B12" s="342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4322095</v>
      </c>
      <c r="L12" s="4">
        <f t="shared" si="1"/>
        <v>177905</v>
      </c>
    </row>
    <row r="13" spans="1:12" x14ac:dyDescent="0.2">
      <c r="A13" s="182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17531375</v>
      </c>
      <c r="L13" s="4">
        <f t="shared" si="1"/>
        <v>2215125</v>
      </c>
    </row>
    <row r="14" spans="1:12" x14ac:dyDescent="0.2">
      <c r="A14" s="183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14388859</v>
      </c>
      <c r="L14" s="4">
        <f>J14-K14</f>
        <v>1870091</v>
      </c>
    </row>
    <row r="15" spans="1:12" x14ac:dyDescent="0.2">
      <c r="A15" s="483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485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485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485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485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486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25189858</v>
      </c>
      <c r="L20" s="4">
        <f t="shared" si="1"/>
        <v>12024954</v>
      </c>
    </row>
    <row r="21" spans="1:13" x14ac:dyDescent="0.2">
      <c r="A21" s="487"/>
      <c r="B21" s="382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487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487"/>
      <c r="B23" s="341" t="s">
        <v>17</v>
      </c>
      <c r="C23" s="41" t="s">
        <v>41</v>
      </c>
      <c r="D23" s="42">
        <v>0</v>
      </c>
      <c r="E23" s="42">
        <v>0</v>
      </c>
      <c r="F23" s="43"/>
      <c r="G23" s="38"/>
      <c r="H23" s="38"/>
      <c r="I23" s="38"/>
      <c r="J23" s="4">
        <f t="shared" si="0"/>
        <v>0</v>
      </c>
      <c r="K23" s="103">
        <v>0</v>
      </c>
      <c r="L23" s="120">
        <f t="shared" si="1"/>
        <v>0</v>
      </c>
    </row>
    <row r="24" spans="1:13" x14ac:dyDescent="0.2">
      <c r="A24" s="488"/>
      <c r="B24" s="342"/>
      <c r="C24" s="41" t="s">
        <v>40</v>
      </c>
      <c r="D24" s="42">
        <v>800</v>
      </c>
      <c r="E24" s="42">
        <v>800</v>
      </c>
      <c r="F24" s="43"/>
      <c r="G24" s="38"/>
      <c r="H24" s="38"/>
      <c r="I24" s="38"/>
      <c r="J24" s="4">
        <f t="shared" si="0"/>
        <v>800</v>
      </c>
      <c r="K24" s="103">
        <v>0</v>
      </c>
      <c r="L24" s="4">
        <f t="shared" si="1"/>
        <v>800</v>
      </c>
    </row>
    <row r="25" spans="1:13" ht="21" customHeight="1" x14ac:dyDescent="0.2">
      <c r="A25" s="393" t="s">
        <v>132</v>
      </c>
      <c r="B25" s="470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394"/>
      <c r="B26" s="471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395"/>
      <c r="B27" s="181" t="s">
        <v>128</v>
      </c>
      <c r="C27" s="126" t="s">
        <v>41</v>
      </c>
      <c r="D27" s="42">
        <v>0</v>
      </c>
      <c r="E27" s="42">
        <v>0</v>
      </c>
      <c r="F27" s="43"/>
      <c r="G27" s="38"/>
      <c r="H27" s="38"/>
      <c r="I27" s="38"/>
      <c r="J27" s="4">
        <f t="shared" si="0"/>
        <v>0</v>
      </c>
      <c r="K27" s="103">
        <v>0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289535306</v>
      </c>
      <c r="F28" s="43"/>
      <c r="G28" s="38"/>
      <c r="H28" s="38"/>
      <c r="I28" s="38">
        <v>-1328080</v>
      </c>
      <c r="J28" s="4">
        <f t="shared" si="0"/>
        <v>288207226</v>
      </c>
      <c r="K28" s="103">
        <v>248233081</v>
      </c>
      <c r="L28" s="4">
        <f t="shared" si="1"/>
        <v>39974145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>
        <v>-911982</v>
      </c>
      <c r="H29" s="38"/>
      <c r="I29" s="38"/>
      <c r="J29" s="4">
        <f t="shared" si="0"/>
        <v>2284576</v>
      </c>
      <c r="K29" s="103">
        <v>1917505</v>
      </c>
      <c r="L29" s="4">
        <f t="shared" si="1"/>
        <v>367071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>
        <v>-2721026</v>
      </c>
      <c r="H30" s="38"/>
      <c r="I30" s="38"/>
      <c r="J30" s="4">
        <f t="shared" si="0"/>
        <v>44781646</v>
      </c>
      <c r="K30" s="103">
        <v>40978714</v>
      </c>
      <c r="L30" s="4">
        <f t="shared" si="1"/>
        <v>3802932</v>
      </c>
    </row>
    <row r="31" spans="1:13" ht="34.5" customHeight="1" x14ac:dyDescent="0.2">
      <c r="A31" s="479" t="s">
        <v>85</v>
      </c>
      <c r="B31" s="480"/>
      <c r="C31" s="481"/>
      <c r="D31" s="138">
        <f t="shared" ref="D31:L31" si="2">SUM(D6:D30)</f>
        <v>426209554</v>
      </c>
      <c r="E31" s="138">
        <f t="shared" si="2"/>
        <v>521744064</v>
      </c>
      <c r="F31" s="138">
        <f t="shared" si="2"/>
        <v>0</v>
      </c>
      <c r="G31" s="138">
        <f t="shared" si="2"/>
        <v>-3633008</v>
      </c>
      <c r="H31" s="138">
        <f t="shared" si="2"/>
        <v>2000</v>
      </c>
      <c r="I31" s="138">
        <f t="shared" si="2"/>
        <v>-1328080</v>
      </c>
      <c r="J31" s="138">
        <f t="shared" si="2"/>
        <v>516784976</v>
      </c>
      <c r="K31" s="139">
        <f t="shared" si="2"/>
        <v>455578705</v>
      </c>
      <c r="L31" s="138">
        <f t="shared" si="2"/>
        <v>61206271</v>
      </c>
    </row>
    <row r="32" spans="1:13" ht="12.75" customHeight="1" x14ac:dyDescent="0.2">
      <c r="A32" s="393" t="s">
        <v>18</v>
      </c>
      <c r="B32" s="384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6" si="3">SUM(E32:I32)</f>
        <v>24000</v>
      </c>
      <c r="K32" s="105">
        <v>0</v>
      </c>
      <c r="L32" s="4">
        <f t="shared" ref="L32:L96" si="4">J32-K32</f>
        <v>24000</v>
      </c>
    </row>
    <row r="33" spans="1:12" x14ac:dyDescent="0.2">
      <c r="A33" s="394"/>
      <c r="B33" s="385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94"/>
      <c r="B34" s="385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94"/>
      <c r="B35" s="385"/>
      <c r="C35" s="39" t="s">
        <v>2</v>
      </c>
      <c r="D35" s="38">
        <v>17684057</v>
      </c>
      <c r="E35" s="38">
        <v>19258983</v>
      </c>
      <c r="F35" s="40">
        <v>60000</v>
      </c>
      <c r="G35" s="38"/>
      <c r="H35" s="38"/>
      <c r="I35" s="38"/>
      <c r="J35" s="4">
        <f t="shared" si="3"/>
        <v>19318983</v>
      </c>
      <c r="K35" s="105">
        <v>7417651</v>
      </c>
      <c r="L35" s="4">
        <f t="shared" si="4"/>
        <v>11901332</v>
      </c>
    </row>
    <row r="36" spans="1:12" x14ac:dyDescent="0.2">
      <c r="A36" s="394"/>
      <c r="B36" s="385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94"/>
      <c r="B37" s="385"/>
      <c r="C37" s="41" t="s">
        <v>11</v>
      </c>
      <c r="D37" s="38">
        <v>60264</v>
      </c>
      <c r="E37" s="38">
        <v>593406</v>
      </c>
      <c r="F37" s="40"/>
      <c r="G37" s="38"/>
      <c r="H37" s="38"/>
      <c r="I37" s="38"/>
      <c r="J37" s="4">
        <f t="shared" si="3"/>
        <v>593406</v>
      </c>
      <c r="K37" s="105">
        <v>76257</v>
      </c>
      <c r="L37" s="4">
        <f t="shared" si="4"/>
        <v>517149</v>
      </c>
    </row>
    <row r="38" spans="1:12" x14ac:dyDescent="0.2">
      <c r="A38" s="394"/>
      <c r="B38" s="385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94"/>
      <c r="B39" s="386"/>
      <c r="C39" s="41" t="s">
        <v>12</v>
      </c>
      <c r="D39" s="38">
        <v>0</v>
      </c>
      <c r="E39" s="38">
        <v>83219</v>
      </c>
      <c r="F39" s="40"/>
      <c r="G39" s="38"/>
      <c r="H39" s="38">
        <v>2000</v>
      </c>
      <c r="I39" s="38"/>
      <c r="J39" s="4">
        <f t="shared" si="3"/>
        <v>85219</v>
      </c>
      <c r="K39" s="105">
        <v>83538</v>
      </c>
      <c r="L39" s="120">
        <f t="shared" si="4"/>
        <v>1681</v>
      </c>
    </row>
    <row r="40" spans="1:12" x14ac:dyDescent="0.2">
      <c r="A40" s="394"/>
      <c r="B40" s="341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94"/>
      <c r="B41" s="383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94"/>
      <c r="B42" s="383"/>
      <c r="C42" s="39" t="s">
        <v>3</v>
      </c>
      <c r="D42" s="38">
        <v>313437148</v>
      </c>
      <c r="E42" s="38">
        <v>342702536</v>
      </c>
      <c r="F42" s="43"/>
      <c r="G42" s="38">
        <v>-3633008</v>
      </c>
      <c r="H42" s="38"/>
      <c r="I42" s="38">
        <v>-1328080</v>
      </c>
      <c r="J42" s="4">
        <f t="shared" si="3"/>
        <v>337741448</v>
      </c>
      <c r="K42" s="105">
        <v>293596047</v>
      </c>
      <c r="L42" s="4">
        <f t="shared" si="4"/>
        <v>44145401</v>
      </c>
    </row>
    <row r="43" spans="1:12" x14ac:dyDescent="0.2">
      <c r="A43" s="395"/>
      <c r="B43" s="180" t="s">
        <v>128</v>
      </c>
      <c r="C43" s="39" t="s">
        <v>12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105">
        <v>0</v>
      </c>
      <c r="L43" s="4">
        <f t="shared" si="4"/>
        <v>0</v>
      </c>
    </row>
    <row r="44" spans="1:12" x14ac:dyDescent="0.2">
      <c r="A44" s="339" t="s">
        <v>24</v>
      </c>
      <c r="B44" s="341" t="s">
        <v>4</v>
      </c>
      <c r="C44" s="41" t="s">
        <v>23</v>
      </c>
      <c r="D44" s="38">
        <v>7005263</v>
      </c>
      <c r="E44" s="38">
        <v>7005263</v>
      </c>
      <c r="F44" s="40"/>
      <c r="G44" s="38"/>
      <c r="H44" s="38"/>
      <c r="I44" s="38"/>
      <c r="J44" s="4">
        <f t="shared" si="3"/>
        <v>7005263</v>
      </c>
      <c r="K44" s="105">
        <v>5306843</v>
      </c>
      <c r="L44" s="4">
        <f t="shared" si="4"/>
        <v>1698420</v>
      </c>
    </row>
    <row r="45" spans="1:12" x14ac:dyDescent="0.2">
      <c r="A45" s="340"/>
      <c r="B45" s="342"/>
      <c r="C45" s="41" t="s">
        <v>90</v>
      </c>
      <c r="D45" s="38">
        <v>4500000</v>
      </c>
      <c r="E45" s="38">
        <v>4500000</v>
      </c>
      <c r="F45" s="40"/>
      <c r="G45" s="38"/>
      <c r="H45" s="38"/>
      <c r="I45" s="38"/>
      <c r="J45" s="4">
        <f t="shared" si="3"/>
        <v>4500000</v>
      </c>
      <c r="K45" s="105">
        <v>4230770</v>
      </c>
      <c r="L45" s="4">
        <f t="shared" si="4"/>
        <v>269230</v>
      </c>
    </row>
    <row r="46" spans="1:12" x14ac:dyDescent="0.2">
      <c r="A46" s="339" t="s">
        <v>30</v>
      </c>
      <c r="B46" s="341" t="s">
        <v>4</v>
      </c>
      <c r="C46" s="41" t="s">
        <v>23</v>
      </c>
      <c r="D46" s="38">
        <v>12736500</v>
      </c>
      <c r="E46" s="38">
        <v>12736500</v>
      </c>
      <c r="F46" s="40">
        <v>-60000</v>
      </c>
      <c r="G46" s="38"/>
      <c r="H46" s="38"/>
      <c r="I46" s="38"/>
      <c r="J46" s="4">
        <f t="shared" si="3"/>
        <v>12676500</v>
      </c>
      <c r="K46" s="105">
        <v>12676500</v>
      </c>
      <c r="L46" s="4">
        <f t="shared" si="4"/>
        <v>0</v>
      </c>
    </row>
    <row r="47" spans="1:12" x14ac:dyDescent="0.2">
      <c r="A47" s="340"/>
      <c r="B47" s="342"/>
      <c r="C47" s="41" t="s">
        <v>5</v>
      </c>
      <c r="D47" s="38">
        <v>50000</v>
      </c>
      <c r="E47" s="38">
        <v>50000</v>
      </c>
      <c r="F47" s="40"/>
      <c r="G47" s="38"/>
      <c r="H47" s="38"/>
      <c r="I47" s="38"/>
      <c r="J47" s="4">
        <f t="shared" si="3"/>
        <v>50000</v>
      </c>
      <c r="K47" s="105">
        <v>50000</v>
      </c>
      <c r="L47" s="4">
        <f t="shared" si="4"/>
        <v>0</v>
      </c>
    </row>
    <row r="48" spans="1:12" x14ac:dyDescent="0.2">
      <c r="A48" s="339" t="s">
        <v>138</v>
      </c>
      <c r="B48" s="368" t="s">
        <v>6</v>
      </c>
      <c r="C48" s="41" t="s">
        <v>23</v>
      </c>
      <c r="D48" s="42">
        <v>0</v>
      </c>
      <c r="E48" s="42">
        <v>0</v>
      </c>
      <c r="F48" s="45"/>
      <c r="G48" s="38"/>
      <c r="H48" s="38"/>
      <c r="I48" s="38"/>
      <c r="J48" s="4">
        <f>SUM(E48:I48)</f>
        <v>0</v>
      </c>
      <c r="K48" s="105">
        <v>0</v>
      </c>
      <c r="L48" s="4">
        <f>J48-K48</f>
        <v>0</v>
      </c>
    </row>
    <row r="49" spans="1:12" x14ac:dyDescent="0.2">
      <c r="A49" s="358"/>
      <c r="B49" s="369"/>
      <c r="C49" s="39" t="s">
        <v>5</v>
      </c>
      <c r="D49" s="38">
        <v>16258950</v>
      </c>
      <c r="E49" s="38">
        <v>16258950</v>
      </c>
      <c r="F49" s="43"/>
      <c r="G49" s="38"/>
      <c r="H49" s="38"/>
      <c r="I49" s="38"/>
      <c r="J49" s="4">
        <f>SUM(E49:I49)</f>
        <v>16258950</v>
      </c>
      <c r="K49" s="105">
        <v>13549126</v>
      </c>
      <c r="L49" s="4">
        <f>J49-K49</f>
        <v>2709824</v>
      </c>
    </row>
    <row r="50" spans="1:12" x14ac:dyDescent="0.2">
      <c r="A50" s="339" t="s">
        <v>48</v>
      </c>
      <c r="B50" s="368" t="s">
        <v>8</v>
      </c>
      <c r="C50" s="39" t="s">
        <v>7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7"/>
      <c r="B51" s="369"/>
      <c r="C51" s="39" t="s">
        <v>9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67"/>
      <c r="B52" s="369"/>
      <c r="C52" s="39" t="s">
        <v>10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7"/>
      <c r="B53" s="369"/>
      <c r="C53" s="39" t="s">
        <v>2</v>
      </c>
      <c r="D53" s="38">
        <v>199713</v>
      </c>
      <c r="E53" s="38">
        <v>99713</v>
      </c>
      <c r="F53" s="43"/>
      <c r="G53" s="38"/>
      <c r="H53" s="38"/>
      <c r="I53" s="38"/>
      <c r="J53" s="4">
        <f t="shared" si="3"/>
        <v>99713</v>
      </c>
      <c r="K53" s="105">
        <v>500</v>
      </c>
      <c r="L53" s="4">
        <f t="shared" si="4"/>
        <v>99213</v>
      </c>
    </row>
    <row r="54" spans="1:12" x14ac:dyDescent="0.2">
      <c r="A54" s="367"/>
      <c r="B54" s="369"/>
      <c r="C54" s="39" t="s">
        <v>11</v>
      </c>
      <c r="D54" s="38">
        <v>0</v>
      </c>
      <c r="E54" s="38">
        <v>0</v>
      </c>
      <c r="F54" s="40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7"/>
      <c r="B55" s="369"/>
      <c r="C55" s="39" t="s">
        <v>12</v>
      </c>
      <c r="D55" s="38">
        <v>0</v>
      </c>
      <c r="E55" s="38">
        <v>100000</v>
      </c>
      <c r="F55" s="43"/>
      <c r="G55" s="38"/>
      <c r="H55" s="38"/>
      <c r="I55" s="38"/>
      <c r="J55" s="4">
        <f t="shared" si="3"/>
        <v>100000</v>
      </c>
      <c r="K55" s="105">
        <v>100000</v>
      </c>
      <c r="L55" s="4">
        <f t="shared" si="4"/>
        <v>0</v>
      </c>
    </row>
    <row r="56" spans="1:12" x14ac:dyDescent="0.2">
      <c r="A56" s="367"/>
      <c r="B56" s="369"/>
      <c r="C56" s="41" t="s">
        <v>31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7"/>
      <c r="B57" s="369"/>
      <c r="C57" s="41" t="s">
        <v>32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7"/>
      <c r="B58" s="369"/>
      <c r="C58" s="39" t="s">
        <v>13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7"/>
      <c r="B59" s="369"/>
      <c r="C59" s="39" t="s">
        <v>14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67"/>
      <c r="B60" s="369"/>
      <c r="C60" s="39" t="s">
        <v>15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67"/>
      <c r="B61" s="369"/>
      <c r="C61" s="39" t="s">
        <v>16</v>
      </c>
      <c r="D61" s="38">
        <v>0</v>
      </c>
      <c r="E61" s="38">
        <v>0</v>
      </c>
      <c r="F61" s="43"/>
      <c r="G61" s="38"/>
      <c r="H61" s="38"/>
      <c r="I61" s="38"/>
      <c r="J61" s="4">
        <f t="shared" si="3"/>
        <v>0</v>
      </c>
      <c r="K61" s="105">
        <v>0</v>
      </c>
      <c r="L61" s="4">
        <f t="shared" si="4"/>
        <v>0</v>
      </c>
    </row>
    <row r="62" spans="1:12" x14ac:dyDescent="0.2">
      <c r="A62" s="339" t="s">
        <v>49</v>
      </c>
      <c r="B62" s="180" t="s">
        <v>1</v>
      </c>
      <c r="C62" s="39" t="s">
        <v>2</v>
      </c>
      <c r="D62" s="39">
        <v>0</v>
      </c>
      <c r="E62" s="38">
        <v>8</v>
      </c>
      <c r="F62" s="43"/>
      <c r="G62" s="38"/>
      <c r="H62" s="38"/>
      <c r="I62" s="38"/>
      <c r="J62" s="4">
        <f t="shared" si="3"/>
        <v>8</v>
      </c>
      <c r="K62" s="105">
        <v>8</v>
      </c>
      <c r="L62" s="4">
        <f t="shared" si="4"/>
        <v>0</v>
      </c>
    </row>
    <row r="63" spans="1:12" ht="12.75" customHeight="1" x14ac:dyDescent="0.2">
      <c r="A63" s="367"/>
      <c r="B63" s="392" t="s">
        <v>17</v>
      </c>
      <c r="C63" s="39" t="s">
        <v>7</v>
      </c>
      <c r="D63" s="38">
        <v>970000</v>
      </c>
      <c r="E63" s="38">
        <v>970000</v>
      </c>
      <c r="F63" s="40"/>
      <c r="G63" s="38"/>
      <c r="H63" s="38"/>
      <c r="I63" s="38"/>
      <c r="J63" s="4">
        <f t="shared" si="3"/>
        <v>970000</v>
      </c>
      <c r="K63" s="105">
        <v>770000</v>
      </c>
      <c r="L63" s="4">
        <f t="shared" si="4"/>
        <v>200000</v>
      </c>
    </row>
    <row r="64" spans="1:12" x14ac:dyDescent="0.2">
      <c r="A64" s="367"/>
      <c r="B64" s="392"/>
      <c r="C64" s="41" t="s">
        <v>88</v>
      </c>
      <c r="D64" s="38">
        <v>10791000</v>
      </c>
      <c r="E64" s="38">
        <v>10791000</v>
      </c>
      <c r="F64" s="40"/>
      <c r="G64" s="38"/>
      <c r="H64" s="38"/>
      <c r="I64" s="38"/>
      <c r="J64" s="4">
        <f t="shared" si="3"/>
        <v>10791000</v>
      </c>
      <c r="K64" s="105">
        <v>950000</v>
      </c>
      <c r="L64" s="4">
        <f t="shared" si="4"/>
        <v>9841000</v>
      </c>
    </row>
    <row r="65" spans="1:12" x14ac:dyDescent="0.2">
      <c r="A65" s="367"/>
      <c r="B65" s="392"/>
      <c r="C65" s="39" t="s">
        <v>9</v>
      </c>
      <c r="D65" s="38">
        <v>3112282</v>
      </c>
      <c r="E65" s="38">
        <v>3112282</v>
      </c>
      <c r="F65" s="40"/>
      <c r="G65" s="38"/>
      <c r="H65" s="38"/>
      <c r="I65" s="38"/>
      <c r="J65" s="4">
        <f t="shared" si="3"/>
        <v>3112282</v>
      </c>
      <c r="K65" s="105">
        <v>144550</v>
      </c>
      <c r="L65" s="4">
        <f t="shared" si="4"/>
        <v>2967732</v>
      </c>
    </row>
    <row r="66" spans="1:12" x14ac:dyDescent="0.2">
      <c r="A66" s="367"/>
      <c r="B66" s="392"/>
      <c r="C66" s="41" t="s">
        <v>22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67"/>
      <c r="B67" s="392"/>
      <c r="C67" s="41" t="s">
        <v>33</v>
      </c>
      <c r="D67" s="38">
        <v>72000</v>
      </c>
      <c r="E67" s="38">
        <v>72000</v>
      </c>
      <c r="F67" s="40"/>
      <c r="G67" s="38"/>
      <c r="H67" s="38"/>
      <c r="I67" s="38"/>
      <c r="J67" s="4">
        <f t="shared" si="3"/>
        <v>72000</v>
      </c>
      <c r="K67" s="105">
        <v>0</v>
      </c>
      <c r="L67" s="4">
        <f t="shared" si="4"/>
        <v>72000</v>
      </c>
    </row>
    <row r="68" spans="1:12" x14ac:dyDescent="0.2">
      <c r="A68" s="367"/>
      <c r="B68" s="392"/>
      <c r="C68" s="41" t="s">
        <v>34</v>
      </c>
      <c r="D68" s="38">
        <v>230000</v>
      </c>
      <c r="E68" s="38">
        <v>230000</v>
      </c>
      <c r="F68" s="40"/>
      <c r="G68" s="38"/>
      <c r="H68" s="38"/>
      <c r="I68" s="38"/>
      <c r="J68" s="4">
        <f t="shared" si="3"/>
        <v>230000</v>
      </c>
      <c r="K68" s="105">
        <v>0</v>
      </c>
      <c r="L68" s="4">
        <f t="shared" si="4"/>
        <v>230000</v>
      </c>
    </row>
    <row r="69" spans="1:12" x14ac:dyDescent="0.2">
      <c r="A69" s="367"/>
      <c r="B69" s="392"/>
      <c r="C69" s="41" t="s">
        <v>10</v>
      </c>
      <c r="D69" s="38">
        <v>8009100</v>
      </c>
      <c r="E69" s="38">
        <v>8009100</v>
      </c>
      <c r="F69" s="40"/>
      <c r="G69" s="38"/>
      <c r="H69" s="38"/>
      <c r="I69" s="38"/>
      <c r="J69" s="4">
        <f t="shared" si="3"/>
        <v>8009100</v>
      </c>
      <c r="K69" s="105">
        <v>750000</v>
      </c>
      <c r="L69" s="4">
        <f t="shared" si="4"/>
        <v>7259100</v>
      </c>
    </row>
    <row r="70" spans="1:12" x14ac:dyDescent="0.2">
      <c r="A70" s="367"/>
      <c r="B70" s="392"/>
      <c r="C70" s="41" t="s">
        <v>2</v>
      </c>
      <c r="D70" s="38">
        <v>14000000</v>
      </c>
      <c r="E70" s="38">
        <v>13999992</v>
      </c>
      <c r="F70" s="40"/>
      <c r="G70" s="38"/>
      <c r="H70" s="38"/>
      <c r="I70" s="38"/>
      <c r="J70" s="4">
        <f t="shared" si="3"/>
        <v>13999992</v>
      </c>
      <c r="K70" s="105">
        <v>6921600</v>
      </c>
      <c r="L70" s="4">
        <f t="shared" si="4"/>
        <v>7078392</v>
      </c>
    </row>
    <row r="71" spans="1:12" x14ac:dyDescent="0.2">
      <c r="A71" s="367"/>
      <c r="B71" s="392"/>
      <c r="C71" s="41" t="s">
        <v>35</v>
      </c>
      <c r="D71" s="38">
        <v>292100</v>
      </c>
      <c r="E71" s="38">
        <v>292100</v>
      </c>
      <c r="F71" s="40"/>
      <c r="G71" s="38"/>
      <c r="H71" s="38"/>
      <c r="I71" s="38"/>
      <c r="J71" s="4">
        <f t="shared" si="3"/>
        <v>292100</v>
      </c>
      <c r="K71" s="105">
        <v>0</v>
      </c>
      <c r="L71" s="4">
        <f t="shared" si="4"/>
        <v>292100</v>
      </c>
    </row>
    <row r="72" spans="1:12" x14ac:dyDescent="0.2">
      <c r="A72" s="367"/>
      <c r="B72" s="392"/>
      <c r="C72" s="41" t="s">
        <v>11</v>
      </c>
      <c r="D72" s="38">
        <v>5127921</v>
      </c>
      <c r="E72" s="38">
        <v>5127921</v>
      </c>
      <c r="F72" s="40"/>
      <c r="G72" s="38"/>
      <c r="H72" s="38"/>
      <c r="I72" s="38"/>
      <c r="J72" s="4">
        <f t="shared" si="3"/>
        <v>5127921</v>
      </c>
      <c r="K72" s="105">
        <v>1868832</v>
      </c>
      <c r="L72" s="4">
        <f t="shared" si="4"/>
        <v>3259089</v>
      </c>
    </row>
    <row r="73" spans="1:12" x14ac:dyDescent="0.2">
      <c r="A73" s="367"/>
      <c r="B73" s="392"/>
      <c r="C73" s="41" t="s">
        <v>12</v>
      </c>
      <c r="D73" s="38">
        <v>229492</v>
      </c>
      <c r="E73" s="38">
        <v>229492</v>
      </c>
      <c r="F73" s="40"/>
      <c r="G73" s="38"/>
      <c r="H73" s="38"/>
      <c r="I73" s="38"/>
      <c r="J73" s="4">
        <f t="shared" si="3"/>
        <v>229492</v>
      </c>
      <c r="K73" s="105">
        <v>0</v>
      </c>
      <c r="L73" s="4">
        <f t="shared" si="4"/>
        <v>229492</v>
      </c>
    </row>
    <row r="74" spans="1:12" x14ac:dyDescent="0.2">
      <c r="A74" s="367"/>
      <c r="B74" s="392"/>
      <c r="C74" s="41" t="s">
        <v>36</v>
      </c>
      <c r="D74" s="38">
        <v>0</v>
      </c>
      <c r="E74" s="38">
        <v>0</v>
      </c>
      <c r="F74" s="40"/>
      <c r="G74" s="38"/>
      <c r="H74" s="38"/>
      <c r="I74" s="38"/>
      <c r="J74" s="4">
        <f t="shared" si="3"/>
        <v>0</v>
      </c>
      <c r="K74" s="105">
        <v>0</v>
      </c>
      <c r="L74" s="4">
        <f t="shared" si="4"/>
        <v>0</v>
      </c>
    </row>
    <row r="75" spans="1:12" x14ac:dyDescent="0.2">
      <c r="A75" s="367"/>
      <c r="B75" s="392"/>
      <c r="C75" s="41" t="s">
        <v>31</v>
      </c>
      <c r="D75" s="38">
        <v>388897</v>
      </c>
      <c r="E75" s="38">
        <v>704400</v>
      </c>
      <c r="F75" s="40"/>
      <c r="G75" s="38"/>
      <c r="H75" s="38"/>
      <c r="I75" s="38"/>
      <c r="J75" s="4">
        <f t="shared" si="3"/>
        <v>704400</v>
      </c>
      <c r="K75" s="105">
        <v>704400</v>
      </c>
      <c r="L75" s="4">
        <f t="shared" si="4"/>
        <v>0</v>
      </c>
    </row>
    <row r="76" spans="1:12" x14ac:dyDescent="0.2">
      <c r="A76" s="367"/>
      <c r="B76" s="392"/>
      <c r="C76" s="41" t="s">
        <v>32</v>
      </c>
      <c r="D76" s="38">
        <v>0</v>
      </c>
      <c r="E76" s="38">
        <v>1818096</v>
      </c>
      <c r="F76" s="40"/>
      <c r="G76" s="38"/>
      <c r="H76" s="38"/>
      <c r="I76" s="38"/>
      <c r="J76" s="4">
        <f t="shared" si="3"/>
        <v>1818096</v>
      </c>
      <c r="K76" s="105">
        <v>1818096</v>
      </c>
      <c r="L76" s="4">
        <f t="shared" si="4"/>
        <v>0</v>
      </c>
    </row>
    <row r="77" spans="1:12" x14ac:dyDescent="0.2">
      <c r="A77" s="367"/>
      <c r="B77" s="392"/>
      <c r="C77" s="41" t="s">
        <v>13</v>
      </c>
      <c r="D77" s="38">
        <v>4296741</v>
      </c>
      <c r="E77" s="38">
        <v>2678560</v>
      </c>
      <c r="F77" s="40"/>
      <c r="G77" s="38"/>
      <c r="H77" s="38"/>
      <c r="I77" s="38"/>
      <c r="J77" s="4">
        <f t="shared" si="3"/>
        <v>2678560</v>
      </c>
      <c r="K77" s="105">
        <v>2568661</v>
      </c>
      <c r="L77" s="4">
        <f t="shared" si="4"/>
        <v>109899</v>
      </c>
    </row>
    <row r="78" spans="1:12" x14ac:dyDescent="0.2">
      <c r="A78" s="367"/>
      <c r="B78" s="392"/>
      <c r="C78" s="41" t="s">
        <v>14</v>
      </c>
      <c r="D78" s="38">
        <v>1265122</v>
      </c>
      <c r="E78" s="38">
        <v>1404285</v>
      </c>
      <c r="F78" s="40"/>
      <c r="G78" s="38"/>
      <c r="H78" s="38"/>
      <c r="I78" s="38"/>
      <c r="J78" s="4">
        <f t="shared" si="3"/>
        <v>1404285</v>
      </c>
      <c r="K78" s="105">
        <v>1374613</v>
      </c>
      <c r="L78" s="4">
        <f t="shared" si="4"/>
        <v>29672</v>
      </c>
    </row>
    <row r="79" spans="1:12" x14ac:dyDescent="0.2">
      <c r="A79" s="367"/>
      <c r="B79" s="392"/>
      <c r="C79" s="41" t="s">
        <v>15</v>
      </c>
      <c r="D79" s="38">
        <v>4121943</v>
      </c>
      <c r="E79" s="38">
        <v>4121943</v>
      </c>
      <c r="F79" s="40"/>
      <c r="G79" s="38"/>
      <c r="H79" s="38"/>
      <c r="I79" s="38"/>
      <c r="J79" s="4">
        <f t="shared" si="3"/>
        <v>4121943</v>
      </c>
      <c r="K79" s="105">
        <v>2828729</v>
      </c>
      <c r="L79" s="4">
        <f t="shared" si="4"/>
        <v>1293214</v>
      </c>
    </row>
    <row r="80" spans="1:12" x14ac:dyDescent="0.2">
      <c r="A80" s="340"/>
      <c r="B80" s="392"/>
      <c r="C80" s="41" t="s">
        <v>16</v>
      </c>
      <c r="D80" s="38">
        <v>1112924</v>
      </c>
      <c r="E80" s="38">
        <v>1112924</v>
      </c>
      <c r="F80" s="40"/>
      <c r="G80" s="38"/>
      <c r="H80" s="38"/>
      <c r="I80" s="38"/>
      <c r="J80" s="4">
        <f t="shared" si="3"/>
        <v>1112924</v>
      </c>
      <c r="K80" s="105">
        <v>493942</v>
      </c>
      <c r="L80" s="4">
        <f t="shared" si="4"/>
        <v>618982</v>
      </c>
    </row>
    <row r="81" spans="1:13" ht="16.5" customHeight="1" x14ac:dyDescent="0.2">
      <c r="A81" s="476" t="s">
        <v>127</v>
      </c>
      <c r="B81" s="470" t="s">
        <v>128</v>
      </c>
      <c r="C81" s="131" t="s">
        <v>7</v>
      </c>
      <c r="D81" s="42">
        <v>0</v>
      </c>
      <c r="E81" s="42">
        <v>3164484</v>
      </c>
      <c r="F81" s="43"/>
      <c r="G81" s="38"/>
      <c r="H81" s="38"/>
      <c r="I81" s="38"/>
      <c r="J81" s="4">
        <f t="shared" si="3"/>
        <v>3164484</v>
      </c>
      <c r="K81" s="105">
        <v>2637070</v>
      </c>
      <c r="L81" s="4">
        <f t="shared" si="4"/>
        <v>527414</v>
      </c>
    </row>
    <row r="82" spans="1:13" x14ac:dyDescent="0.2">
      <c r="A82" s="477"/>
      <c r="B82" s="475"/>
      <c r="C82" s="131" t="s">
        <v>9</v>
      </c>
      <c r="D82" s="42">
        <v>0</v>
      </c>
      <c r="E82" s="42">
        <v>553783</v>
      </c>
      <c r="F82" s="43"/>
      <c r="G82" s="38"/>
      <c r="H82" s="38"/>
      <c r="I82" s="38"/>
      <c r="J82" s="4">
        <f t="shared" si="3"/>
        <v>553783</v>
      </c>
      <c r="K82" s="105">
        <v>461485</v>
      </c>
      <c r="L82" s="4">
        <f t="shared" si="4"/>
        <v>92298</v>
      </c>
    </row>
    <row r="83" spans="1:13" x14ac:dyDescent="0.2">
      <c r="A83" s="477"/>
      <c r="B83" s="475"/>
      <c r="C83" s="131" t="s">
        <v>22</v>
      </c>
      <c r="D83" s="42">
        <v>0</v>
      </c>
      <c r="E83" s="42">
        <v>2406466</v>
      </c>
      <c r="F83" s="43"/>
      <c r="G83" s="38"/>
      <c r="H83" s="38"/>
      <c r="I83" s="38"/>
      <c r="J83" s="4">
        <f t="shared" si="3"/>
        <v>2406466</v>
      </c>
      <c r="K83" s="105">
        <v>2406466</v>
      </c>
      <c r="L83" s="4">
        <f t="shared" si="4"/>
        <v>0</v>
      </c>
      <c r="M83" s="166"/>
    </row>
    <row r="84" spans="1:13" x14ac:dyDescent="0.2">
      <c r="A84" s="477"/>
      <c r="B84" s="475"/>
      <c r="C84" s="131" t="s">
        <v>33</v>
      </c>
      <c r="D84" s="42">
        <v>0</v>
      </c>
      <c r="E84" s="42">
        <v>27244</v>
      </c>
      <c r="F84" s="43"/>
      <c r="G84" s="38"/>
      <c r="H84" s="38"/>
      <c r="I84" s="38"/>
      <c r="J84" s="4">
        <f t="shared" si="3"/>
        <v>27244</v>
      </c>
      <c r="K84" s="105">
        <v>27244</v>
      </c>
      <c r="L84" s="4">
        <f t="shared" si="4"/>
        <v>0</v>
      </c>
      <c r="M84" s="166"/>
    </row>
    <row r="85" spans="1:13" x14ac:dyDescent="0.2">
      <c r="A85" s="477"/>
      <c r="B85" s="475"/>
      <c r="C85" s="131" t="s">
        <v>34</v>
      </c>
      <c r="D85" s="42">
        <v>0</v>
      </c>
      <c r="E85" s="42">
        <v>540157</v>
      </c>
      <c r="F85" s="43"/>
      <c r="G85" s="38"/>
      <c r="H85" s="38"/>
      <c r="I85" s="38"/>
      <c r="J85" s="4">
        <f t="shared" si="3"/>
        <v>540157</v>
      </c>
      <c r="K85" s="105">
        <v>0</v>
      </c>
      <c r="L85" s="4">
        <f t="shared" si="4"/>
        <v>540157</v>
      </c>
      <c r="M85" s="166"/>
    </row>
    <row r="86" spans="1:13" x14ac:dyDescent="0.2">
      <c r="A86" s="477"/>
      <c r="B86" s="475"/>
      <c r="C86" s="131" t="s">
        <v>10</v>
      </c>
      <c r="D86" s="42">
        <v>0</v>
      </c>
      <c r="E86" s="42">
        <v>846181</v>
      </c>
      <c r="F86" s="43"/>
      <c r="G86" s="38"/>
      <c r="H86" s="38"/>
      <c r="I86" s="38"/>
      <c r="J86" s="4">
        <f t="shared" si="3"/>
        <v>846181</v>
      </c>
      <c r="K86" s="105">
        <v>0</v>
      </c>
      <c r="L86" s="4">
        <f t="shared" si="4"/>
        <v>846181</v>
      </c>
      <c r="M86" s="166"/>
    </row>
    <row r="87" spans="1:13" x14ac:dyDescent="0.2">
      <c r="A87" s="477"/>
      <c r="B87" s="475"/>
      <c r="C87" s="131" t="s">
        <v>2</v>
      </c>
      <c r="D87" s="42">
        <v>0</v>
      </c>
      <c r="E87" s="42">
        <v>3987559</v>
      </c>
      <c r="F87" s="43"/>
      <c r="G87" s="38"/>
      <c r="H87" s="38"/>
      <c r="I87" s="38"/>
      <c r="J87" s="4">
        <f t="shared" si="3"/>
        <v>3987559</v>
      </c>
      <c r="K87" s="105">
        <v>3283622</v>
      </c>
      <c r="L87" s="4">
        <f t="shared" si="4"/>
        <v>703937</v>
      </c>
      <c r="M87" s="166"/>
    </row>
    <row r="88" spans="1:13" x14ac:dyDescent="0.2">
      <c r="A88" s="477"/>
      <c r="B88" s="475"/>
      <c r="C88" s="131" t="s">
        <v>117</v>
      </c>
      <c r="D88" s="42">
        <v>0</v>
      </c>
      <c r="E88" s="42">
        <v>354000</v>
      </c>
      <c r="F88" s="43"/>
      <c r="G88" s="38"/>
      <c r="H88" s="38"/>
      <c r="I88" s="38"/>
      <c r="J88" s="4">
        <f t="shared" si="3"/>
        <v>354000</v>
      </c>
      <c r="K88" s="105">
        <v>0</v>
      </c>
      <c r="L88" s="4">
        <f t="shared" si="4"/>
        <v>354000</v>
      </c>
      <c r="M88" s="166"/>
    </row>
    <row r="89" spans="1:13" x14ac:dyDescent="0.2">
      <c r="A89" s="477"/>
      <c r="B89" s="475"/>
      <c r="C89" s="131" t="s">
        <v>11</v>
      </c>
      <c r="D89" s="42">
        <v>0</v>
      </c>
      <c r="E89" s="42">
        <v>1059878</v>
      </c>
      <c r="F89" s="43"/>
      <c r="G89" s="38"/>
      <c r="H89" s="38"/>
      <c r="I89" s="38"/>
      <c r="J89" s="4">
        <f t="shared" si="3"/>
        <v>1059878</v>
      </c>
      <c r="K89" s="105">
        <v>666180</v>
      </c>
      <c r="L89" s="120">
        <f t="shared" si="4"/>
        <v>393698</v>
      </c>
      <c r="M89" s="166"/>
    </row>
    <row r="90" spans="1:13" x14ac:dyDescent="0.2">
      <c r="A90" s="477"/>
      <c r="B90" s="475"/>
      <c r="C90" s="131" t="s">
        <v>12</v>
      </c>
      <c r="D90" s="42">
        <v>0</v>
      </c>
      <c r="E90" s="42">
        <v>900000</v>
      </c>
      <c r="F90" s="43"/>
      <c r="G90" s="38"/>
      <c r="H90" s="38"/>
      <c r="I90" s="38"/>
      <c r="J90" s="4">
        <f t="shared" si="3"/>
        <v>900000</v>
      </c>
      <c r="K90" s="105">
        <v>900000</v>
      </c>
      <c r="L90" s="4">
        <f t="shared" si="4"/>
        <v>0</v>
      </c>
      <c r="M90" s="166"/>
    </row>
    <row r="91" spans="1:13" x14ac:dyDescent="0.2">
      <c r="A91" s="477"/>
      <c r="B91" s="475"/>
      <c r="C91" s="131" t="s">
        <v>31</v>
      </c>
      <c r="D91" s="42">
        <v>0</v>
      </c>
      <c r="E91" s="42">
        <v>262453</v>
      </c>
      <c r="F91" s="43"/>
      <c r="G91" s="38"/>
      <c r="H91" s="38"/>
      <c r="I91" s="38"/>
      <c r="J91" s="4">
        <f t="shared" si="3"/>
        <v>262453</v>
      </c>
      <c r="K91" s="105">
        <v>262453</v>
      </c>
      <c r="L91" s="4">
        <f t="shared" si="4"/>
        <v>0</v>
      </c>
      <c r="M91" s="166"/>
    </row>
    <row r="92" spans="1:13" x14ac:dyDescent="0.2">
      <c r="A92" s="477"/>
      <c r="B92" s="475"/>
      <c r="C92" s="131" t="s">
        <v>32</v>
      </c>
      <c r="D92" s="42">
        <v>0</v>
      </c>
      <c r="E92" s="42">
        <v>376800</v>
      </c>
      <c r="F92" s="43">
        <v>345000</v>
      </c>
      <c r="G92" s="38"/>
      <c r="H92" s="38"/>
      <c r="I92" s="38"/>
      <c r="J92" s="4">
        <f t="shared" si="3"/>
        <v>721800</v>
      </c>
      <c r="K92" s="105">
        <v>721800</v>
      </c>
      <c r="L92" s="4">
        <f t="shared" si="4"/>
        <v>0</v>
      </c>
      <c r="M92" s="166"/>
    </row>
    <row r="93" spans="1:13" ht="13.5" customHeight="1" x14ac:dyDescent="0.2">
      <c r="A93" s="477"/>
      <c r="B93" s="475"/>
      <c r="C93" s="131" t="s">
        <v>13</v>
      </c>
      <c r="D93" s="42">
        <v>0</v>
      </c>
      <c r="E93" s="42">
        <v>7700200</v>
      </c>
      <c r="F93" s="43">
        <v>-345000</v>
      </c>
      <c r="G93" s="38"/>
      <c r="H93" s="38"/>
      <c r="I93" s="38"/>
      <c r="J93" s="4">
        <f t="shared" si="3"/>
        <v>7355200</v>
      </c>
      <c r="K93" s="105">
        <v>3314830</v>
      </c>
      <c r="L93" s="4">
        <f t="shared" si="4"/>
        <v>4040370</v>
      </c>
    </row>
    <row r="94" spans="1:13" ht="13.5" customHeight="1" x14ac:dyDescent="0.2">
      <c r="A94" s="477"/>
      <c r="B94" s="475"/>
      <c r="C94" s="131" t="s">
        <v>14</v>
      </c>
      <c r="D94" s="42">
        <v>0</v>
      </c>
      <c r="E94" s="42">
        <v>2251652</v>
      </c>
      <c r="F94" s="43"/>
      <c r="G94" s="38"/>
      <c r="H94" s="38"/>
      <c r="I94" s="38"/>
      <c r="J94" s="4">
        <f t="shared" si="3"/>
        <v>2251652</v>
      </c>
      <c r="K94" s="105">
        <v>1160752</v>
      </c>
      <c r="L94" s="4">
        <f t="shared" si="4"/>
        <v>1090900</v>
      </c>
    </row>
    <row r="95" spans="1:13" x14ac:dyDescent="0.2">
      <c r="A95" s="477"/>
      <c r="B95" s="475"/>
      <c r="C95" s="131" t="s">
        <v>15</v>
      </c>
      <c r="D95" s="42">
        <v>0</v>
      </c>
      <c r="E95" s="42">
        <v>30539278</v>
      </c>
      <c r="F95" s="43"/>
      <c r="G95" s="38"/>
      <c r="H95" s="38"/>
      <c r="I95" s="38"/>
      <c r="J95" s="4">
        <f t="shared" si="3"/>
        <v>30539278</v>
      </c>
      <c r="K95" s="105">
        <v>0</v>
      </c>
      <c r="L95" s="4">
        <f t="shared" si="4"/>
        <v>30539278</v>
      </c>
    </row>
    <row r="96" spans="1:13" x14ac:dyDescent="0.2">
      <c r="A96" s="478"/>
      <c r="B96" s="471"/>
      <c r="C96" s="131" t="s">
        <v>16</v>
      </c>
      <c r="D96" s="42">
        <v>0</v>
      </c>
      <c r="E96" s="42">
        <v>8245606</v>
      </c>
      <c r="F96" s="43"/>
      <c r="G96" s="38"/>
      <c r="H96" s="38"/>
      <c r="I96" s="38"/>
      <c r="J96" s="4">
        <f t="shared" si="3"/>
        <v>8245606</v>
      </c>
      <c r="K96" s="105">
        <v>0</v>
      </c>
      <c r="L96" s="4">
        <f t="shared" si="4"/>
        <v>8245606</v>
      </c>
    </row>
    <row r="97" spans="1:12" ht="23.25" customHeight="1" x14ac:dyDescent="0.2">
      <c r="A97" s="479" t="s">
        <v>86</v>
      </c>
      <c r="B97" s="480"/>
      <c r="C97" s="481"/>
      <c r="D97" s="138">
        <f t="shared" ref="D97:L97" si="5">SUM(D32:D96)</f>
        <v>426209554</v>
      </c>
      <c r="E97" s="138">
        <f t="shared" si="5"/>
        <v>521744064</v>
      </c>
      <c r="F97" s="138">
        <f t="shared" si="5"/>
        <v>0</v>
      </c>
      <c r="G97" s="138">
        <f t="shared" si="5"/>
        <v>-3633008</v>
      </c>
      <c r="H97" s="138">
        <f t="shared" si="5"/>
        <v>2000</v>
      </c>
      <c r="I97" s="138">
        <f t="shared" si="5"/>
        <v>-1328080</v>
      </c>
      <c r="J97" s="138">
        <f t="shared" si="5"/>
        <v>516784976</v>
      </c>
      <c r="K97" s="138">
        <f t="shared" si="5"/>
        <v>374332345</v>
      </c>
      <c r="L97" s="138">
        <f t="shared" si="5"/>
        <v>142452631</v>
      </c>
    </row>
    <row r="98" spans="1:12" x14ac:dyDescent="0.2">
      <c r="F98" s="2"/>
    </row>
    <row r="99" spans="1:12" x14ac:dyDescent="0.2">
      <c r="F99" s="2"/>
    </row>
    <row r="100" spans="1:12" x14ac:dyDescent="0.2">
      <c r="F100" s="2"/>
    </row>
    <row r="101" spans="1:12" ht="15.75" x14ac:dyDescent="0.25">
      <c r="A101" s="64" t="s">
        <v>140</v>
      </c>
      <c r="F101" s="2"/>
    </row>
    <row r="102" spans="1:12" x14ac:dyDescent="0.2">
      <c r="G102" s="73">
        <v>43799</v>
      </c>
      <c r="L102" s="55"/>
    </row>
    <row r="103" spans="1:12" s="85" customFormat="1" ht="33.75" x14ac:dyDescent="0.2">
      <c r="A103" s="387" t="s">
        <v>101</v>
      </c>
      <c r="B103" s="388"/>
      <c r="C103" s="84" t="s">
        <v>44</v>
      </c>
      <c r="D103" s="184" t="s">
        <v>21</v>
      </c>
      <c r="E103" s="185" t="s">
        <v>168</v>
      </c>
      <c r="F103" s="87" t="s">
        <v>43</v>
      </c>
      <c r="G103" s="100" t="s">
        <v>126</v>
      </c>
      <c r="H103" s="100" t="s">
        <v>83</v>
      </c>
      <c r="I103" s="100" t="s">
        <v>141</v>
      </c>
      <c r="J103" s="185" t="s">
        <v>172</v>
      </c>
      <c r="K103" s="106" t="s">
        <v>178</v>
      </c>
    </row>
    <row r="104" spans="1:12" x14ac:dyDescent="0.2">
      <c r="A104" s="389"/>
      <c r="B104" s="376"/>
      <c r="C104" s="63" t="s">
        <v>25</v>
      </c>
      <c r="D104" s="4">
        <f t="shared" ref="D104:K104" si="6">D30+D29+D28+D20+D15+D13+D11+D14+D9+D25</f>
        <v>393662673</v>
      </c>
      <c r="E104" s="4">
        <f t="shared" si="6"/>
        <v>439113813</v>
      </c>
      <c r="F104" s="4">
        <f t="shared" si="6"/>
        <v>0</v>
      </c>
      <c r="G104" s="4">
        <f t="shared" si="6"/>
        <v>-3633008</v>
      </c>
      <c r="H104" s="4">
        <f t="shared" si="6"/>
        <v>0</v>
      </c>
      <c r="I104" s="4">
        <f t="shared" si="6"/>
        <v>-1328080</v>
      </c>
      <c r="J104" s="4">
        <f t="shared" si="6"/>
        <v>434152725</v>
      </c>
      <c r="K104" s="4">
        <f t="shared" si="6"/>
        <v>373127220</v>
      </c>
    </row>
    <row r="105" spans="1:12" x14ac:dyDescent="0.2">
      <c r="A105" s="389"/>
      <c r="B105" s="376"/>
      <c r="C105" s="63" t="s">
        <v>37</v>
      </c>
      <c r="D105" s="4">
        <f t="shared" ref="D105:K105" si="7">D21+D16+D12+D26</f>
        <v>4500000</v>
      </c>
      <c r="E105" s="4">
        <f t="shared" si="7"/>
        <v>54530570</v>
      </c>
      <c r="F105" s="4">
        <f t="shared" si="7"/>
        <v>0</v>
      </c>
      <c r="G105" s="4">
        <f t="shared" si="7"/>
        <v>0</v>
      </c>
      <c r="H105" s="4">
        <f t="shared" si="7"/>
        <v>0</v>
      </c>
      <c r="I105" s="4">
        <f t="shared" si="7"/>
        <v>0</v>
      </c>
      <c r="J105" s="4">
        <f t="shared" si="7"/>
        <v>54530570</v>
      </c>
      <c r="K105" s="4">
        <f t="shared" si="7"/>
        <v>54352665</v>
      </c>
    </row>
    <row r="106" spans="1:12" x14ac:dyDescent="0.2">
      <c r="A106" s="389"/>
      <c r="B106" s="376"/>
      <c r="C106" s="63" t="s">
        <v>27</v>
      </c>
      <c r="D106" s="4">
        <f t="shared" ref="D106:I107" si="8">D6</f>
        <v>0</v>
      </c>
      <c r="E106" s="4">
        <f t="shared" si="8"/>
        <v>41943</v>
      </c>
      <c r="F106" s="4">
        <v>0</v>
      </c>
      <c r="G106" s="4">
        <f t="shared" si="8"/>
        <v>0</v>
      </c>
      <c r="H106" s="4">
        <f t="shared" si="8"/>
        <v>2000</v>
      </c>
      <c r="I106" s="4">
        <f t="shared" si="8"/>
        <v>0</v>
      </c>
      <c r="J106" s="4">
        <v>0</v>
      </c>
      <c r="K106" s="4">
        <v>0</v>
      </c>
    </row>
    <row r="107" spans="1:12" x14ac:dyDescent="0.2">
      <c r="A107" s="389"/>
      <c r="B107" s="376"/>
      <c r="C107" s="63" t="s">
        <v>139</v>
      </c>
      <c r="D107" s="4">
        <f t="shared" si="8"/>
        <v>0</v>
      </c>
      <c r="E107" s="4">
        <f t="shared" si="8"/>
        <v>10800</v>
      </c>
      <c r="F107" s="4">
        <f t="shared" si="8"/>
        <v>0</v>
      </c>
      <c r="G107" s="4">
        <f t="shared" si="8"/>
        <v>0</v>
      </c>
      <c r="H107" s="4">
        <f t="shared" si="8"/>
        <v>0</v>
      </c>
      <c r="I107" s="4">
        <f t="shared" si="8"/>
        <v>0</v>
      </c>
      <c r="J107" s="4">
        <f>J7</f>
        <v>10800</v>
      </c>
      <c r="K107" s="4">
        <f>K7</f>
        <v>10800</v>
      </c>
    </row>
    <row r="108" spans="1:12" x14ac:dyDescent="0.2">
      <c r="A108" s="389"/>
      <c r="B108" s="376"/>
      <c r="C108" s="63" t="s">
        <v>40</v>
      </c>
      <c r="D108" s="4">
        <f t="shared" ref="D108:K108" si="9">D24+D18+D8</f>
        <v>2300</v>
      </c>
      <c r="E108" s="4">
        <f t="shared" si="9"/>
        <v>2357</v>
      </c>
      <c r="F108" s="4">
        <f t="shared" si="9"/>
        <v>0</v>
      </c>
      <c r="G108" s="4">
        <f t="shared" si="9"/>
        <v>0</v>
      </c>
      <c r="H108" s="4">
        <f t="shared" si="9"/>
        <v>0</v>
      </c>
      <c r="I108" s="4">
        <f t="shared" si="9"/>
        <v>0</v>
      </c>
      <c r="J108" s="4">
        <f t="shared" si="9"/>
        <v>2357</v>
      </c>
      <c r="K108" s="4">
        <f t="shared" si="9"/>
        <v>1496</v>
      </c>
    </row>
    <row r="109" spans="1:12" x14ac:dyDescent="0.2">
      <c r="A109" s="389"/>
      <c r="B109" s="376"/>
      <c r="C109" s="63" t="s">
        <v>41</v>
      </c>
      <c r="D109" s="4">
        <f t="shared" ref="D109:J109" si="10">D19+D23+D6+D27</f>
        <v>0</v>
      </c>
      <c r="E109" s="4">
        <f t="shared" si="10"/>
        <v>41943</v>
      </c>
      <c r="F109" s="4">
        <f>F19+F23+F6+F27</f>
        <v>0</v>
      </c>
      <c r="G109" s="4">
        <f t="shared" si="10"/>
        <v>0</v>
      </c>
      <c r="H109" s="4">
        <f t="shared" si="10"/>
        <v>2000</v>
      </c>
      <c r="I109" s="4">
        <f t="shared" si="10"/>
        <v>0</v>
      </c>
      <c r="J109" s="4">
        <f t="shared" si="10"/>
        <v>43943</v>
      </c>
      <c r="K109" s="4">
        <f>K19+K23+K6+K27</f>
        <v>41943</v>
      </c>
    </row>
    <row r="110" spans="1:12" x14ac:dyDescent="0.2">
      <c r="A110" s="389"/>
      <c r="B110" s="376"/>
      <c r="C110" s="65" t="s">
        <v>93</v>
      </c>
      <c r="D110" s="66">
        <f t="shared" ref="D110:J110" si="11">D24+D23+D19+D18+D8+D7+D6+D27</f>
        <v>2300</v>
      </c>
      <c r="E110" s="66">
        <f t="shared" si="11"/>
        <v>55100</v>
      </c>
      <c r="F110" s="66">
        <f t="shared" si="11"/>
        <v>0</v>
      </c>
      <c r="G110" s="66">
        <f t="shared" si="11"/>
        <v>0</v>
      </c>
      <c r="H110" s="66">
        <f t="shared" si="11"/>
        <v>2000</v>
      </c>
      <c r="I110" s="66">
        <f t="shared" si="11"/>
        <v>0</v>
      </c>
      <c r="J110" s="66">
        <f t="shared" si="11"/>
        <v>57100</v>
      </c>
      <c r="K110" s="66">
        <f>K24+K23+K19+K18+K8+K7+K6+K27</f>
        <v>54239</v>
      </c>
      <c r="L110" s="1"/>
    </row>
    <row r="111" spans="1:12" x14ac:dyDescent="0.2">
      <c r="A111" s="389"/>
      <c r="B111" s="376"/>
      <c r="C111" s="63" t="s">
        <v>28</v>
      </c>
      <c r="D111" s="4">
        <f t="shared" ref="D111:K111" si="12">D22+D17+D10</f>
        <v>28044581</v>
      </c>
      <c r="E111" s="4">
        <f t="shared" si="12"/>
        <v>28044581</v>
      </c>
      <c r="F111" s="4">
        <f t="shared" si="12"/>
        <v>0</v>
      </c>
      <c r="G111" s="4">
        <f t="shared" si="12"/>
        <v>0</v>
      </c>
      <c r="H111" s="4">
        <f t="shared" si="12"/>
        <v>0</v>
      </c>
      <c r="I111" s="4">
        <f t="shared" si="12"/>
        <v>0</v>
      </c>
      <c r="J111" s="4">
        <f t="shared" si="12"/>
        <v>28044581</v>
      </c>
      <c r="K111" s="107">
        <f t="shared" si="12"/>
        <v>28044581</v>
      </c>
    </row>
    <row r="112" spans="1:12" x14ac:dyDescent="0.2">
      <c r="A112" s="389"/>
      <c r="B112" s="376"/>
      <c r="C112" s="65" t="s">
        <v>92</v>
      </c>
      <c r="D112" s="66">
        <f t="shared" ref="D112:K112" si="13">D22+D17+D10</f>
        <v>28044581</v>
      </c>
      <c r="E112" s="66">
        <f t="shared" si="13"/>
        <v>28044581</v>
      </c>
      <c r="F112" s="66">
        <f t="shared" si="13"/>
        <v>0</v>
      </c>
      <c r="G112" s="66">
        <f t="shared" si="13"/>
        <v>0</v>
      </c>
      <c r="H112" s="66">
        <f t="shared" si="13"/>
        <v>0</v>
      </c>
      <c r="I112" s="66">
        <f t="shared" si="13"/>
        <v>0</v>
      </c>
      <c r="J112" s="66">
        <f t="shared" si="13"/>
        <v>28044581</v>
      </c>
      <c r="K112" s="109">
        <f t="shared" si="13"/>
        <v>28044581</v>
      </c>
      <c r="L112" s="1"/>
    </row>
    <row r="113" spans="1:12" x14ac:dyDescent="0.2">
      <c r="A113" s="389"/>
      <c r="B113" s="376"/>
      <c r="C113" s="65" t="s">
        <v>102</v>
      </c>
      <c r="D113" s="66">
        <f t="shared" ref="D113:K113" si="14">D31</f>
        <v>426209554</v>
      </c>
      <c r="E113" s="66">
        <f t="shared" si="14"/>
        <v>521744064</v>
      </c>
      <c r="F113" s="66">
        <f t="shared" si="14"/>
        <v>0</v>
      </c>
      <c r="G113" s="66">
        <f t="shared" si="14"/>
        <v>-3633008</v>
      </c>
      <c r="H113" s="66">
        <f t="shared" si="14"/>
        <v>2000</v>
      </c>
      <c r="I113" s="66">
        <f t="shared" si="14"/>
        <v>-1328080</v>
      </c>
      <c r="J113" s="66">
        <f t="shared" si="14"/>
        <v>516784976</v>
      </c>
      <c r="K113" s="66">
        <f t="shared" si="14"/>
        <v>455578705</v>
      </c>
      <c r="L113" s="1"/>
    </row>
    <row r="114" spans="1:12" x14ac:dyDescent="0.2">
      <c r="A114" s="389"/>
      <c r="B114" s="376"/>
      <c r="C114" s="63" t="s">
        <v>7</v>
      </c>
      <c r="D114" s="4">
        <f>D63+D50+D81</f>
        <v>970000</v>
      </c>
      <c r="E114" s="4">
        <f>E63+E50+E81</f>
        <v>4134484</v>
      </c>
      <c r="F114" s="4">
        <f t="shared" ref="F114:K114" si="15">F63+F50+F81</f>
        <v>0</v>
      </c>
      <c r="G114" s="4">
        <f t="shared" si="15"/>
        <v>0</v>
      </c>
      <c r="H114" s="4">
        <f t="shared" si="15"/>
        <v>0</v>
      </c>
      <c r="I114" s="4">
        <f t="shared" si="15"/>
        <v>0</v>
      </c>
      <c r="J114" s="4">
        <f t="shared" si="15"/>
        <v>4134484</v>
      </c>
      <c r="K114" s="120">
        <f t="shared" si="15"/>
        <v>3407070</v>
      </c>
    </row>
    <row r="115" spans="1:12" x14ac:dyDescent="0.2">
      <c r="A115" s="389"/>
      <c r="B115" s="376"/>
      <c r="C115" s="63" t="s">
        <v>88</v>
      </c>
      <c r="D115" s="4">
        <f>D64</f>
        <v>10791000</v>
      </c>
      <c r="E115" s="4">
        <f>E64</f>
        <v>10791000</v>
      </c>
      <c r="F115" s="4">
        <f t="shared" ref="F115:K115" si="16">F64</f>
        <v>0</v>
      </c>
      <c r="G115" s="4">
        <f t="shared" si="16"/>
        <v>0</v>
      </c>
      <c r="H115" s="4">
        <f t="shared" si="16"/>
        <v>0</v>
      </c>
      <c r="I115" s="4">
        <f t="shared" si="16"/>
        <v>0</v>
      </c>
      <c r="J115" s="4">
        <f t="shared" si="16"/>
        <v>10791000</v>
      </c>
      <c r="K115" s="120">
        <f t="shared" si="16"/>
        <v>950000</v>
      </c>
    </row>
    <row r="116" spans="1:12" x14ac:dyDescent="0.2">
      <c r="A116" s="389"/>
      <c r="B116" s="376"/>
      <c r="C116" s="65" t="s">
        <v>94</v>
      </c>
      <c r="D116" s="66">
        <f>D64+D63+D50+D81</f>
        <v>11761000</v>
      </c>
      <c r="E116" s="66">
        <f>E64+E63+E50+E81</f>
        <v>14925484</v>
      </c>
      <c r="F116" s="66">
        <f t="shared" ref="F116:K116" si="17">F64+F63+F50+F81</f>
        <v>0</v>
      </c>
      <c r="G116" s="66">
        <f t="shared" si="17"/>
        <v>0</v>
      </c>
      <c r="H116" s="66">
        <f t="shared" si="17"/>
        <v>0</v>
      </c>
      <c r="I116" s="66">
        <f t="shared" si="17"/>
        <v>0</v>
      </c>
      <c r="J116" s="66">
        <f t="shared" si="17"/>
        <v>14925484</v>
      </c>
      <c r="K116" s="66">
        <f t="shared" si="17"/>
        <v>4357070</v>
      </c>
      <c r="L116" s="1"/>
    </row>
    <row r="117" spans="1:12" x14ac:dyDescent="0.2">
      <c r="A117" s="389"/>
      <c r="B117" s="376"/>
      <c r="C117" s="65" t="s">
        <v>9</v>
      </c>
      <c r="D117" s="66">
        <f>D65+D51+D82</f>
        <v>3112282</v>
      </c>
      <c r="E117" s="66">
        <f>E65+E51+E82</f>
        <v>3666065</v>
      </c>
      <c r="F117" s="66">
        <f t="shared" ref="F117:K117" si="18">F65+F51+F82</f>
        <v>0</v>
      </c>
      <c r="G117" s="66">
        <f t="shared" si="18"/>
        <v>0</v>
      </c>
      <c r="H117" s="66">
        <f t="shared" si="18"/>
        <v>0</v>
      </c>
      <c r="I117" s="66">
        <f t="shared" si="18"/>
        <v>0</v>
      </c>
      <c r="J117" s="66">
        <f t="shared" si="18"/>
        <v>3666065</v>
      </c>
      <c r="K117" s="66">
        <f t="shared" si="18"/>
        <v>606035</v>
      </c>
      <c r="L117" s="1"/>
    </row>
    <row r="118" spans="1:12" x14ac:dyDescent="0.2">
      <c r="A118" s="389"/>
      <c r="B118" s="376"/>
      <c r="C118" s="63" t="s">
        <v>22</v>
      </c>
      <c r="D118" s="4">
        <f t="shared" ref="D118:I118" si="19">D66+D32</f>
        <v>254000</v>
      </c>
      <c r="E118" s="4">
        <f t="shared" si="19"/>
        <v>254000</v>
      </c>
      <c r="F118" s="4">
        <f t="shared" si="19"/>
        <v>0</v>
      </c>
      <c r="G118" s="4">
        <f t="shared" si="19"/>
        <v>0</v>
      </c>
      <c r="H118" s="4">
        <f t="shared" si="19"/>
        <v>0</v>
      </c>
      <c r="I118" s="4">
        <f t="shared" si="19"/>
        <v>0</v>
      </c>
      <c r="J118" s="4">
        <f>J66+J32+J83</f>
        <v>2660466</v>
      </c>
      <c r="K118" s="4">
        <f>K66+K32+K83</f>
        <v>2406466</v>
      </c>
    </row>
    <row r="119" spans="1:12" x14ac:dyDescent="0.2">
      <c r="A119" s="389"/>
      <c r="B119" s="376"/>
      <c r="C119" s="63" t="s">
        <v>33</v>
      </c>
      <c r="D119" s="4">
        <f>D67</f>
        <v>72000</v>
      </c>
      <c r="E119" s="4">
        <f>E67</f>
        <v>72000</v>
      </c>
      <c r="F119" s="4">
        <f>F67+F84</f>
        <v>0</v>
      </c>
      <c r="G119" s="4">
        <f t="shared" ref="G119:J119" si="20">G67+G84</f>
        <v>0</v>
      </c>
      <c r="H119" s="4">
        <f t="shared" si="20"/>
        <v>0</v>
      </c>
      <c r="I119" s="4">
        <f t="shared" si="20"/>
        <v>0</v>
      </c>
      <c r="J119" s="4">
        <f t="shared" si="20"/>
        <v>99244</v>
      </c>
      <c r="K119" s="4">
        <f>K67+K84</f>
        <v>27244</v>
      </c>
    </row>
    <row r="120" spans="1:12" x14ac:dyDescent="0.2">
      <c r="A120" s="389"/>
      <c r="B120" s="376"/>
      <c r="C120" s="63" t="s">
        <v>89</v>
      </c>
      <c r="D120" s="4">
        <f t="shared" ref="D120:K120" si="21">D33</f>
        <v>1870</v>
      </c>
      <c r="E120" s="4">
        <f t="shared" si="21"/>
        <v>1870</v>
      </c>
      <c r="F120" s="4">
        <f t="shared" si="21"/>
        <v>0</v>
      </c>
      <c r="G120" s="4">
        <f t="shared" si="21"/>
        <v>0</v>
      </c>
      <c r="H120" s="4">
        <f t="shared" si="21"/>
        <v>0</v>
      </c>
      <c r="I120" s="4">
        <f t="shared" si="21"/>
        <v>0</v>
      </c>
      <c r="J120" s="4">
        <f t="shared" si="21"/>
        <v>1870</v>
      </c>
      <c r="K120" s="107">
        <f t="shared" si="21"/>
        <v>0</v>
      </c>
    </row>
    <row r="121" spans="1:12" x14ac:dyDescent="0.2">
      <c r="A121" s="389"/>
      <c r="B121" s="376"/>
      <c r="C121" s="63" t="s">
        <v>34</v>
      </c>
      <c r="D121" s="4">
        <f>D68+D85</f>
        <v>230000</v>
      </c>
      <c r="E121" s="4">
        <f>E68+E85</f>
        <v>770157</v>
      </c>
      <c r="F121" s="4">
        <f t="shared" ref="F121:K121" si="22">F68+F85</f>
        <v>0</v>
      </c>
      <c r="G121" s="4">
        <f t="shared" si="22"/>
        <v>0</v>
      </c>
      <c r="H121" s="4">
        <f t="shared" si="22"/>
        <v>0</v>
      </c>
      <c r="I121" s="4">
        <f t="shared" si="22"/>
        <v>0</v>
      </c>
      <c r="J121" s="4">
        <f t="shared" si="22"/>
        <v>770157</v>
      </c>
      <c r="K121" s="4">
        <f t="shared" si="22"/>
        <v>0</v>
      </c>
    </row>
    <row r="122" spans="1:12" x14ac:dyDescent="0.2">
      <c r="A122" s="389"/>
      <c r="B122" s="376"/>
      <c r="C122" s="63" t="s">
        <v>10</v>
      </c>
      <c r="D122" s="4">
        <f t="shared" ref="D122:J122" si="23">D69+D52+D34+D86</f>
        <v>8009100</v>
      </c>
      <c r="E122" s="4">
        <f t="shared" si="23"/>
        <v>8905281</v>
      </c>
      <c r="F122" s="4">
        <f t="shared" si="23"/>
        <v>0</v>
      </c>
      <c r="G122" s="4">
        <f t="shared" si="23"/>
        <v>0</v>
      </c>
      <c r="H122" s="4">
        <f t="shared" si="23"/>
        <v>0</v>
      </c>
      <c r="I122" s="4">
        <f t="shared" si="23"/>
        <v>0</v>
      </c>
      <c r="J122" s="4">
        <f t="shared" si="23"/>
        <v>8905281</v>
      </c>
      <c r="K122" s="4">
        <f>K69+K52+K34+K86</f>
        <v>800000</v>
      </c>
    </row>
    <row r="123" spans="1:12" x14ac:dyDescent="0.2">
      <c r="A123" s="389"/>
      <c r="B123" s="376"/>
      <c r="C123" s="63" t="s">
        <v>2</v>
      </c>
      <c r="D123" s="4">
        <f t="shared" ref="D123:K123" si="24">D70+D53+D35+D62+D87</f>
        <v>31883770</v>
      </c>
      <c r="E123" s="4">
        <f t="shared" si="24"/>
        <v>37346255</v>
      </c>
      <c r="F123" s="4">
        <f>F70+F53+F35+F62+F87</f>
        <v>60000</v>
      </c>
      <c r="G123" s="4">
        <f t="shared" si="24"/>
        <v>0</v>
      </c>
      <c r="H123" s="4">
        <f t="shared" si="24"/>
        <v>0</v>
      </c>
      <c r="I123" s="4">
        <f t="shared" si="24"/>
        <v>0</v>
      </c>
      <c r="J123" s="4">
        <f t="shared" si="24"/>
        <v>37406255</v>
      </c>
      <c r="K123" s="4">
        <f t="shared" si="24"/>
        <v>17623381</v>
      </c>
    </row>
    <row r="124" spans="1:12" x14ac:dyDescent="0.2">
      <c r="A124" s="389"/>
      <c r="B124" s="376"/>
      <c r="C124" s="63" t="s">
        <v>35</v>
      </c>
      <c r="D124" s="4">
        <f>D71</f>
        <v>292100</v>
      </c>
      <c r="E124" s="4">
        <f>E71</f>
        <v>292100</v>
      </c>
      <c r="F124" s="4">
        <f t="shared" ref="F124:K124" si="25">F71</f>
        <v>0</v>
      </c>
      <c r="G124" s="4">
        <f t="shared" si="25"/>
        <v>0</v>
      </c>
      <c r="H124" s="4">
        <f t="shared" si="25"/>
        <v>0</v>
      </c>
      <c r="I124" s="4">
        <f t="shared" si="25"/>
        <v>0</v>
      </c>
      <c r="J124" s="4">
        <f t="shared" si="25"/>
        <v>292100</v>
      </c>
      <c r="K124" s="107">
        <f t="shared" si="25"/>
        <v>0</v>
      </c>
    </row>
    <row r="125" spans="1:12" x14ac:dyDescent="0.2">
      <c r="A125" s="389"/>
      <c r="B125" s="376"/>
      <c r="C125" s="63" t="s">
        <v>117</v>
      </c>
      <c r="D125" s="108">
        <f t="shared" ref="D125:J125" si="26">D36+D88</f>
        <v>0</v>
      </c>
      <c r="E125" s="108">
        <f t="shared" si="26"/>
        <v>427260</v>
      </c>
      <c r="F125" s="108">
        <f t="shared" si="26"/>
        <v>0</v>
      </c>
      <c r="G125" s="108">
        <f t="shared" si="26"/>
        <v>0</v>
      </c>
      <c r="H125" s="108">
        <f t="shared" si="26"/>
        <v>0</v>
      </c>
      <c r="I125" s="108">
        <f t="shared" si="26"/>
        <v>0</v>
      </c>
      <c r="J125" s="108">
        <f t="shared" si="26"/>
        <v>427260</v>
      </c>
      <c r="K125" s="108">
        <f>K36+K88</f>
        <v>73260</v>
      </c>
    </row>
    <row r="126" spans="1:12" x14ac:dyDescent="0.2">
      <c r="A126" s="389"/>
      <c r="B126" s="376"/>
      <c r="C126" s="63" t="s">
        <v>11</v>
      </c>
      <c r="D126" s="4">
        <f t="shared" ref="D126:I126" si="27">D72+D54+D37</f>
        <v>5188185</v>
      </c>
      <c r="E126" s="4">
        <f t="shared" si="27"/>
        <v>5721327</v>
      </c>
      <c r="F126" s="4">
        <f>F72+F54+F37+F89</f>
        <v>0</v>
      </c>
      <c r="G126" s="4">
        <f t="shared" si="27"/>
        <v>0</v>
      </c>
      <c r="H126" s="4">
        <f t="shared" si="27"/>
        <v>0</v>
      </c>
      <c r="I126" s="4">
        <f t="shared" si="27"/>
        <v>0</v>
      </c>
      <c r="J126" s="4">
        <f>J72+J54+J37+J89</f>
        <v>6781205</v>
      </c>
      <c r="K126" s="4">
        <f>K72+K54+K37+K89</f>
        <v>2611269</v>
      </c>
    </row>
    <row r="127" spans="1:12" x14ac:dyDescent="0.2">
      <c r="A127" s="389"/>
      <c r="B127" s="376"/>
      <c r="C127" s="63" t="s">
        <v>91</v>
      </c>
      <c r="D127" s="4">
        <f t="shared" ref="D127:K127" si="28">D38</f>
        <v>0</v>
      </c>
      <c r="E127" s="4">
        <f t="shared" si="28"/>
        <v>83000</v>
      </c>
      <c r="F127" s="4">
        <f t="shared" si="28"/>
        <v>0</v>
      </c>
      <c r="G127" s="4">
        <f t="shared" si="28"/>
        <v>0</v>
      </c>
      <c r="H127" s="4">
        <f t="shared" si="28"/>
        <v>0</v>
      </c>
      <c r="I127" s="4">
        <f t="shared" si="28"/>
        <v>0</v>
      </c>
      <c r="J127" s="4">
        <f t="shared" si="28"/>
        <v>83000</v>
      </c>
      <c r="K127" s="107">
        <f t="shared" si="28"/>
        <v>83000</v>
      </c>
    </row>
    <row r="128" spans="1:12" x14ac:dyDescent="0.2">
      <c r="A128" s="389"/>
      <c r="B128" s="376"/>
      <c r="C128" s="63" t="s">
        <v>12</v>
      </c>
      <c r="D128" s="4">
        <f t="shared" ref="D128:J128" si="29">D73+D55+D90+D39+D43</f>
        <v>229492</v>
      </c>
      <c r="E128" s="4">
        <f t="shared" si="29"/>
        <v>1312711</v>
      </c>
      <c r="F128" s="4">
        <f>F73+F55+F90+F39+F43</f>
        <v>0</v>
      </c>
      <c r="G128" s="4">
        <f t="shared" si="29"/>
        <v>0</v>
      </c>
      <c r="H128" s="4">
        <f t="shared" si="29"/>
        <v>2000</v>
      </c>
      <c r="I128" s="4">
        <f t="shared" si="29"/>
        <v>0</v>
      </c>
      <c r="J128" s="4">
        <f t="shared" si="29"/>
        <v>1314711</v>
      </c>
      <c r="K128" s="4">
        <f>K73+K55+K90+K39+K43</f>
        <v>1083538</v>
      </c>
    </row>
    <row r="129" spans="1:12" x14ac:dyDescent="0.2">
      <c r="A129" s="389"/>
      <c r="B129" s="376"/>
      <c r="C129" s="65" t="s">
        <v>95</v>
      </c>
      <c r="D129" s="66">
        <f t="shared" ref="D129:J129" si="30">D73+D72+D71+D70+D69+D68+D67+D66+D55+D54+D53+D52+D38+D37+D35+D33+D32+D62+D36+D85+D87+D90+D89+D83+D39+D34+D86+D88+D43</f>
        <v>46160517</v>
      </c>
      <c r="E129" s="66">
        <f t="shared" si="30"/>
        <v>58652305</v>
      </c>
      <c r="F129" s="66">
        <f>F73+F72+F71+F70+F69+F68+F67+F66+F55+F54+F53+F52+F38+F37+F35+F33+F32+F62+F36+F85+F87+F90+F89+F83+F39+F34+F86+F88+F43+F84</f>
        <v>60000</v>
      </c>
      <c r="G129" s="66">
        <f t="shared" si="30"/>
        <v>0</v>
      </c>
      <c r="H129" s="66">
        <f t="shared" si="30"/>
        <v>2000</v>
      </c>
      <c r="I129" s="66">
        <f t="shared" si="30"/>
        <v>0</v>
      </c>
      <c r="J129" s="66">
        <f t="shared" si="30"/>
        <v>58714305</v>
      </c>
      <c r="K129" s="66">
        <f>K73+K72+K71+K70+K69+K68+K67+K66+K55+K54+K53+K52+K38+K37+K35+K33+K32+K62+K36+K85+K87+K90+K89+K83+K39+K34+K86+K88+K43+K84</f>
        <v>24708158</v>
      </c>
      <c r="L129" s="1"/>
    </row>
    <row r="130" spans="1:12" x14ac:dyDescent="0.2">
      <c r="A130" s="389"/>
      <c r="B130" s="376"/>
      <c r="C130" s="63" t="s">
        <v>36</v>
      </c>
      <c r="D130" s="4">
        <f>D74</f>
        <v>0</v>
      </c>
      <c r="E130" s="4">
        <f>E74</f>
        <v>0</v>
      </c>
      <c r="F130" s="4">
        <f t="shared" ref="F130:K130" si="31">F74</f>
        <v>0</v>
      </c>
      <c r="G130" s="4">
        <f t="shared" si="31"/>
        <v>0</v>
      </c>
      <c r="H130" s="4">
        <f t="shared" si="31"/>
        <v>0</v>
      </c>
      <c r="I130" s="4">
        <f t="shared" si="31"/>
        <v>0</v>
      </c>
      <c r="J130" s="4">
        <f t="shared" si="31"/>
        <v>0</v>
      </c>
      <c r="K130" s="107">
        <f t="shared" si="31"/>
        <v>0</v>
      </c>
    </row>
    <row r="131" spans="1:12" x14ac:dyDescent="0.2">
      <c r="A131" s="389"/>
      <c r="B131" s="376"/>
      <c r="C131" s="63" t="s">
        <v>23</v>
      </c>
      <c r="D131" s="4">
        <f t="shared" ref="D131:K131" si="32">D46+D44+D48+D40</f>
        <v>19744030</v>
      </c>
      <c r="E131" s="4">
        <f t="shared" si="32"/>
        <v>19745283</v>
      </c>
      <c r="F131" s="4">
        <f t="shared" si="32"/>
        <v>-60000</v>
      </c>
      <c r="G131" s="4">
        <f t="shared" si="32"/>
        <v>0</v>
      </c>
      <c r="H131" s="4">
        <f t="shared" si="32"/>
        <v>0</v>
      </c>
      <c r="I131" s="4">
        <f t="shared" si="32"/>
        <v>0</v>
      </c>
      <c r="J131" s="4">
        <f t="shared" si="32"/>
        <v>19685283</v>
      </c>
      <c r="K131" s="135">
        <f t="shared" si="32"/>
        <v>17986863</v>
      </c>
    </row>
    <row r="132" spans="1:12" x14ac:dyDescent="0.2">
      <c r="A132" s="389"/>
      <c r="B132" s="376"/>
      <c r="C132" s="63" t="s">
        <v>5</v>
      </c>
      <c r="D132" s="4">
        <f t="shared" ref="D132:K132" si="33">D47+D49+D41</f>
        <v>16308950</v>
      </c>
      <c r="E132" s="4">
        <f t="shared" si="33"/>
        <v>16308950</v>
      </c>
      <c r="F132" s="4">
        <f t="shared" si="33"/>
        <v>0</v>
      </c>
      <c r="G132" s="4">
        <f t="shared" si="33"/>
        <v>0</v>
      </c>
      <c r="H132" s="4">
        <f t="shared" si="33"/>
        <v>0</v>
      </c>
      <c r="I132" s="4">
        <f t="shared" si="33"/>
        <v>0</v>
      </c>
      <c r="J132" s="4">
        <f t="shared" si="33"/>
        <v>16308950</v>
      </c>
      <c r="K132" s="107">
        <f t="shared" si="33"/>
        <v>13599126</v>
      </c>
    </row>
    <row r="133" spans="1:12" x14ac:dyDescent="0.2">
      <c r="A133" s="389"/>
      <c r="B133" s="376"/>
      <c r="C133" s="65" t="s">
        <v>96</v>
      </c>
      <c r="D133" s="66">
        <f t="shared" ref="D133:K133" si="34">D47+D46+D44+D49+D48+D41+D40</f>
        <v>36052980</v>
      </c>
      <c r="E133" s="66">
        <f t="shared" si="34"/>
        <v>36054233</v>
      </c>
      <c r="F133" s="66">
        <f t="shared" si="34"/>
        <v>-60000</v>
      </c>
      <c r="G133" s="66">
        <f t="shared" si="34"/>
        <v>0</v>
      </c>
      <c r="H133" s="66">
        <f t="shared" si="34"/>
        <v>0</v>
      </c>
      <c r="I133" s="66">
        <f t="shared" si="34"/>
        <v>0</v>
      </c>
      <c r="J133" s="66">
        <f t="shared" si="34"/>
        <v>35994233</v>
      </c>
      <c r="K133" s="109">
        <f t="shared" si="34"/>
        <v>31585989</v>
      </c>
      <c r="L133" s="1"/>
    </row>
    <row r="134" spans="1:12" x14ac:dyDescent="0.2">
      <c r="A134" s="389"/>
      <c r="B134" s="376"/>
      <c r="C134" s="63" t="s">
        <v>31</v>
      </c>
      <c r="D134" s="4">
        <f>D75+D56+D91</f>
        <v>388897</v>
      </c>
      <c r="E134" s="4">
        <f t="shared" ref="E134:K134" si="35">E75+E56+E91</f>
        <v>966853</v>
      </c>
      <c r="F134" s="4">
        <f t="shared" si="35"/>
        <v>0</v>
      </c>
      <c r="G134" s="4">
        <f t="shared" si="35"/>
        <v>0</v>
      </c>
      <c r="H134" s="4">
        <f t="shared" si="35"/>
        <v>0</v>
      </c>
      <c r="I134" s="4">
        <f t="shared" si="35"/>
        <v>0</v>
      </c>
      <c r="J134" s="4">
        <f t="shared" si="35"/>
        <v>966853</v>
      </c>
      <c r="K134" s="4">
        <f t="shared" si="35"/>
        <v>966853</v>
      </c>
    </row>
    <row r="135" spans="1:12" x14ac:dyDescent="0.2">
      <c r="A135" s="389"/>
      <c r="B135" s="376"/>
      <c r="C135" s="63" t="s">
        <v>32</v>
      </c>
      <c r="D135" s="4">
        <f t="shared" ref="D135:I135" si="36">D57+D76+D92</f>
        <v>0</v>
      </c>
      <c r="E135" s="4">
        <f t="shared" si="36"/>
        <v>2194896</v>
      </c>
      <c r="F135" s="4">
        <f t="shared" si="36"/>
        <v>345000</v>
      </c>
      <c r="G135" s="4">
        <f t="shared" si="36"/>
        <v>0</v>
      </c>
      <c r="H135" s="4">
        <f t="shared" si="36"/>
        <v>0</v>
      </c>
      <c r="I135" s="4">
        <f t="shared" si="36"/>
        <v>0</v>
      </c>
      <c r="J135" s="4">
        <f>J57+J76+J92</f>
        <v>2539896</v>
      </c>
      <c r="K135" s="4">
        <f>K57+K76+K92</f>
        <v>2539896</v>
      </c>
    </row>
    <row r="136" spans="1:12" x14ac:dyDescent="0.2">
      <c r="A136" s="389"/>
      <c r="B136" s="376"/>
      <c r="C136" s="63" t="s">
        <v>13</v>
      </c>
      <c r="D136" s="4">
        <f t="shared" ref="D136:K137" si="37">D77+D58+D93</f>
        <v>4296741</v>
      </c>
      <c r="E136" s="4">
        <f t="shared" si="37"/>
        <v>10378760</v>
      </c>
      <c r="F136" s="4">
        <f t="shared" si="37"/>
        <v>-345000</v>
      </c>
      <c r="G136" s="4">
        <f t="shared" si="37"/>
        <v>0</v>
      </c>
      <c r="H136" s="4">
        <f t="shared" si="37"/>
        <v>0</v>
      </c>
      <c r="I136" s="4">
        <f t="shared" si="37"/>
        <v>0</v>
      </c>
      <c r="J136" s="4">
        <f t="shared" si="37"/>
        <v>10033760</v>
      </c>
      <c r="K136" s="4">
        <f t="shared" si="37"/>
        <v>5883491</v>
      </c>
    </row>
    <row r="137" spans="1:12" x14ac:dyDescent="0.2">
      <c r="A137" s="389"/>
      <c r="B137" s="376"/>
      <c r="C137" s="63" t="s">
        <v>14</v>
      </c>
      <c r="D137" s="4">
        <f t="shared" si="37"/>
        <v>1265122</v>
      </c>
      <c r="E137" s="4">
        <f t="shared" si="37"/>
        <v>3655937</v>
      </c>
      <c r="F137" s="4">
        <f t="shared" si="37"/>
        <v>0</v>
      </c>
      <c r="G137" s="4">
        <f t="shared" si="37"/>
        <v>0</v>
      </c>
      <c r="H137" s="4">
        <f t="shared" si="37"/>
        <v>0</v>
      </c>
      <c r="I137" s="4">
        <f t="shared" si="37"/>
        <v>0</v>
      </c>
      <c r="J137" s="4">
        <f t="shared" si="37"/>
        <v>3655937</v>
      </c>
      <c r="K137" s="4">
        <f t="shared" si="37"/>
        <v>2535365</v>
      </c>
    </row>
    <row r="138" spans="1:12" x14ac:dyDescent="0.2">
      <c r="A138" s="389"/>
      <c r="B138" s="376"/>
      <c r="C138" s="65" t="s">
        <v>97</v>
      </c>
      <c r="D138" s="66">
        <f t="shared" ref="D138:I138" si="38">D78+D77+D75+D59+D58+D57+D56+D76+D91+D93+D94+D92</f>
        <v>5950760</v>
      </c>
      <c r="E138" s="66">
        <f t="shared" si="38"/>
        <v>17196446</v>
      </c>
      <c r="F138" s="66">
        <f t="shared" si="38"/>
        <v>0</v>
      </c>
      <c r="G138" s="66">
        <f t="shared" si="38"/>
        <v>0</v>
      </c>
      <c r="H138" s="66">
        <f t="shared" si="38"/>
        <v>0</v>
      </c>
      <c r="I138" s="66">
        <f t="shared" si="38"/>
        <v>0</v>
      </c>
      <c r="J138" s="66">
        <f>J78+J77+J75+J59+J58+J57+J56+J76+J91+J93+J94+J92</f>
        <v>17196446</v>
      </c>
      <c r="K138" s="66">
        <f>K78+K77+K75+K59+K58+K57+K56+K76+K91+K93+K94+K92</f>
        <v>11925605</v>
      </c>
      <c r="L138" s="1"/>
    </row>
    <row r="139" spans="1:12" x14ac:dyDescent="0.2">
      <c r="A139" s="389"/>
      <c r="B139" s="376"/>
      <c r="C139" s="63" t="s">
        <v>15</v>
      </c>
      <c r="D139" s="4">
        <f t="shared" ref="D139:K140" si="39">D79+D60+D95</f>
        <v>4121943</v>
      </c>
      <c r="E139" s="4">
        <f t="shared" si="39"/>
        <v>34661221</v>
      </c>
      <c r="F139" s="4">
        <f t="shared" si="39"/>
        <v>0</v>
      </c>
      <c r="G139" s="4">
        <f t="shared" si="39"/>
        <v>0</v>
      </c>
      <c r="H139" s="4">
        <f t="shared" si="39"/>
        <v>0</v>
      </c>
      <c r="I139" s="4">
        <f t="shared" si="39"/>
        <v>0</v>
      </c>
      <c r="J139" s="4">
        <f t="shared" si="39"/>
        <v>34661221</v>
      </c>
      <c r="K139" s="4">
        <f t="shared" si="39"/>
        <v>2828729</v>
      </c>
    </row>
    <row r="140" spans="1:12" x14ac:dyDescent="0.2">
      <c r="A140" s="389"/>
      <c r="B140" s="376"/>
      <c r="C140" s="63" t="s">
        <v>16</v>
      </c>
      <c r="D140" s="4">
        <f t="shared" si="39"/>
        <v>1112924</v>
      </c>
      <c r="E140" s="4">
        <f t="shared" si="39"/>
        <v>9358530</v>
      </c>
      <c r="F140" s="4">
        <f t="shared" si="39"/>
        <v>0</v>
      </c>
      <c r="G140" s="4">
        <f t="shared" si="39"/>
        <v>0</v>
      </c>
      <c r="H140" s="4">
        <f t="shared" si="39"/>
        <v>0</v>
      </c>
      <c r="I140" s="4">
        <f t="shared" si="39"/>
        <v>0</v>
      </c>
      <c r="J140" s="4">
        <f t="shared" si="39"/>
        <v>9358530</v>
      </c>
      <c r="K140" s="4">
        <f t="shared" si="39"/>
        <v>493942</v>
      </c>
    </row>
    <row r="141" spans="1:12" x14ac:dyDescent="0.2">
      <c r="A141" s="389"/>
      <c r="B141" s="376"/>
      <c r="C141" s="65" t="s">
        <v>98</v>
      </c>
      <c r="D141" s="66">
        <f>D80+D79+D61+D60+D95+D96</f>
        <v>5234867</v>
      </c>
      <c r="E141" s="66">
        <f t="shared" ref="E141:K141" si="40">E80+E79+E61+E60+E95+E96</f>
        <v>44019751</v>
      </c>
      <c r="F141" s="66">
        <f t="shared" si="40"/>
        <v>0</v>
      </c>
      <c r="G141" s="66">
        <f t="shared" si="40"/>
        <v>0</v>
      </c>
      <c r="H141" s="66">
        <f t="shared" si="40"/>
        <v>0</v>
      </c>
      <c r="I141" s="66">
        <f t="shared" si="40"/>
        <v>0</v>
      </c>
      <c r="J141" s="66">
        <f t="shared" si="40"/>
        <v>44019751</v>
      </c>
      <c r="K141" s="66">
        <f t="shared" si="40"/>
        <v>3322671</v>
      </c>
      <c r="L141" s="1"/>
    </row>
    <row r="142" spans="1:12" x14ac:dyDescent="0.2">
      <c r="A142" s="389"/>
      <c r="B142" s="376"/>
      <c r="C142" s="65" t="s">
        <v>110</v>
      </c>
      <c r="D142" s="66">
        <f>D45</f>
        <v>4500000</v>
      </c>
      <c r="E142" s="66">
        <f t="shared" ref="E142:K142" si="41">E45</f>
        <v>4500000</v>
      </c>
      <c r="F142" s="66">
        <f t="shared" si="41"/>
        <v>0</v>
      </c>
      <c r="G142" s="66">
        <f t="shared" si="41"/>
        <v>0</v>
      </c>
      <c r="H142" s="66">
        <f t="shared" si="41"/>
        <v>0</v>
      </c>
      <c r="I142" s="66">
        <f t="shared" si="41"/>
        <v>0</v>
      </c>
      <c r="J142" s="66">
        <f t="shared" si="41"/>
        <v>4500000</v>
      </c>
      <c r="K142" s="110">
        <f t="shared" si="41"/>
        <v>4230770</v>
      </c>
      <c r="L142" s="1"/>
    </row>
    <row r="143" spans="1:12" x14ac:dyDescent="0.2">
      <c r="A143" s="389"/>
      <c r="B143" s="376"/>
      <c r="C143" s="63" t="s">
        <v>3</v>
      </c>
      <c r="D143" s="67">
        <f t="shared" ref="D143:K143" si="42">D42</f>
        <v>313437148</v>
      </c>
      <c r="E143" s="67">
        <f t="shared" si="42"/>
        <v>342702536</v>
      </c>
      <c r="F143" s="67">
        <f t="shared" si="42"/>
        <v>0</v>
      </c>
      <c r="G143" s="67">
        <f t="shared" si="42"/>
        <v>-3633008</v>
      </c>
      <c r="H143" s="67">
        <f t="shared" si="42"/>
        <v>0</v>
      </c>
      <c r="I143" s="67">
        <f t="shared" si="42"/>
        <v>-1328080</v>
      </c>
      <c r="J143" s="67">
        <f t="shared" si="42"/>
        <v>337741448</v>
      </c>
      <c r="K143" s="111">
        <f t="shared" si="42"/>
        <v>293596047</v>
      </c>
      <c r="L143" s="1"/>
    </row>
    <row r="144" spans="1:12" x14ac:dyDescent="0.2">
      <c r="A144" s="390"/>
      <c r="B144" s="391"/>
      <c r="C144" s="65" t="s">
        <v>99</v>
      </c>
      <c r="D144" s="66">
        <f>D97</f>
        <v>426209554</v>
      </c>
      <c r="E144" s="66">
        <f t="shared" ref="E144:K144" si="43">E97</f>
        <v>521744064</v>
      </c>
      <c r="F144" s="66">
        <f t="shared" si="43"/>
        <v>0</v>
      </c>
      <c r="G144" s="66">
        <f t="shared" si="43"/>
        <v>-3633008</v>
      </c>
      <c r="H144" s="66">
        <f t="shared" si="43"/>
        <v>2000</v>
      </c>
      <c r="I144" s="66">
        <f t="shared" si="43"/>
        <v>-1328080</v>
      </c>
      <c r="J144" s="66">
        <f t="shared" si="43"/>
        <v>516784976</v>
      </c>
      <c r="K144" s="66">
        <f t="shared" si="43"/>
        <v>374332345</v>
      </c>
      <c r="L144" s="1"/>
    </row>
    <row r="145" spans="1:12" x14ac:dyDescent="0.2">
      <c r="A145" s="1"/>
      <c r="B145" s="98"/>
      <c r="C145" s="1"/>
      <c r="D145" s="1"/>
      <c r="E145" s="1"/>
      <c r="F145" s="68"/>
      <c r="G145" s="1"/>
      <c r="H145" s="1"/>
      <c r="I145" s="1"/>
      <c r="J145" s="1"/>
      <c r="K145" s="112"/>
      <c r="L145" s="1"/>
    </row>
    <row r="146" spans="1:12" x14ac:dyDescent="0.2">
      <c r="C146" s="5"/>
      <c r="D146" s="5"/>
      <c r="F146" s="2"/>
    </row>
    <row r="147" spans="1:12" x14ac:dyDescent="0.2">
      <c r="C147" s="5"/>
      <c r="D147" s="5"/>
      <c r="F147" s="2"/>
    </row>
  </sheetData>
  <mergeCells count="41">
    <mergeCell ref="B25:B26"/>
    <mergeCell ref="A31:C31"/>
    <mergeCell ref="A32:A43"/>
    <mergeCell ref="B32:B39"/>
    <mergeCell ref="B40:B42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46:A47"/>
    <mergeCell ref="B46:B47"/>
    <mergeCell ref="A6:A10"/>
    <mergeCell ref="B6:B8"/>
    <mergeCell ref="B9:B10"/>
    <mergeCell ref="A15:A19"/>
    <mergeCell ref="B15:B17"/>
    <mergeCell ref="A11:A12"/>
    <mergeCell ref="B11:B12"/>
    <mergeCell ref="A44:A45"/>
    <mergeCell ref="B44:B45"/>
    <mergeCell ref="B18:B19"/>
    <mergeCell ref="A20:A24"/>
    <mergeCell ref="B20:B22"/>
    <mergeCell ref="B23:B24"/>
    <mergeCell ref="A25:A27"/>
    <mergeCell ref="A103:B144"/>
    <mergeCell ref="A48:A49"/>
    <mergeCell ref="B48:B49"/>
    <mergeCell ref="A50:A61"/>
    <mergeCell ref="B50:B61"/>
    <mergeCell ref="A62:A80"/>
    <mergeCell ref="B63:B80"/>
    <mergeCell ref="A81:A96"/>
    <mergeCell ref="B81:B96"/>
    <mergeCell ref="A97:C97"/>
  </mergeCells>
  <pageMargins left="0.7" right="0.7" top="0.75" bottom="0.75" header="0.3" footer="0.3"/>
  <pageSetup paperSize="9" scale="55" orientation="portrait" r:id="rId1"/>
  <rowBreaks count="1" manualBreakCount="1">
    <brk id="99" max="11" man="1"/>
  </rowBreaks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234"/>
  <sheetViews>
    <sheetView zoomScale="89" zoomScaleNormal="89"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2.28515625" customWidth="1"/>
    <col min="5" max="5" width="12.7109375" customWidth="1"/>
    <col min="6" max="6" width="13.28515625" customWidth="1"/>
    <col min="7" max="14" width="11.42578125" customWidth="1"/>
    <col min="15" max="15" width="12.42578125" customWidth="1"/>
    <col min="16" max="16" width="14.42578125" style="101" customWidth="1"/>
    <col min="17" max="17" width="11.5703125" customWidth="1"/>
  </cols>
  <sheetData>
    <row r="1" spans="1:17" x14ac:dyDescent="0.2">
      <c r="A1" s="526" t="s">
        <v>82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527"/>
      <c r="O1" s="527"/>
      <c r="P1" s="527"/>
      <c r="Q1" s="527"/>
    </row>
    <row r="2" spans="1:17" x14ac:dyDescent="0.2">
      <c r="F2" s="2"/>
    </row>
    <row r="3" spans="1:17" x14ac:dyDescent="0.2">
      <c r="E3" s="5"/>
      <c r="F3" s="3"/>
      <c r="P3" s="102"/>
    </row>
    <row r="4" spans="1:17" x14ac:dyDescent="0.2">
      <c r="A4" s="502" t="s">
        <v>19</v>
      </c>
      <c r="B4" s="504" t="s">
        <v>0</v>
      </c>
      <c r="C4" s="502" t="s">
        <v>44</v>
      </c>
      <c r="D4" s="502" t="s">
        <v>21</v>
      </c>
      <c r="E4" s="506" t="s">
        <v>172</v>
      </c>
      <c r="F4" s="508" t="s">
        <v>180</v>
      </c>
      <c r="G4" s="509"/>
      <c r="H4" s="509"/>
      <c r="I4" s="509"/>
      <c r="J4" s="509"/>
      <c r="K4" s="509"/>
      <c r="L4" s="509"/>
      <c r="M4" s="509"/>
      <c r="N4" s="510"/>
      <c r="O4" s="506" t="s">
        <v>181</v>
      </c>
      <c r="P4" s="511" t="s">
        <v>182</v>
      </c>
      <c r="Q4" s="512" t="s">
        <v>183</v>
      </c>
    </row>
    <row r="5" spans="1:17" ht="77.25" customHeight="1" x14ac:dyDescent="0.2">
      <c r="A5" s="503"/>
      <c r="B5" s="505"/>
      <c r="C5" s="503"/>
      <c r="D5" s="503"/>
      <c r="E5" s="507"/>
      <c r="F5" s="160" t="s">
        <v>43</v>
      </c>
      <c r="G5" s="161" t="s">
        <v>185</v>
      </c>
      <c r="H5" s="161" t="s">
        <v>186</v>
      </c>
      <c r="I5" s="161" t="s">
        <v>194</v>
      </c>
      <c r="J5" s="190" t="s">
        <v>187</v>
      </c>
      <c r="K5" s="190" t="s">
        <v>188</v>
      </c>
      <c r="L5" s="190" t="s">
        <v>190</v>
      </c>
      <c r="M5" s="190" t="s">
        <v>196</v>
      </c>
      <c r="N5" s="190" t="s">
        <v>189</v>
      </c>
      <c r="O5" s="507"/>
      <c r="P5" s="511"/>
      <c r="Q5" s="512"/>
    </row>
    <row r="6" spans="1:17" x14ac:dyDescent="0.2">
      <c r="A6" s="482" t="s">
        <v>38</v>
      </c>
      <c r="B6" s="378" t="s">
        <v>1</v>
      </c>
      <c r="C6" s="41" t="s">
        <v>41</v>
      </c>
      <c r="D6" s="42">
        <v>0</v>
      </c>
      <c r="E6" s="42">
        <v>43943</v>
      </c>
      <c r="F6" s="43"/>
      <c r="G6" s="38"/>
      <c r="H6" s="38"/>
      <c r="I6" s="38">
        <f>-1681+1362</f>
        <v>-319</v>
      </c>
      <c r="J6" s="38"/>
      <c r="K6" s="38"/>
      <c r="L6" s="38"/>
      <c r="M6" s="38"/>
      <c r="N6" s="38"/>
      <c r="O6" s="4">
        <f>SUM(E6:N6)</f>
        <v>43624</v>
      </c>
      <c r="P6" s="103">
        <v>43624</v>
      </c>
      <c r="Q6" s="4">
        <f>O6-P6</f>
        <v>0</v>
      </c>
    </row>
    <row r="7" spans="1:17" x14ac:dyDescent="0.2">
      <c r="A7" s="482"/>
      <c r="B7" s="378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38"/>
      <c r="K7" s="38"/>
      <c r="L7" s="38"/>
      <c r="M7" s="38"/>
      <c r="N7" s="38"/>
      <c r="O7" s="4">
        <f t="shared" ref="O7:O31" si="0">SUM(E7:N7)</f>
        <v>10800</v>
      </c>
      <c r="P7" s="103">
        <v>10800</v>
      </c>
      <c r="Q7" s="4">
        <f t="shared" ref="Q7:Q31" si="1">O7-P7</f>
        <v>0</v>
      </c>
    </row>
    <row r="8" spans="1:17" x14ac:dyDescent="0.2">
      <c r="A8" s="482"/>
      <c r="B8" s="378"/>
      <c r="C8" s="41" t="s">
        <v>40</v>
      </c>
      <c r="D8" s="42">
        <v>1500</v>
      </c>
      <c r="E8" s="42">
        <v>1557</v>
      </c>
      <c r="F8" s="43"/>
      <c r="G8" s="38"/>
      <c r="H8" s="38"/>
      <c r="I8" s="38">
        <v>94</v>
      </c>
      <c r="J8" s="38"/>
      <c r="K8" s="38"/>
      <c r="L8" s="38"/>
      <c r="M8" s="38"/>
      <c r="N8" s="38"/>
      <c r="O8" s="4">
        <f t="shared" si="0"/>
        <v>1651</v>
      </c>
      <c r="P8" s="103">
        <v>1651</v>
      </c>
      <c r="Q8" s="4">
        <f t="shared" si="1"/>
        <v>0</v>
      </c>
    </row>
    <row r="9" spans="1:17" x14ac:dyDescent="0.2">
      <c r="A9" s="482"/>
      <c r="B9" s="379" t="s">
        <v>4</v>
      </c>
      <c r="C9" s="41" t="s">
        <v>25</v>
      </c>
      <c r="D9" s="42">
        <v>2468000</v>
      </c>
      <c r="E9" s="42">
        <v>4814000</v>
      </c>
      <c r="F9" s="43"/>
      <c r="G9" s="38"/>
      <c r="H9" s="38">
        <v>-1253</v>
      </c>
      <c r="I9" s="38"/>
      <c r="J9" s="38"/>
      <c r="K9" s="38"/>
      <c r="L9" s="38"/>
      <c r="M9" s="38"/>
      <c r="N9" s="38"/>
      <c r="O9" s="4">
        <f t="shared" si="0"/>
        <v>4812747</v>
      </c>
      <c r="P9" s="132">
        <v>4812747</v>
      </c>
      <c r="Q9" s="120">
        <f t="shared" si="1"/>
        <v>0</v>
      </c>
    </row>
    <row r="10" spans="1:17" x14ac:dyDescent="0.2">
      <c r="A10" s="482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38"/>
      <c r="L10" s="38"/>
      <c r="M10" s="38"/>
      <c r="N10" s="38"/>
      <c r="O10" s="4">
        <f t="shared" si="0"/>
        <v>10810958</v>
      </c>
      <c r="P10" s="103">
        <v>10810958</v>
      </c>
      <c r="Q10" s="4">
        <f t="shared" si="1"/>
        <v>0</v>
      </c>
    </row>
    <row r="11" spans="1:17" x14ac:dyDescent="0.2">
      <c r="A11" s="483" t="s">
        <v>50</v>
      </c>
      <c r="B11" s="341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38"/>
      <c r="L11" s="38">
        <v>-141344</v>
      </c>
      <c r="M11" s="38"/>
      <c r="N11" s="38"/>
      <c r="O11" s="4">
        <f t="shared" si="0"/>
        <v>6863919</v>
      </c>
      <c r="P11" s="103">
        <v>6863919</v>
      </c>
      <c r="Q11" s="4">
        <f t="shared" si="1"/>
        <v>0</v>
      </c>
    </row>
    <row r="12" spans="1:17" x14ac:dyDescent="0.2">
      <c r="A12" s="484"/>
      <c r="B12" s="342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38"/>
      <c r="L12" s="38">
        <v>0</v>
      </c>
      <c r="M12" s="38"/>
      <c r="N12" s="38"/>
      <c r="O12" s="4">
        <f t="shared" si="0"/>
        <v>4500000</v>
      </c>
      <c r="P12" s="103">
        <v>4500000</v>
      </c>
      <c r="Q12" s="4">
        <f t="shared" si="1"/>
        <v>0</v>
      </c>
    </row>
    <row r="13" spans="1:17" x14ac:dyDescent="0.2">
      <c r="A13" s="188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38"/>
      <c r="L13" s="38">
        <v>-293875</v>
      </c>
      <c r="M13" s="38"/>
      <c r="N13" s="38"/>
      <c r="O13" s="4">
        <f t="shared" si="0"/>
        <v>19452625</v>
      </c>
      <c r="P13" s="103">
        <v>19452625</v>
      </c>
      <c r="Q13" s="4">
        <f t="shared" si="1"/>
        <v>0</v>
      </c>
    </row>
    <row r="14" spans="1:17" x14ac:dyDescent="0.2">
      <c r="A14" s="189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38"/>
      <c r="L14" s="38">
        <v>-264487</v>
      </c>
      <c r="M14" s="38"/>
      <c r="N14" s="38"/>
      <c r="O14" s="4">
        <f t="shared" si="0"/>
        <v>15994463</v>
      </c>
      <c r="P14" s="103">
        <v>15994463</v>
      </c>
      <c r="Q14" s="4">
        <f>O14-P14</f>
        <v>0</v>
      </c>
    </row>
    <row r="15" spans="1:17" x14ac:dyDescent="0.2">
      <c r="A15" s="483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38"/>
      <c r="L15" s="38"/>
      <c r="M15" s="38"/>
      <c r="N15" s="38"/>
      <c r="O15" s="4">
        <f t="shared" si="0"/>
        <v>0</v>
      </c>
      <c r="P15" s="103"/>
      <c r="Q15" s="4">
        <f t="shared" si="1"/>
        <v>0</v>
      </c>
    </row>
    <row r="16" spans="1:17" x14ac:dyDescent="0.2">
      <c r="A16" s="485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38"/>
      <c r="L16" s="38"/>
      <c r="M16" s="38"/>
      <c r="N16" s="38"/>
      <c r="O16" s="4">
        <f t="shared" si="0"/>
        <v>0</v>
      </c>
      <c r="P16" s="103"/>
      <c r="Q16" s="4">
        <f t="shared" si="1"/>
        <v>0</v>
      </c>
    </row>
    <row r="17" spans="1:18" x14ac:dyDescent="0.2">
      <c r="A17" s="485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38"/>
      <c r="L17" s="38"/>
      <c r="M17" s="38"/>
      <c r="N17" s="38"/>
      <c r="O17" s="4">
        <f t="shared" si="0"/>
        <v>199713</v>
      </c>
      <c r="P17" s="103">
        <v>199713</v>
      </c>
      <c r="Q17" s="4">
        <f t="shared" si="1"/>
        <v>0</v>
      </c>
    </row>
    <row r="18" spans="1:18" x14ac:dyDescent="0.2">
      <c r="A18" s="485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38"/>
      <c r="L18" s="38"/>
      <c r="M18" s="38"/>
      <c r="N18" s="38"/>
      <c r="O18" s="4">
        <f t="shared" si="0"/>
        <v>0</v>
      </c>
      <c r="P18" s="103"/>
      <c r="Q18" s="4">
        <f t="shared" si="1"/>
        <v>0</v>
      </c>
    </row>
    <row r="19" spans="1:18" x14ac:dyDescent="0.2">
      <c r="A19" s="485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38"/>
      <c r="L19" s="38"/>
      <c r="M19" s="38"/>
      <c r="N19" s="38"/>
      <c r="O19" s="4">
        <f t="shared" si="0"/>
        <v>0</v>
      </c>
      <c r="P19" s="103"/>
      <c r="Q19" s="4">
        <f t="shared" si="1"/>
        <v>0</v>
      </c>
    </row>
    <row r="20" spans="1:18" x14ac:dyDescent="0.2">
      <c r="A20" s="486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>
        <v>-8</v>
      </c>
      <c r="G20" s="38">
        <v>-12024946</v>
      </c>
      <c r="H20" s="38"/>
      <c r="I20" s="38"/>
      <c r="J20" s="38"/>
      <c r="K20" s="38"/>
      <c r="L20" s="38"/>
      <c r="M20" s="38"/>
      <c r="N20" s="38"/>
      <c r="O20" s="4">
        <f t="shared" si="0"/>
        <v>25189858</v>
      </c>
      <c r="P20" s="103">
        <v>25189858</v>
      </c>
      <c r="Q20" s="4">
        <f t="shared" si="1"/>
        <v>0</v>
      </c>
    </row>
    <row r="21" spans="1:18" x14ac:dyDescent="0.2">
      <c r="A21" s="487"/>
      <c r="B21" s="382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38"/>
      <c r="L21" s="38"/>
      <c r="M21" s="38"/>
      <c r="N21" s="38"/>
      <c r="O21" s="4">
        <f t="shared" si="0"/>
        <v>654581</v>
      </c>
      <c r="P21" s="103">
        <v>654581</v>
      </c>
      <c r="Q21" s="4">
        <f t="shared" si="1"/>
        <v>0</v>
      </c>
    </row>
    <row r="22" spans="1:18" x14ac:dyDescent="0.2">
      <c r="A22" s="487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38"/>
      <c r="L22" s="38"/>
      <c r="M22" s="38"/>
      <c r="N22" s="38"/>
      <c r="O22" s="4">
        <f t="shared" si="0"/>
        <v>17033910</v>
      </c>
      <c r="P22" s="103">
        <v>17033910</v>
      </c>
      <c r="Q22" s="4">
        <f t="shared" si="1"/>
        <v>0</v>
      </c>
    </row>
    <row r="23" spans="1:18" x14ac:dyDescent="0.2">
      <c r="A23" s="487"/>
      <c r="B23" s="470" t="s">
        <v>17</v>
      </c>
      <c r="C23" s="41" t="s">
        <v>25</v>
      </c>
      <c r="D23" s="42">
        <v>0</v>
      </c>
      <c r="E23" s="42">
        <v>0</v>
      </c>
      <c r="F23" s="43">
        <v>8</v>
      </c>
      <c r="G23" s="38"/>
      <c r="H23" s="38"/>
      <c r="I23" s="38"/>
      <c r="J23" s="38"/>
      <c r="K23" s="38"/>
      <c r="L23" s="38"/>
      <c r="M23" s="38"/>
      <c r="N23" s="38"/>
      <c r="O23" s="4">
        <f t="shared" si="0"/>
        <v>8</v>
      </c>
      <c r="P23" s="103">
        <v>8</v>
      </c>
      <c r="Q23" s="4">
        <f t="shared" si="1"/>
        <v>0</v>
      </c>
    </row>
    <row r="24" spans="1:18" x14ac:dyDescent="0.2">
      <c r="A24" s="487"/>
      <c r="B24" s="475"/>
      <c r="C24" s="41" t="s">
        <v>41</v>
      </c>
      <c r="D24" s="42">
        <v>0</v>
      </c>
      <c r="E24" s="42">
        <v>0</v>
      </c>
      <c r="F24" s="43"/>
      <c r="G24" s="38"/>
      <c r="H24" s="38"/>
      <c r="I24" s="38"/>
      <c r="J24" s="38"/>
      <c r="K24" s="38"/>
      <c r="L24" s="38"/>
      <c r="M24" s="38"/>
      <c r="N24" s="38"/>
      <c r="O24" s="4">
        <f t="shared" si="0"/>
        <v>0</v>
      </c>
      <c r="P24" s="103">
        <v>0</v>
      </c>
      <c r="Q24" s="120">
        <f t="shared" si="1"/>
        <v>0</v>
      </c>
    </row>
    <row r="25" spans="1:18" x14ac:dyDescent="0.2">
      <c r="A25" s="488"/>
      <c r="B25" s="471"/>
      <c r="C25" s="41" t="s">
        <v>40</v>
      </c>
      <c r="D25" s="42">
        <v>800</v>
      </c>
      <c r="E25" s="42">
        <v>800</v>
      </c>
      <c r="F25" s="43"/>
      <c r="G25" s="38">
        <v>-800</v>
      </c>
      <c r="H25" s="38"/>
      <c r="I25" s="38"/>
      <c r="J25" s="38"/>
      <c r="K25" s="38"/>
      <c r="L25" s="38"/>
      <c r="M25" s="38"/>
      <c r="N25" s="38"/>
      <c r="O25" s="4">
        <f t="shared" si="0"/>
        <v>0</v>
      </c>
      <c r="P25" s="103">
        <v>0</v>
      </c>
      <c r="Q25" s="4">
        <f t="shared" si="1"/>
        <v>0</v>
      </c>
    </row>
    <row r="26" spans="1:18" ht="21" customHeight="1" x14ac:dyDescent="0.2">
      <c r="A26" s="393" t="s">
        <v>132</v>
      </c>
      <c r="B26" s="470" t="s">
        <v>4</v>
      </c>
      <c r="C26" s="126" t="s">
        <v>25</v>
      </c>
      <c r="D26" s="42">
        <v>0</v>
      </c>
      <c r="E26" s="42">
        <v>13839752</v>
      </c>
      <c r="F26" s="43"/>
      <c r="G26" s="38"/>
      <c r="H26" s="38"/>
      <c r="I26" s="38"/>
      <c r="J26" s="38">
        <v>6575307</v>
      </c>
      <c r="K26" s="38"/>
      <c r="L26" s="38"/>
      <c r="M26" s="38"/>
      <c r="N26" s="38"/>
      <c r="O26" s="4">
        <f t="shared" si="0"/>
        <v>20415059</v>
      </c>
      <c r="P26" s="103">
        <v>20415059</v>
      </c>
      <c r="Q26" s="4">
        <f t="shared" si="1"/>
        <v>0</v>
      </c>
    </row>
    <row r="27" spans="1:18" ht="21" customHeight="1" x14ac:dyDescent="0.2">
      <c r="A27" s="394"/>
      <c r="B27" s="471"/>
      <c r="C27" s="126" t="s">
        <v>37</v>
      </c>
      <c r="D27" s="42">
        <v>0</v>
      </c>
      <c r="E27" s="42">
        <v>49375989</v>
      </c>
      <c r="F27" s="43"/>
      <c r="G27" s="38"/>
      <c r="H27" s="38"/>
      <c r="I27" s="38"/>
      <c r="J27" s="38">
        <v>8856279</v>
      </c>
      <c r="K27" s="38"/>
      <c r="L27" s="38"/>
      <c r="M27" s="38"/>
      <c r="N27" s="38"/>
      <c r="O27" s="4">
        <f t="shared" si="0"/>
        <v>58232268</v>
      </c>
      <c r="P27" s="103">
        <v>58232268</v>
      </c>
      <c r="Q27" s="4">
        <f t="shared" si="1"/>
        <v>0</v>
      </c>
    </row>
    <row r="28" spans="1:18" ht="21" customHeight="1" x14ac:dyDescent="0.2">
      <c r="A28" s="395"/>
      <c r="B28" s="187" t="s">
        <v>128</v>
      </c>
      <c r="C28" s="126" t="s">
        <v>41</v>
      </c>
      <c r="D28" s="42">
        <v>0</v>
      </c>
      <c r="E28" s="42">
        <v>0</v>
      </c>
      <c r="F28" s="43"/>
      <c r="G28" s="38"/>
      <c r="H28" s="38"/>
      <c r="I28" s="38"/>
      <c r="J28" s="38"/>
      <c r="K28" s="38"/>
      <c r="L28" s="38"/>
      <c r="M28" s="38"/>
      <c r="N28" s="38"/>
      <c r="O28" s="4">
        <f t="shared" si="0"/>
        <v>0</v>
      </c>
      <c r="P28" s="103">
        <v>0</v>
      </c>
      <c r="Q28" s="120">
        <f t="shared" si="1"/>
        <v>0</v>
      </c>
      <c r="R28" s="166"/>
    </row>
    <row r="29" spans="1:18" x14ac:dyDescent="0.2">
      <c r="A29" s="142" t="s">
        <v>29</v>
      </c>
      <c r="B29" s="97" t="s">
        <v>4</v>
      </c>
      <c r="C29" s="41" t="s">
        <v>25</v>
      </c>
      <c r="D29" s="51">
        <v>260269918</v>
      </c>
      <c r="E29" s="51">
        <v>288207226</v>
      </c>
      <c r="F29" s="43"/>
      <c r="G29" s="38"/>
      <c r="H29" s="38"/>
      <c r="I29" s="38"/>
      <c r="J29" s="38"/>
      <c r="K29" s="38"/>
      <c r="L29" s="38"/>
      <c r="M29" s="38"/>
      <c r="N29" s="38">
        <v>397451</v>
      </c>
      <c r="O29" s="4">
        <f t="shared" si="0"/>
        <v>288604677</v>
      </c>
      <c r="P29" s="103">
        <v>288604677</v>
      </c>
      <c r="Q29" s="4">
        <f t="shared" si="1"/>
        <v>0</v>
      </c>
    </row>
    <row r="30" spans="1:18" x14ac:dyDescent="0.2">
      <c r="A30" s="142" t="s">
        <v>87</v>
      </c>
      <c r="B30" s="97" t="s">
        <v>4</v>
      </c>
      <c r="C30" s="41" t="s">
        <v>25</v>
      </c>
      <c r="D30" s="51">
        <v>3196558</v>
      </c>
      <c r="E30" s="51">
        <v>2284576</v>
      </c>
      <c r="F30" s="43"/>
      <c r="G30" s="38"/>
      <c r="H30" s="38"/>
      <c r="I30" s="38"/>
      <c r="J30" s="38"/>
      <c r="K30" s="38"/>
      <c r="L30" s="38"/>
      <c r="M30" s="38"/>
      <c r="N30" s="38">
        <v>-4693</v>
      </c>
      <c r="O30" s="4">
        <f t="shared" si="0"/>
        <v>2279883</v>
      </c>
      <c r="P30" s="103">
        <v>2279883</v>
      </c>
      <c r="Q30" s="4">
        <f t="shared" si="1"/>
        <v>0</v>
      </c>
    </row>
    <row r="31" spans="1:18" x14ac:dyDescent="0.2">
      <c r="A31" s="143" t="s">
        <v>42</v>
      </c>
      <c r="B31" s="97" t="s">
        <v>4</v>
      </c>
      <c r="C31" s="41" t="s">
        <v>25</v>
      </c>
      <c r="D31" s="42">
        <v>47502672</v>
      </c>
      <c r="E31" s="42">
        <v>44781646</v>
      </c>
      <c r="F31" s="43"/>
      <c r="G31" s="38"/>
      <c r="H31" s="38"/>
      <c r="I31" s="38"/>
      <c r="J31" s="38"/>
      <c r="K31" s="38"/>
      <c r="L31" s="38"/>
      <c r="M31" s="38">
        <v>16016</v>
      </c>
      <c r="N31" s="38">
        <f>-72752-16016</f>
        <v>-88768</v>
      </c>
      <c r="O31" s="4">
        <f t="shared" si="0"/>
        <v>44708894</v>
      </c>
      <c r="P31" s="103">
        <v>44708894</v>
      </c>
      <c r="Q31" s="4">
        <f t="shared" si="1"/>
        <v>0</v>
      </c>
    </row>
    <row r="32" spans="1:18" ht="34.5" customHeight="1" x14ac:dyDescent="0.2">
      <c r="A32" s="479" t="s">
        <v>85</v>
      </c>
      <c r="B32" s="480"/>
      <c r="C32" s="481"/>
      <c r="D32" s="138">
        <f t="shared" ref="D32:Q32" si="2">SUM(D6:D31)</f>
        <v>426209554</v>
      </c>
      <c r="E32" s="138">
        <f t="shared" si="2"/>
        <v>516784976</v>
      </c>
      <c r="F32" s="138">
        <f t="shared" si="2"/>
        <v>0</v>
      </c>
      <c r="G32" s="138">
        <f t="shared" si="2"/>
        <v>-12025746</v>
      </c>
      <c r="H32" s="138">
        <f t="shared" si="2"/>
        <v>-1253</v>
      </c>
      <c r="I32" s="138">
        <f t="shared" si="2"/>
        <v>-225</v>
      </c>
      <c r="J32" s="138">
        <f t="shared" si="2"/>
        <v>15431586</v>
      </c>
      <c r="K32" s="138">
        <f t="shared" si="2"/>
        <v>0</v>
      </c>
      <c r="L32" s="138">
        <f t="shared" si="2"/>
        <v>-699706</v>
      </c>
      <c r="M32" s="138">
        <f t="shared" si="2"/>
        <v>16016</v>
      </c>
      <c r="N32" s="138">
        <f t="shared" si="2"/>
        <v>303990</v>
      </c>
      <c r="O32" s="138">
        <f t="shared" si="2"/>
        <v>519809638</v>
      </c>
      <c r="P32" s="139">
        <f t="shared" si="2"/>
        <v>519809638</v>
      </c>
      <c r="Q32" s="138">
        <f t="shared" si="2"/>
        <v>0</v>
      </c>
    </row>
    <row r="33" spans="1:17" ht="12.75" customHeight="1" x14ac:dyDescent="0.2">
      <c r="A33" s="393" t="s">
        <v>18</v>
      </c>
      <c r="B33" s="384" t="s">
        <v>1</v>
      </c>
      <c r="C33" s="41" t="s">
        <v>22</v>
      </c>
      <c r="D33" s="44">
        <v>24000</v>
      </c>
      <c r="E33" s="44">
        <v>24000</v>
      </c>
      <c r="F33" s="45"/>
      <c r="G33" s="38"/>
      <c r="H33" s="38"/>
      <c r="I33" s="38"/>
      <c r="J33" s="38"/>
      <c r="K33" s="38"/>
      <c r="L33" s="38"/>
      <c r="M33" s="38"/>
      <c r="N33" s="38"/>
      <c r="O33" s="4">
        <f>SUM(E33:N33)</f>
        <v>24000</v>
      </c>
      <c r="P33" s="105">
        <v>0</v>
      </c>
      <c r="Q33" s="4">
        <f t="shared" ref="Q33:Q98" si="3">O33-P33</f>
        <v>24000</v>
      </c>
    </row>
    <row r="34" spans="1:17" ht="12.75" customHeight="1" x14ac:dyDescent="0.2">
      <c r="A34" s="394"/>
      <c r="B34" s="385"/>
      <c r="C34" s="41" t="s">
        <v>184</v>
      </c>
      <c r="D34" s="44">
        <v>0</v>
      </c>
      <c r="E34" s="44">
        <v>0</v>
      </c>
      <c r="F34" s="43">
        <v>1870</v>
      </c>
      <c r="G34" s="38"/>
      <c r="H34" s="38"/>
      <c r="I34" s="38"/>
      <c r="J34" s="38"/>
      <c r="K34" s="38"/>
      <c r="L34" s="38"/>
      <c r="M34" s="38"/>
      <c r="N34" s="38"/>
      <c r="O34" s="4">
        <f t="shared" ref="O34:O97" si="4">SUM(E34:N34)</f>
        <v>1870</v>
      </c>
      <c r="P34" s="105">
        <v>1870</v>
      </c>
      <c r="Q34" s="4">
        <f t="shared" si="3"/>
        <v>0</v>
      </c>
    </row>
    <row r="35" spans="1:17" x14ac:dyDescent="0.2">
      <c r="A35" s="394"/>
      <c r="B35" s="385"/>
      <c r="C35" s="41" t="s">
        <v>89</v>
      </c>
      <c r="D35" s="38">
        <v>1870</v>
      </c>
      <c r="E35" s="38">
        <v>1870</v>
      </c>
      <c r="F35" s="40"/>
      <c r="G35" s="38"/>
      <c r="H35" s="38"/>
      <c r="I35" s="38"/>
      <c r="J35" s="38"/>
      <c r="K35" s="38"/>
      <c r="L35" s="38"/>
      <c r="M35" s="38"/>
      <c r="N35" s="38"/>
      <c r="O35" s="4">
        <f t="shared" si="4"/>
        <v>1870</v>
      </c>
      <c r="P35" s="105">
        <v>0</v>
      </c>
      <c r="Q35" s="4">
        <f t="shared" si="3"/>
        <v>1870</v>
      </c>
    </row>
    <row r="36" spans="1:17" x14ac:dyDescent="0.2">
      <c r="A36" s="394"/>
      <c r="B36" s="385"/>
      <c r="C36" s="41" t="s">
        <v>10</v>
      </c>
      <c r="D36" s="38">
        <v>0</v>
      </c>
      <c r="E36" s="38">
        <v>50000</v>
      </c>
      <c r="F36" s="40">
        <v>15644</v>
      </c>
      <c r="G36" s="38"/>
      <c r="H36" s="38"/>
      <c r="I36" s="38">
        <v>1456</v>
      </c>
      <c r="J36" s="38"/>
      <c r="K36" s="38"/>
      <c r="L36" s="38"/>
      <c r="M36" s="38"/>
      <c r="N36" s="38"/>
      <c r="O36" s="4">
        <f t="shared" si="4"/>
        <v>67100</v>
      </c>
      <c r="P36" s="105">
        <v>67100</v>
      </c>
      <c r="Q36" s="4">
        <f t="shared" si="3"/>
        <v>0</v>
      </c>
    </row>
    <row r="37" spans="1:17" x14ac:dyDescent="0.2">
      <c r="A37" s="394"/>
      <c r="B37" s="385"/>
      <c r="C37" s="39" t="s">
        <v>2</v>
      </c>
      <c r="D37" s="38">
        <v>17684057</v>
      </c>
      <c r="E37" s="38">
        <v>19318983</v>
      </c>
      <c r="F37" s="40">
        <f>-15644-1870+1253</f>
        <v>-16261</v>
      </c>
      <c r="G37" s="38"/>
      <c r="H37" s="38"/>
      <c r="I37" s="38"/>
      <c r="J37" s="38"/>
      <c r="K37" s="38"/>
      <c r="L37" s="38">
        <v>-699706</v>
      </c>
      <c r="M37" s="38"/>
      <c r="N37" s="38"/>
      <c r="O37" s="4">
        <f t="shared" si="4"/>
        <v>18603016</v>
      </c>
      <c r="P37" s="105">
        <v>8202558</v>
      </c>
      <c r="Q37" s="4">
        <f t="shared" si="3"/>
        <v>10400458</v>
      </c>
    </row>
    <row r="38" spans="1:17" x14ac:dyDescent="0.2">
      <c r="A38" s="394"/>
      <c r="B38" s="385"/>
      <c r="C38" s="39" t="s">
        <v>117</v>
      </c>
      <c r="D38" s="38">
        <v>0</v>
      </c>
      <c r="E38" s="38">
        <v>73260</v>
      </c>
      <c r="F38" s="40"/>
      <c r="G38" s="38"/>
      <c r="H38" s="38"/>
      <c r="I38" s="38"/>
      <c r="J38" s="38"/>
      <c r="K38" s="38"/>
      <c r="L38" s="38"/>
      <c r="M38" s="38"/>
      <c r="N38" s="38"/>
      <c r="O38" s="4">
        <f t="shared" si="4"/>
        <v>73260</v>
      </c>
      <c r="P38" s="105">
        <v>73260</v>
      </c>
      <c r="Q38" s="4">
        <f t="shared" si="3"/>
        <v>0</v>
      </c>
    </row>
    <row r="39" spans="1:17" x14ac:dyDescent="0.2">
      <c r="A39" s="394"/>
      <c r="B39" s="385"/>
      <c r="C39" s="41" t="s">
        <v>11</v>
      </c>
      <c r="D39" s="38">
        <v>60264</v>
      </c>
      <c r="E39" s="38">
        <v>593406</v>
      </c>
      <c r="F39" s="40"/>
      <c r="G39" s="38"/>
      <c r="H39" s="38"/>
      <c r="I39" s="38"/>
      <c r="J39" s="38"/>
      <c r="K39" s="38"/>
      <c r="L39" s="38"/>
      <c r="M39" s="38"/>
      <c r="N39" s="38"/>
      <c r="O39" s="4">
        <f t="shared" si="4"/>
        <v>593406</v>
      </c>
      <c r="P39" s="105">
        <v>86043</v>
      </c>
      <c r="Q39" s="4">
        <f t="shared" si="3"/>
        <v>507363</v>
      </c>
    </row>
    <row r="40" spans="1:17" x14ac:dyDescent="0.2">
      <c r="A40" s="394"/>
      <c r="B40" s="385"/>
      <c r="C40" s="41" t="s">
        <v>91</v>
      </c>
      <c r="D40" s="38">
        <v>0</v>
      </c>
      <c r="E40" s="38">
        <v>83000</v>
      </c>
      <c r="F40" s="40"/>
      <c r="G40" s="38"/>
      <c r="H40" s="38"/>
      <c r="I40" s="38"/>
      <c r="J40" s="38"/>
      <c r="K40" s="38"/>
      <c r="L40" s="38"/>
      <c r="M40" s="38"/>
      <c r="N40" s="38"/>
      <c r="O40" s="4">
        <f t="shared" si="4"/>
        <v>83000</v>
      </c>
      <c r="P40" s="105">
        <v>83000</v>
      </c>
      <c r="Q40" s="4">
        <f t="shared" si="3"/>
        <v>0</v>
      </c>
    </row>
    <row r="41" spans="1:17" x14ac:dyDescent="0.2">
      <c r="A41" s="394"/>
      <c r="B41" s="386"/>
      <c r="C41" s="41" t="s">
        <v>12</v>
      </c>
      <c r="D41" s="38">
        <v>0</v>
      </c>
      <c r="E41" s="38">
        <v>85219</v>
      </c>
      <c r="F41" s="40"/>
      <c r="G41" s="38"/>
      <c r="H41" s="38"/>
      <c r="I41" s="38">
        <v>-1681</v>
      </c>
      <c r="J41" s="38"/>
      <c r="K41" s="38"/>
      <c r="L41" s="38"/>
      <c r="M41" s="38"/>
      <c r="N41" s="38"/>
      <c r="O41" s="4">
        <f t="shared" si="4"/>
        <v>83538</v>
      </c>
      <c r="P41" s="105">
        <v>83538</v>
      </c>
      <c r="Q41" s="120">
        <f t="shared" si="3"/>
        <v>0</v>
      </c>
    </row>
    <row r="42" spans="1:17" x14ac:dyDescent="0.2">
      <c r="A42" s="394"/>
      <c r="B42" s="341" t="s">
        <v>4</v>
      </c>
      <c r="C42" s="41" t="s">
        <v>23</v>
      </c>
      <c r="D42" s="38">
        <v>2267</v>
      </c>
      <c r="E42" s="38">
        <v>3520</v>
      </c>
      <c r="F42" s="40">
        <v>-1253</v>
      </c>
      <c r="G42" s="38"/>
      <c r="H42" s="38"/>
      <c r="I42" s="38"/>
      <c r="J42" s="38"/>
      <c r="K42" s="38"/>
      <c r="L42" s="38"/>
      <c r="M42" s="38"/>
      <c r="N42" s="38"/>
      <c r="O42" s="4">
        <f t="shared" si="4"/>
        <v>2267</v>
      </c>
      <c r="P42" s="133">
        <v>2267</v>
      </c>
      <c r="Q42" s="120">
        <f t="shared" si="3"/>
        <v>0</v>
      </c>
    </row>
    <row r="43" spans="1:17" x14ac:dyDescent="0.2">
      <c r="A43" s="394"/>
      <c r="B43" s="383"/>
      <c r="C43" s="41" t="s">
        <v>5</v>
      </c>
      <c r="D43" s="42">
        <v>0</v>
      </c>
      <c r="E43" s="42">
        <v>0</v>
      </c>
      <c r="F43" s="45"/>
      <c r="G43" s="38"/>
      <c r="H43" s="38"/>
      <c r="I43" s="38"/>
      <c r="J43" s="38"/>
      <c r="K43" s="38"/>
      <c r="L43" s="38"/>
      <c r="M43" s="38"/>
      <c r="N43" s="38"/>
      <c r="O43" s="4">
        <f t="shared" si="4"/>
        <v>0</v>
      </c>
      <c r="P43" s="105">
        <v>0</v>
      </c>
      <c r="Q43" s="4">
        <f t="shared" si="3"/>
        <v>0</v>
      </c>
    </row>
    <row r="44" spans="1:17" x14ac:dyDescent="0.2">
      <c r="A44" s="394"/>
      <c r="B44" s="383"/>
      <c r="C44" s="39" t="s">
        <v>3</v>
      </c>
      <c r="D44" s="38">
        <v>313437148</v>
      </c>
      <c r="E44" s="38">
        <v>337741448</v>
      </c>
      <c r="F44" s="43"/>
      <c r="G44" s="38"/>
      <c r="H44" s="38">
        <v>-1253</v>
      </c>
      <c r="I44" s="38"/>
      <c r="J44" s="38"/>
      <c r="K44" s="38"/>
      <c r="L44" s="38"/>
      <c r="M44" s="38">
        <v>16016</v>
      </c>
      <c r="N44" s="38">
        <f>-4693-72752+397451-16016</f>
        <v>303990</v>
      </c>
      <c r="O44" s="4">
        <f t="shared" si="4"/>
        <v>338060201</v>
      </c>
      <c r="P44" s="105">
        <v>338060201</v>
      </c>
      <c r="Q44" s="4">
        <f t="shared" si="3"/>
        <v>0</v>
      </c>
    </row>
    <row r="45" spans="1:17" x14ac:dyDescent="0.2">
      <c r="A45" s="395"/>
      <c r="B45" s="186" t="s">
        <v>128</v>
      </c>
      <c r="C45" s="39" t="s">
        <v>12</v>
      </c>
      <c r="D45" s="38">
        <v>0</v>
      </c>
      <c r="E45" s="38">
        <v>0</v>
      </c>
      <c r="F45" s="43"/>
      <c r="G45" s="38"/>
      <c r="H45" s="38"/>
      <c r="I45" s="38"/>
      <c r="J45" s="38"/>
      <c r="K45" s="38"/>
      <c r="L45" s="38"/>
      <c r="M45" s="38"/>
      <c r="N45" s="38"/>
      <c r="O45" s="4">
        <f t="shared" si="4"/>
        <v>0</v>
      </c>
      <c r="P45" s="105">
        <v>0</v>
      </c>
      <c r="Q45" s="4">
        <f t="shared" si="3"/>
        <v>0</v>
      </c>
    </row>
    <row r="46" spans="1:17" x14ac:dyDescent="0.2">
      <c r="A46" s="339" t="s">
        <v>24</v>
      </c>
      <c r="B46" s="341" t="s">
        <v>4</v>
      </c>
      <c r="C46" s="41" t="s">
        <v>23</v>
      </c>
      <c r="D46" s="38">
        <v>7005263</v>
      </c>
      <c r="E46" s="38">
        <v>7005263</v>
      </c>
      <c r="F46" s="40"/>
      <c r="G46" s="38"/>
      <c r="H46" s="38"/>
      <c r="I46" s="38"/>
      <c r="J46" s="38"/>
      <c r="K46" s="38"/>
      <c r="L46" s="38"/>
      <c r="M46" s="38"/>
      <c r="N46" s="38"/>
      <c r="O46" s="4">
        <f t="shared" si="4"/>
        <v>7005263</v>
      </c>
      <c r="P46" s="105">
        <v>7005263</v>
      </c>
      <c r="Q46" s="4">
        <f t="shared" si="3"/>
        <v>0</v>
      </c>
    </row>
    <row r="47" spans="1:17" x14ac:dyDescent="0.2">
      <c r="A47" s="340"/>
      <c r="B47" s="342"/>
      <c r="C47" s="41" t="s">
        <v>90</v>
      </c>
      <c r="D47" s="38">
        <v>4500000</v>
      </c>
      <c r="E47" s="38">
        <v>4500000</v>
      </c>
      <c r="F47" s="40"/>
      <c r="G47" s="38"/>
      <c r="H47" s="38"/>
      <c r="I47" s="38"/>
      <c r="J47" s="38"/>
      <c r="K47" s="38"/>
      <c r="L47" s="38"/>
      <c r="M47" s="38"/>
      <c r="N47" s="38"/>
      <c r="O47" s="4">
        <f t="shared" si="4"/>
        <v>4500000</v>
      </c>
      <c r="P47" s="105">
        <v>4500000</v>
      </c>
      <c r="Q47" s="4">
        <f t="shared" si="3"/>
        <v>0</v>
      </c>
    </row>
    <row r="48" spans="1:17" x14ac:dyDescent="0.2">
      <c r="A48" s="339" t="s">
        <v>30</v>
      </c>
      <c r="B48" s="341" t="s">
        <v>4</v>
      </c>
      <c r="C48" s="41" t="s">
        <v>23</v>
      </c>
      <c r="D48" s="38">
        <v>12736500</v>
      </c>
      <c r="E48" s="38">
        <v>12676500</v>
      </c>
      <c r="F48" s="40"/>
      <c r="G48" s="38"/>
      <c r="H48" s="38"/>
      <c r="I48" s="38"/>
      <c r="J48" s="38"/>
      <c r="K48" s="38"/>
      <c r="L48" s="38"/>
      <c r="M48" s="38"/>
      <c r="N48" s="38"/>
      <c r="O48" s="4">
        <f t="shared" si="4"/>
        <v>12676500</v>
      </c>
      <c r="P48" s="105">
        <v>12676500</v>
      </c>
      <c r="Q48" s="4">
        <f t="shared" si="3"/>
        <v>0</v>
      </c>
    </row>
    <row r="49" spans="1:17" x14ac:dyDescent="0.2">
      <c r="A49" s="340"/>
      <c r="B49" s="342"/>
      <c r="C49" s="41" t="s">
        <v>5</v>
      </c>
      <c r="D49" s="38">
        <v>50000</v>
      </c>
      <c r="E49" s="38">
        <v>50000</v>
      </c>
      <c r="F49" s="40"/>
      <c r="G49" s="38"/>
      <c r="H49" s="38"/>
      <c r="I49" s="38"/>
      <c r="J49" s="38"/>
      <c r="K49" s="38"/>
      <c r="L49" s="38"/>
      <c r="M49" s="38"/>
      <c r="N49" s="38"/>
      <c r="O49" s="4">
        <f t="shared" si="4"/>
        <v>50000</v>
      </c>
      <c r="P49" s="105">
        <v>50000</v>
      </c>
      <c r="Q49" s="4">
        <f t="shared" si="3"/>
        <v>0</v>
      </c>
    </row>
    <row r="50" spans="1:17" x14ac:dyDescent="0.2">
      <c r="A50" s="339" t="s">
        <v>138</v>
      </c>
      <c r="B50" s="368" t="s">
        <v>6</v>
      </c>
      <c r="C50" s="41" t="s">
        <v>23</v>
      </c>
      <c r="D50" s="42">
        <v>0</v>
      </c>
      <c r="E50" s="42">
        <v>0</v>
      </c>
      <c r="F50" s="45"/>
      <c r="G50" s="38"/>
      <c r="H50" s="38"/>
      <c r="I50" s="38"/>
      <c r="J50" s="38"/>
      <c r="K50" s="38"/>
      <c r="L50" s="38"/>
      <c r="M50" s="38"/>
      <c r="N50" s="38"/>
      <c r="O50" s="4">
        <f t="shared" si="4"/>
        <v>0</v>
      </c>
      <c r="P50" s="105"/>
      <c r="Q50" s="4">
        <f>O50-P50</f>
        <v>0</v>
      </c>
    </row>
    <row r="51" spans="1:17" x14ac:dyDescent="0.2">
      <c r="A51" s="358"/>
      <c r="B51" s="369"/>
      <c r="C51" s="39" t="s">
        <v>5</v>
      </c>
      <c r="D51" s="38">
        <v>16258950</v>
      </c>
      <c r="E51" s="38">
        <v>16258950</v>
      </c>
      <c r="F51" s="43"/>
      <c r="G51" s="38"/>
      <c r="H51" s="38"/>
      <c r="I51" s="38"/>
      <c r="J51" s="38"/>
      <c r="K51" s="38"/>
      <c r="L51" s="38"/>
      <c r="M51" s="38"/>
      <c r="N51" s="38"/>
      <c r="O51" s="4">
        <f t="shared" si="4"/>
        <v>16258950</v>
      </c>
      <c r="P51" s="105">
        <v>16258950</v>
      </c>
      <c r="Q51" s="4">
        <f>O51-P51</f>
        <v>0</v>
      </c>
    </row>
    <row r="52" spans="1:17" x14ac:dyDescent="0.2">
      <c r="A52" s="339" t="s">
        <v>48</v>
      </c>
      <c r="B52" s="368" t="s">
        <v>8</v>
      </c>
      <c r="C52" s="39" t="s">
        <v>7</v>
      </c>
      <c r="D52" s="38">
        <v>0</v>
      </c>
      <c r="E52" s="38">
        <v>0</v>
      </c>
      <c r="F52" s="43"/>
      <c r="G52" s="38"/>
      <c r="H52" s="38"/>
      <c r="I52" s="38"/>
      <c r="J52" s="38"/>
      <c r="K52" s="38"/>
      <c r="L52" s="38"/>
      <c r="M52" s="38"/>
      <c r="N52" s="38"/>
      <c r="O52" s="4">
        <f t="shared" si="4"/>
        <v>0</v>
      </c>
      <c r="P52" s="105">
        <v>0</v>
      </c>
      <c r="Q52" s="4">
        <f t="shared" si="3"/>
        <v>0</v>
      </c>
    </row>
    <row r="53" spans="1:17" x14ac:dyDescent="0.2">
      <c r="A53" s="367"/>
      <c r="B53" s="369"/>
      <c r="C53" s="39" t="s">
        <v>9</v>
      </c>
      <c r="D53" s="38">
        <v>0</v>
      </c>
      <c r="E53" s="38">
        <v>0</v>
      </c>
      <c r="F53" s="43"/>
      <c r="G53" s="38"/>
      <c r="H53" s="38"/>
      <c r="I53" s="38"/>
      <c r="J53" s="38"/>
      <c r="K53" s="38"/>
      <c r="L53" s="38"/>
      <c r="M53" s="38"/>
      <c r="N53" s="38"/>
      <c r="O53" s="4">
        <f t="shared" si="4"/>
        <v>0</v>
      </c>
      <c r="P53" s="105">
        <v>0</v>
      </c>
      <c r="Q53" s="4">
        <f t="shared" si="3"/>
        <v>0</v>
      </c>
    </row>
    <row r="54" spans="1:17" x14ac:dyDescent="0.2">
      <c r="A54" s="367"/>
      <c r="B54" s="369"/>
      <c r="C54" s="39" t="s">
        <v>10</v>
      </c>
      <c r="D54" s="38">
        <v>0</v>
      </c>
      <c r="E54" s="38">
        <v>0</v>
      </c>
      <c r="F54" s="40"/>
      <c r="G54" s="38"/>
      <c r="H54" s="38"/>
      <c r="I54" s="38"/>
      <c r="J54" s="38"/>
      <c r="K54" s="38"/>
      <c r="L54" s="38"/>
      <c r="M54" s="38"/>
      <c r="N54" s="38"/>
      <c r="O54" s="4">
        <f t="shared" si="4"/>
        <v>0</v>
      </c>
      <c r="P54" s="105">
        <v>0</v>
      </c>
      <c r="Q54" s="4">
        <f t="shared" si="3"/>
        <v>0</v>
      </c>
    </row>
    <row r="55" spans="1:17" x14ac:dyDescent="0.2">
      <c r="A55" s="367"/>
      <c r="B55" s="369"/>
      <c r="C55" s="39" t="s">
        <v>2</v>
      </c>
      <c r="D55" s="38">
        <v>199713</v>
      </c>
      <c r="E55" s="38">
        <v>99713</v>
      </c>
      <c r="F55" s="43"/>
      <c r="G55" s="38"/>
      <c r="H55" s="38"/>
      <c r="I55" s="38"/>
      <c r="J55" s="38"/>
      <c r="K55" s="38"/>
      <c r="L55" s="38"/>
      <c r="M55" s="38"/>
      <c r="N55" s="38"/>
      <c r="O55" s="4">
        <f t="shared" si="4"/>
        <v>99713</v>
      </c>
      <c r="P55" s="105">
        <v>500</v>
      </c>
      <c r="Q55" s="4">
        <f t="shared" si="3"/>
        <v>99213</v>
      </c>
    </row>
    <row r="56" spans="1:17" x14ac:dyDescent="0.2">
      <c r="A56" s="367"/>
      <c r="B56" s="369"/>
      <c r="C56" s="39" t="s">
        <v>11</v>
      </c>
      <c r="D56" s="38">
        <v>0</v>
      </c>
      <c r="E56" s="38">
        <v>0</v>
      </c>
      <c r="F56" s="40"/>
      <c r="G56" s="38"/>
      <c r="H56" s="38"/>
      <c r="I56" s="38"/>
      <c r="J56" s="38"/>
      <c r="K56" s="38"/>
      <c r="L56" s="38"/>
      <c r="M56" s="38"/>
      <c r="N56" s="38"/>
      <c r="O56" s="4">
        <f t="shared" si="4"/>
        <v>0</v>
      </c>
      <c r="P56" s="105">
        <v>0</v>
      </c>
      <c r="Q56" s="4">
        <f t="shared" si="3"/>
        <v>0</v>
      </c>
    </row>
    <row r="57" spans="1:17" x14ac:dyDescent="0.2">
      <c r="A57" s="367"/>
      <c r="B57" s="369"/>
      <c r="C57" s="39" t="s">
        <v>12</v>
      </c>
      <c r="D57" s="38">
        <v>0</v>
      </c>
      <c r="E57" s="38">
        <v>100000</v>
      </c>
      <c r="F57" s="43"/>
      <c r="G57" s="38"/>
      <c r="H57" s="38"/>
      <c r="I57" s="38"/>
      <c r="J57" s="38"/>
      <c r="K57" s="38"/>
      <c r="L57" s="38"/>
      <c r="M57" s="38"/>
      <c r="N57" s="38"/>
      <c r="O57" s="4">
        <f t="shared" si="4"/>
        <v>100000</v>
      </c>
      <c r="P57" s="105">
        <v>100000</v>
      </c>
      <c r="Q57" s="4">
        <f t="shared" si="3"/>
        <v>0</v>
      </c>
    </row>
    <row r="58" spans="1:17" x14ac:dyDescent="0.2">
      <c r="A58" s="367"/>
      <c r="B58" s="369"/>
      <c r="C58" s="41" t="s">
        <v>31</v>
      </c>
      <c r="D58" s="38">
        <v>0</v>
      </c>
      <c r="E58" s="38">
        <v>0</v>
      </c>
      <c r="F58" s="43"/>
      <c r="G58" s="38"/>
      <c r="H58" s="38"/>
      <c r="I58" s="38"/>
      <c r="J58" s="38"/>
      <c r="K58" s="38"/>
      <c r="L58" s="38"/>
      <c r="M58" s="38"/>
      <c r="N58" s="38"/>
      <c r="O58" s="4">
        <f t="shared" si="4"/>
        <v>0</v>
      </c>
      <c r="P58" s="105">
        <v>0</v>
      </c>
      <c r="Q58" s="4">
        <f t="shared" si="3"/>
        <v>0</v>
      </c>
    </row>
    <row r="59" spans="1:17" x14ac:dyDescent="0.2">
      <c r="A59" s="367"/>
      <c r="B59" s="369"/>
      <c r="C59" s="41" t="s">
        <v>32</v>
      </c>
      <c r="D59" s="38">
        <v>0</v>
      </c>
      <c r="E59" s="38">
        <v>0</v>
      </c>
      <c r="F59" s="43"/>
      <c r="G59" s="38"/>
      <c r="H59" s="38"/>
      <c r="I59" s="38"/>
      <c r="J59" s="38"/>
      <c r="K59" s="38"/>
      <c r="L59" s="38"/>
      <c r="M59" s="38"/>
      <c r="N59" s="38"/>
      <c r="O59" s="4">
        <f t="shared" si="4"/>
        <v>0</v>
      </c>
      <c r="P59" s="105">
        <v>0</v>
      </c>
      <c r="Q59" s="4">
        <f t="shared" si="3"/>
        <v>0</v>
      </c>
    </row>
    <row r="60" spans="1:17" x14ac:dyDescent="0.2">
      <c r="A60" s="367"/>
      <c r="B60" s="369"/>
      <c r="C60" s="39" t="s">
        <v>13</v>
      </c>
      <c r="D60" s="38">
        <v>0</v>
      </c>
      <c r="E60" s="38">
        <v>0</v>
      </c>
      <c r="F60" s="43"/>
      <c r="G60" s="38"/>
      <c r="H60" s="38"/>
      <c r="I60" s="38"/>
      <c r="J60" s="38"/>
      <c r="K60" s="38"/>
      <c r="L60" s="38"/>
      <c r="M60" s="38"/>
      <c r="N60" s="38"/>
      <c r="O60" s="4">
        <f t="shared" si="4"/>
        <v>0</v>
      </c>
      <c r="P60" s="105">
        <v>0</v>
      </c>
      <c r="Q60" s="4">
        <f t="shared" si="3"/>
        <v>0</v>
      </c>
    </row>
    <row r="61" spans="1:17" x14ac:dyDescent="0.2">
      <c r="A61" s="367"/>
      <c r="B61" s="369"/>
      <c r="C61" s="39" t="s">
        <v>14</v>
      </c>
      <c r="D61" s="38">
        <v>0</v>
      </c>
      <c r="E61" s="38">
        <v>0</v>
      </c>
      <c r="F61" s="43"/>
      <c r="G61" s="38"/>
      <c r="H61" s="38"/>
      <c r="I61" s="38"/>
      <c r="J61" s="38"/>
      <c r="K61" s="38"/>
      <c r="L61" s="38"/>
      <c r="M61" s="38"/>
      <c r="N61" s="38"/>
      <c r="O61" s="4">
        <f t="shared" si="4"/>
        <v>0</v>
      </c>
      <c r="P61" s="105">
        <v>0</v>
      </c>
      <c r="Q61" s="4">
        <f t="shared" si="3"/>
        <v>0</v>
      </c>
    </row>
    <row r="62" spans="1:17" x14ac:dyDescent="0.2">
      <c r="A62" s="367"/>
      <c r="B62" s="369"/>
      <c r="C62" s="39" t="s">
        <v>15</v>
      </c>
      <c r="D62" s="38">
        <v>0</v>
      </c>
      <c r="E62" s="38">
        <v>0</v>
      </c>
      <c r="F62" s="43"/>
      <c r="G62" s="38"/>
      <c r="H62" s="38"/>
      <c r="I62" s="38"/>
      <c r="J62" s="38"/>
      <c r="K62" s="38"/>
      <c r="L62" s="38"/>
      <c r="M62" s="38"/>
      <c r="N62" s="38"/>
      <c r="O62" s="4">
        <f t="shared" si="4"/>
        <v>0</v>
      </c>
      <c r="P62" s="105">
        <v>0</v>
      </c>
      <c r="Q62" s="4">
        <f t="shared" si="3"/>
        <v>0</v>
      </c>
    </row>
    <row r="63" spans="1:17" x14ac:dyDescent="0.2">
      <c r="A63" s="367"/>
      <c r="B63" s="369"/>
      <c r="C63" s="39" t="s">
        <v>16</v>
      </c>
      <c r="D63" s="38">
        <v>0</v>
      </c>
      <c r="E63" s="38">
        <v>0</v>
      </c>
      <c r="F63" s="43"/>
      <c r="G63" s="38"/>
      <c r="H63" s="38"/>
      <c r="I63" s="38"/>
      <c r="J63" s="38"/>
      <c r="K63" s="38"/>
      <c r="L63" s="38"/>
      <c r="M63" s="38"/>
      <c r="N63" s="38"/>
      <c r="O63" s="4">
        <f t="shared" si="4"/>
        <v>0</v>
      </c>
      <c r="P63" s="105">
        <v>0</v>
      </c>
      <c r="Q63" s="4">
        <f t="shared" si="3"/>
        <v>0</v>
      </c>
    </row>
    <row r="64" spans="1:17" x14ac:dyDescent="0.2">
      <c r="A64" s="339" t="s">
        <v>49</v>
      </c>
      <c r="B64" s="186" t="s">
        <v>1</v>
      </c>
      <c r="C64" s="39" t="s">
        <v>2</v>
      </c>
      <c r="D64" s="39">
        <v>0</v>
      </c>
      <c r="E64" s="38">
        <v>8</v>
      </c>
      <c r="F64" s="43">
        <v>-8</v>
      </c>
      <c r="G64" s="38"/>
      <c r="H64" s="38"/>
      <c r="I64" s="38"/>
      <c r="J64" s="38"/>
      <c r="K64" s="38"/>
      <c r="L64" s="38"/>
      <c r="M64" s="38"/>
      <c r="N64" s="38"/>
      <c r="O64" s="4">
        <f t="shared" si="4"/>
        <v>0</v>
      </c>
      <c r="P64" s="105">
        <v>0</v>
      </c>
      <c r="Q64" s="4">
        <f t="shared" si="3"/>
        <v>0</v>
      </c>
    </row>
    <row r="65" spans="1:17" ht="12.75" customHeight="1" x14ac:dyDescent="0.2">
      <c r="A65" s="367"/>
      <c r="B65" s="392" t="s">
        <v>17</v>
      </c>
      <c r="C65" s="39" t="s">
        <v>7</v>
      </c>
      <c r="D65" s="38">
        <v>970000</v>
      </c>
      <c r="E65" s="38">
        <v>970000</v>
      </c>
      <c r="F65" s="40"/>
      <c r="G65" s="38">
        <v>-130000</v>
      </c>
      <c r="H65" s="38"/>
      <c r="I65" s="38"/>
      <c r="J65" s="38"/>
      <c r="K65" s="38"/>
      <c r="L65" s="38"/>
      <c r="M65" s="38"/>
      <c r="N65" s="38"/>
      <c r="O65" s="4">
        <f t="shared" si="4"/>
        <v>840000</v>
      </c>
      <c r="P65" s="105">
        <v>840000</v>
      </c>
      <c r="Q65" s="4">
        <f t="shared" si="3"/>
        <v>0</v>
      </c>
    </row>
    <row r="66" spans="1:17" x14ac:dyDescent="0.2">
      <c r="A66" s="367"/>
      <c r="B66" s="392"/>
      <c r="C66" s="41" t="s">
        <v>88</v>
      </c>
      <c r="D66" s="38">
        <v>10791000</v>
      </c>
      <c r="E66" s="38">
        <v>10791000</v>
      </c>
      <c r="F66" s="40"/>
      <c r="G66" s="38">
        <v>-5896000</v>
      </c>
      <c r="H66" s="38"/>
      <c r="I66" s="38"/>
      <c r="J66" s="38"/>
      <c r="K66" s="38"/>
      <c r="L66" s="38"/>
      <c r="M66" s="38"/>
      <c r="N66" s="38"/>
      <c r="O66" s="4">
        <f t="shared" si="4"/>
        <v>4895000</v>
      </c>
      <c r="P66" s="105">
        <v>1057000</v>
      </c>
      <c r="Q66" s="4">
        <f t="shared" si="3"/>
        <v>3838000</v>
      </c>
    </row>
    <row r="67" spans="1:17" x14ac:dyDescent="0.2">
      <c r="A67" s="367"/>
      <c r="B67" s="392"/>
      <c r="C67" s="39" t="s">
        <v>9</v>
      </c>
      <c r="D67" s="38">
        <v>3112282</v>
      </c>
      <c r="E67" s="38">
        <v>3112282</v>
      </c>
      <c r="F67" s="40"/>
      <c r="G67" s="38">
        <v>-43400</v>
      </c>
      <c r="H67" s="38"/>
      <c r="I67" s="38"/>
      <c r="J67" s="38"/>
      <c r="K67" s="38"/>
      <c r="L67" s="38"/>
      <c r="M67" s="38"/>
      <c r="N67" s="38"/>
      <c r="O67" s="4">
        <f t="shared" si="4"/>
        <v>3068882</v>
      </c>
      <c r="P67" s="105">
        <v>156800</v>
      </c>
      <c r="Q67" s="4">
        <f t="shared" si="3"/>
        <v>2912082</v>
      </c>
    </row>
    <row r="68" spans="1:17" x14ac:dyDescent="0.2">
      <c r="A68" s="367"/>
      <c r="B68" s="392"/>
      <c r="C68" s="41" t="s">
        <v>22</v>
      </c>
      <c r="D68" s="38">
        <v>230000</v>
      </c>
      <c r="E68" s="38">
        <v>230000</v>
      </c>
      <c r="F68" s="40"/>
      <c r="G68" s="38">
        <v>-230000</v>
      </c>
      <c r="H68" s="38"/>
      <c r="I68" s="38"/>
      <c r="J68" s="38"/>
      <c r="K68" s="38"/>
      <c r="L68" s="38"/>
      <c r="M68" s="38"/>
      <c r="N68" s="38"/>
      <c r="O68" s="4">
        <f t="shared" si="4"/>
        <v>0</v>
      </c>
      <c r="P68" s="105">
        <v>0</v>
      </c>
      <c r="Q68" s="4">
        <f t="shared" si="3"/>
        <v>0</v>
      </c>
    </row>
    <row r="69" spans="1:17" x14ac:dyDescent="0.2">
      <c r="A69" s="367"/>
      <c r="B69" s="392"/>
      <c r="C69" s="41" t="s">
        <v>33</v>
      </c>
      <c r="D69" s="38">
        <v>72000</v>
      </c>
      <c r="E69" s="38">
        <v>72000</v>
      </c>
      <c r="F69" s="40"/>
      <c r="G69" s="38">
        <v>-72000</v>
      </c>
      <c r="H69" s="38"/>
      <c r="I69" s="38"/>
      <c r="J69" s="38"/>
      <c r="K69" s="38"/>
      <c r="L69" s="38"/>
      <c r="M69" s="38"/>
      <c r="N69" s="38"/>
      <c r="O69" s="4">
        <f t="shared" si="4"/>
        <v>0</v>
      </c>
      <c r="P69" s="105">
        <v>0</v>
      </c>
      <c r="Q69" s="4">
        <f t="shared" si="3"/>
        <v>0</v>
      </c>
    </row>
    <row r="70" spans="1:17" x14ac:dyDescent="0.2">
      <c r="A70" s="367"/>
      <c r="B70" s="392"/>
      <c r="C70" s="41" t="s">
        <v>34</v>
      </c>
      <c r="D70" s="38">
        <v>230000</v>
      </c>
      <c r="E70" s="38">
        <v>230000</v>
      </c>
      <c r="F70" s="40"/>
      <c r="G70" s="38">
        <v>0</v>
      </c>
      <c r="H70" s="38"/>
      <c r="I70" s="38"/>
      <c r="J70" s="38"/>
      <c r="K70" s="38"/>
      <c r="L70" s="38"/>
      <c r="M70" s="38"/>
      <c r="N70" s="38"/>
      <c r="O70" s="4">
        <f t="shared" si="4"/>
        <v>230000</v>
      </c>
      <c r="P70" s="105">
        <v>0</v>
      </c>
      <c r="Q70" s="4">
        <f t="shared" si="3"/>
        <v>230000</v>
      </c>
    </row>
    <row r="71" spans="1:17" x14ac:dyDescent="0.2">
      <c r="A71" s="367"/>
      <c r="B71" s="392"/>
      <c r="C71" s="41" t="s">
        <v>10</v>
      </c>
      <c r="D71" s="38">
        <v>8009100</v>
      </c>
      <c r="E71" s="38">
        <v>8009100</v>
      </c>
      <c r="F71" s="40"/>
      <c r="G71" s="38">
        <v>-3079100</v>
      </c>
      <c r="H71" s="38"/>
      <c r="I71" s="38"/>
      <c r="J71" s="38"/>
      <c r="K71" s="38"/>
      <c r="L71" s="38"/>
      <c r="M71" s="38"/>
      <c r="N71" s="38"/>
      <c r="O71" s="4">
        <f t="shared" si="4"/>
        <v>4930000</v>
      </c>
      <c r="P71" s="105">
        <v>750000</v>
      </c>
      <c r="Q71" s="4">
        <f t="shared" si="3"/>
        <v>4180000</v>
      </c>
    </row>
    <row r="72" spans="1:17" x14ac:dyDescent="0.2">
      <c r="A72" s="367"/>
      <c r="B72" s="392"/>
      <c r="C72" s="41" t="s">
        <v>2</v>
      </c>
      <c r="D72" s="38">
        <v>14000000</v>
      </c>
      <c r="E72" s="38">
        <v>13999992</v>
      </c>
      <c r="F72" s="40">
        <v>8</v>
      </c>
      <c r="G72" s="38">
        <v>-2309292</v>
      </c>
      <c r="H72" s="38"/>
      <c r="I72" s="38"/>
      <c r="J72" s="38"/>
      <c r="K72" s="38"/>
      <c r="L72" s="38"/>
      <c r="M72" s="38"/>
      <c r="N72" s="38"/>
      <c r="O72" s="4">
        <f t="shared" si="4"/>
        <v>11690708</v>
      </c>
      <c r="P72" s="105">
        <v>7173608</v>
      </c>
      <c r="Q72" s="4">
        <f t="shared" si="3"/>
        <v>4517100</v>
      </c>
    </row>
    <row r="73" spans="1:17" x14ac:dyDescent="0.2">
      <c r="A73" s="367"/>
      <c r="B73" s="392"/>
      <c r="C73" s="41" t="s">
        <v>35</v>
      </c>
      <c r="D73" s="38">
        <v>292100</v>
      </c>
      <c r="E73" s="38">
        <v>292100</v>
      </c>
      <c r="F73" s="40"/>
      <c r="G73" s="38">
        <v>-265954</v>
      </c>
      <c r="H73" s="38"/>
      <c r="I73" s="38"/>
      <c r="J73" s="38"/>
      <c r="K73" s="38"/>
      <c r="L73" s="38"/>
      <c r="M73" s="38"/>
      <c r="N73" s="38"/>
      <c r="O73" s="4">
        <f t="shared" si="4"/>
        <v>26146</v>
      </c>
      <c r="P73" s="105">
        <v>0</v>
      </c>
      <c r="Q73" s="4">
        <f t="shared" si="3"/>
        <v>26146</v>
      </c>
    </row>
    <row r="74" spans="1:17" x14ac:dyDescent="0.2">
      <c r="A74" s="367"/>
      <c r="B74" s="392"/>
      <c r="C74" s="41" t="s">
        <v>11</v>
      </c>
      <c r="D74" s="38">
        <v>5127921</v>
      </c>
      <c r="E74" s="38">
        <v>5127921</v>
      </c>
      <c r="F74" s="40"/>
      <c r="G74" s="38"/>
      <c r="H74" s="38"/>
      <c r="I74" s="38"/>
      <c r="J74" s="38"/>
      <c r="K74" s="38"/>
      <c r="L74" s="38"/>
      <c r="M74" s="38"/>
      <c r="N74" s="38"/>
      <c r="O74" s="4">
        <f t="shared" si="4"/>
        <v>5127921</v>
      </c>
      <c r="P74" s="105">
        <v>1936872</v>
      </c>
      <c r="Q74" s="4">
        <f t="shared" si="3"/>
        <v>3191049</v>
      </c>
    </row>
    <row r="75" spans="1:17" x14ac:dyDescent="0.2">
      <c r="A75" s="367"/>
      <c r="B75" s="392"/>
      <c r="C75" s="41" t="s">
        <v>12</v>
      </c>
      <c r="D75" s="38">
        <v>229492</v>
      </c>
      <c r="E75" s="38">
        <v>229492</v>
      </c>
      <c r="F75" s="40"/>
      <c r="G75" s="38"/>
      <c r="H75" s="38"/>
      <c r="I75" s="38"/>
      <c r="J75" s="38"/>
      <c r="K75" s="38"/>
      <c r="L75" s="38"/>
      <c r="M75" s="38"/>
      <c r="N75" s="38"/>
      <c r="O75" s="4">
        <f t="shared" si="4"/>
        <v>229492</v>
      </c>
      <c r="P75" s="105">
        <v>0</v>
      </c>
      <c r="Q75" s="4">
        <f t="shared" si="3"/>
        <v>229492</v>
      </c>
    </row>
    <row r="76" spans="1:17" x14ac:dyDescent="0.2">
      <c r="A76" s="367"/>
      <c r="B76" s="392"/>
      <c r="C76" s="41" t="s">
        <v>36</v>
      </c>
      <c r="D76" s="38">
        <v>0</v>
      </c>
      <c r="E76" s="38">
        <v>0</v>
      </c>
      <c r="F76" s="40"/>
      <c r="G76" s="38"/>
      <c r="H76" s="38"/>
      <c r="I76" s="38"/>
      <c r="J76" s="38"/>
      <c r="K76" s="38"/>
      <c r="L76" s="38"/>
      <c r="M76" s="38"/>
      <c r="N76" s="38"/>
      <c r="O76" s="4">
        <f t="shared" si="4"/>
        <v>0</v>
      </c>
      <c r="P76" s="105">
        <v>0</v>
      </c>
      <c r="Q76" s="4">
        <f t="shared" si="3"/>
        <v>0</v>
      </c>
    </row>
    <row r="77" spans="1:17" x14ac:dyDescent="0.2">
      <c r="A77" s="367"/>
      <c r="B77" s="392"/>
      <c r="C77" s="41" t="s">
        <v>31</v>
      </c>
      <c r="D77" s="38">
        <v>388897</v>
      </c>
      <c r="E77" s="38">
        <v>704400</v>
      </c>
      <c r="F77" s="40"/>
      <c r="G77" s="38"/>
      <c r="H77" s="38"/>
      <c r="I77" s="38"/>
      <c r="J77" s="38"/>
      <c r="K77" s="38"/>
      <c r="L77" s="38"/>
      <c r="M77" s="38"/>
      <c r="N77" s="38"/>
      <c r="O77" s="4">
        <f t="shared" si="4"/>
        <v>704400</v>
      </c>
      <c r="P77" s="105">
        <v>704400</v>
      </c>
      <c r="Q77" s="4">
        <f t="shared" si="3"/>
        <v>0</v>
      </c>
    </row>
    <row r="78" spans="1:17" x14ac:dyDescent="0.2">
      <c r="A78" s="367"/>
      <c r="B78" s="392"/>
      <c r="C78" s="41" t="s">
        <v>32</v>
      </c>
      <c r="D78" s="38">
        <v>0</v>
      </c>
      <c r="E78" s="38">
        <v>1818096</v>
      </c>
      <c r="F78" s="40"/>
      <c r="G78" s="38"/>
      <c r="H78" s="38"/>
      <c r="I78" s="38"/>
      <c r="J78" s="38"/>
      <c r="K78" s="38"/>
      <c r="L78" s="38"/>
      <c r="M78" s="38"/>
      <c r="N78" s="38"/>
      <c r="O78" s="4">
        <f t="shared" si="4"/>
        <v>1818096</v>
      </c>
      <c r="P78" s="105">
        <v>1818096</v>
      </c>
      <c r="Q78" s="4">
        <f t="shared" si="3"/>
        <v>0</v>
      </c>
    </row>
    <row r="79" spans="1:17" x14ac:dyDescent="0.2">
      <c r="A79" s="367"/>
      <c r="B79" s="392"/>
      <c r="C79" s="41" t="s">
        <v>13</v>
      </c>
      <c r="D79" s="38">
        <v>4296741</v>
      </c>
      <c r="E79" s="38">
        <v>2678560</v>
      </c>
      <c r="F79" s="40"/>
      <c r="G79" s="38"/>
      <c r="H79" s="38"/>
      <c r="I79" s="38"/>
      <c r="J79" s="38"/>
      <c r="K79" s="38"/>
      <c r="L79" s="38"/>
      <c r="M79" s="38"/>
      <c r="N79" s="38"/>
      <c r="O79" s="4">
        <f t="shared" si="4"/>
        <v>2678560</v>
      </c>
      <c r="P79" s="105">
        <v>2568661</v>
      </c>
      <c r="Q79" s="4">
        <f t="shared" si="3"/>
        <v>109899</v>
      </c>
    </row>
    <row r="80" spans="1:17" x14ac:dyDescent="0.2">
      <c r="A80" s="367"/>
      <c r="B80" s="392"/>
      <c r="C80" s="41" t="s">
        <v>14</v>
      </c>
      <c r="D80" s="38">
        <v>1265122</v>
      </c>
      <c r="E80" s="38">
        <v>1404285</v>
      </c>
      <c r="F80" s="40"/>
      <c r="G80" s="38"/>
      <c r="H80" s="38"/>
      <c r="I80" s="38"/>
      <c r="J80" s="38"/>
      <c r="K80" s="38"/>
      <c r="L80" s="38"/>
      <c r="M80" s="38"/>
      <c r="N80" s="38"/>
      <c r="O80" s="4">
        <f t="shared" si="4"/>
        <v>1404285</v>
      </c>
      <c r="P80" s="105">
        <v>1374613</v>
      </c>
      <c r="Q80" s="4">
        <f t="shared" si="3"/>
        <v>29672</v>
      </c>
    </row>
    <row r="81" spans="1:18" x14ac:dyDescent="0.2">
      <c r="A81" s="367"/>
      <c r="B81" s="392"/>
      <c r="C81" s="41" t="s">
        <v>15</v>
      </c>
      <c r="D81" s="38">
        <v>4121943</v>
      </c>
      <c r="E81" s="38">
        <v>4121943</v>
      </c>
      <c r="F81" s="40"/>
      <c r="G81" s="38"/>
      <c r="H81" s="38"/>
      <c r="I81" s="38"/>
      <c r="J81" s="38"/>
      <c r="K81" s="38"/>
      <c r="L81" s="38"/>
      <c r="M81" s="38"/>
      <c r="N81" s="38"/>
      <c r="O81" s="4">
        <f t="shared" si="4"/>
        <v>4121943</v>
      </c>
      <c r="P81" s="105">
        <v>2828729</v>
      </c>
      <c r="Q81" s="4">
        <f t="shared" si="3"/>
        <v>1293214</v>
      </c>
    </row>
    <row r="82" spans="1:18" x14ac:dyDescent="0.2">
      <c r="A82" s="340"/>
      <c r="B82" s="392"/>
      <c r="C82" s="41" t="s">
        <v>16</v>
      </c>
      <c r="D82" s="38">
        <v>1112924</v>
      </c>
      <c r="E82" s="38">
        <v>1112924</v>
      </c>
      <c r="F82" s="40"/>
      <c r="G82" s="38"/>
      <c r="H82" s="38"/>
      <c r="I82" s="38"/>
      <c r="J82" s="38"/>
      <c r="K82" s="38"/>
      <c r="L82" s="38"/>
      <c r="M82" s="38"/>
      <c r="N82" s="38"/>
      <c r="O82" s="4">
        <f t="shared" si="4"/>
        <v>1112924</v>
      </c>
      <c r="P82" s="105">
        <v>493942</v>
      </c>
      <c r="Q82" s="4">
        <f t="shared" si="3"/>
        <v>618982</v>
      </c>
    </row>
    <row r="83" spans="1:18" ht="16.5" customHeight="1" x14ac:dyDescent="0.2">
      <c r="A83" s="476" t="s">
        <v>127</v>
      </c>
      <c r="B83" s="470" t="s">
        <v>128</v>
      </c>
      <c r="C83" s="131" t="s">
        <v>7</v>
      </c>
      <c r="D83" s="42">
        <v>0</v>
      </c>
      <c r="E83" s="42">
        <v>3164484</v>
      </c>
      <c r="F83" s="43"/>
      <c r="G83" s="38"/>
      <c r="H83" s="38"/>
      <c r="I83" s="38"/>
      <c r="J83" s="38">
        <v>2068329</v>
      </c>
      <c r="K83" s="38"/>
      <c r="L83" s="38"/>
      <c r="M83" s="38"/>
      <c r="N83" s="38"/>
      <c r="O83" s="4">
        <f t="shared" si="4"/>
        <v>5232813</v>
      </c>
      <c r="P83" s="105">
        <v>3164484</v>
      </c>
      <c r="Q83" s="4">
        <f t="shared" si="3"/>
        <v>2068329</v>
      </c>
    </row>
    <row r="84" spans="1:18" x14ac:dyDescent="0.2">
      <c r="A84" s="477"/>
      <c r="B84" s="475"/>
      <c r="C84" s="131" t="s">
        <v>9</v>
      </c>
      <c r="D84" s="42">
        <v>0</v>
      </c>
      <c r="E84" s="42">
        <v>553783</v>
      </c>
      <c r="F84" s="43"/>
      <c r="G84" s="38"/>
      <c r="H84" s="38"/>
      <c r="I84" s="38"/>
      <c r="J84" s="38">
        <v>361955</v>
      </c>
      <c r="K84" s="38"/>
      <c r="L84" s="38"/>
      <c r="M84" s="38"/>
      <c r="N84" s="38"/>
      <c r="O84" s="4">
        <f t="shared" si="4"/>
        <v>915738</v>
      </c>
      <c r="P84" s="105">
        <v>553782</v>
      </c>
      <c r="Q84" s="4">
        <f t="shared" si="3"/>
        <v>361956</v>
      </c>
    </row>
    <row r="85" spans="1:18" x14ac:dyDescent="0.2">
      <c r="A85" s="477"/>
      <c r="B85" s="475"/>
      <c r="C85" s="131" t="s">
        <v>22</v>
      </c>
      <c r="D85" s="42">
        <v>0</v>
      </c>
      <c r="E85" s="42">
        <v>2406466</v>
      </c>
      <c r="F85" s="43"/>
      <c r="G85" s="38"/>
      <c r="H85" s="38"/>
      <c r="I85" s="38"/>
      <c r="J85" s="38"/>
      <c r="K85" s="38"/>
      <c r="L85" s="38"/>
      <c r="M85" s="38"/>
      <c r="N85" s="38"/>
      <c r="O85" s="4">
        <f t="shared" si="4"/>
        <v>2406466</v>
      </c>
      <c r="P85" s="105">
        <v>2406466</v>
      </c>
      <c r="Q85" s="4">
        <f t="shared" si="3"/>
        <v>0</v>
      </c>
      <c r="R85" s="166"/>
    </row>
    <row r="86" spans="1:18" x14ac:dyDescent="0.2">
      <c r="A86" s="477"/>
      <c r="B86" s="475"/>
      <c r="C86" s="131" t="s">
        <v>33</v>
      </c>
      <c r="D86" s="42">
        <v>0</v>
      </c>
      <c r="E86" s="42">
        <v>27244</v>
      </c>
      <c r="F86" s="43"/>
      <c r="G86" s="38"/>
      <c r="H86" s="38"/>
      <c r="I86" s="38"/>
      <c r="J86" s="38"/>
      <c r="K86" s="38"/>
      <c r="L86" s="38"/>
      <c r="M86" s="38"/>
      <c r="N86" s="38"/>
      <c r="O86" s="4">
        <f t="shared" si="4"/>
        <v>27244</v>
      </c>
      <c r="P86" s="105">
        <v>27244</v>
      </c>
      <c r="Q86" s="4">
        <f t="shared" si="3"/>
        <v>0</v>
      </c>
      <c r="R86" s="166"/>
    </row>
    <row r="87" spans="1:18" x14ac:dyDescent="0.2">
      <c r="A87" s="477"/>
      <c r="B87" s="475"/>
      <c r="C87" s="131" t="s">
        <v>34</v>
      </c>
      <c r="D87" s="42">
        <v>0</v>
      </c>
      <c r="E87" s="42">
        <v>540157</v>
      </c>
      <c r="F87" s="43"/>
      <c r="G87" s="38"/>
      <c r="H87" s="38"/>
      <c r="I87" s="38"/>
      <c r="J87" s="38">
        <v>1620473</v>
      </c>
      <c r="K87" s="38"/>
      <c r="L87" s="38"/>
      <c r="M87" s="38"/>
      <c r="N87" s="38"/>
      <c r="O87" s="4">
        <f t="shared" si="4"/>
        <v>2160630</v>
      </c>
      <c r="P87" s="105">
        <v>0</v>
      </c>
      <c r="Q87" s="4">
        <f t="shared" si="3"/>
        <v>2160630</v>
      </c>
      <c r="R87" s="166"/>
    </row>
    <row r="88" spans="1:18" x14ac:dyDescent="0.2">
      <c r="A88" s="477"/>
      <c r="B88" s="475"/>
      <c r="C88" s="131" t="s">
        <v>10</v>
      </c>
      <c r="D88" s="42">
        <v>0</v>
      </c>
      <c r="E88" s="42">
        <v>846181</v>
      </c>
      <c r="F88" s="43"/>
      <c r="G88" s="38"/>
      <c r="H88" s="38"/>
      <c r="I88" s="38"/>
      <c r="J88" s="38"/>
      <c r="K88" s="38"/>
      <c r="L88" s="38"/>
      <c r="M88" s="38"/>
      <c r="N88" s="38"/>
      <c r="O88" s="4">
        <f t="shared" si="4"/>
        <v>846181</v>
      </c>
      <c r="P88" s="105">
        <v>275590</v>
      </c>
      <c r="Q88" s="4">
        <f t="shared" si="3"/>
        <v>570591</v>
      </c>
      <c r="R88" s="166"/>
    </row>
    <row r="89" spans="1:18" x14ac:dyDescent="0.2">
      <c r="A89" s="477"/>
      <c r="B89" s="475"/>
      <c r="C89" s="131" t="s">
        <v>2</v>
      </c>
      <c r="D89" s="42">
        <v>0</v>
      </c>
      <c r="E89" s="42">
        <v>3987559</v>
      </c>
      <c r="F89" s="43"/>
      <c r="G89" s="38"/>
      <c r="H89" s="38"/>
      <c r="I89" s="38"/>
      <c r="J89" s="38">
        <v>1640076</v>
      </c>
      <c r="K89" s="38"/>
      <c r="L89" s="38"/>
      <c r="M89" s="38"/>
      <c r="N89" s="38"/>
      <c r="O89" s="4">
        <f t="shared" si="4"/>
        <v>5627635</v>
      </c>
      <c r="P89" s="105">
        <v>3287559</v>
      </c>
      <c r="Q89" s="4">
        <f t="shared" si="3"/>
        <v>2340076</v>
      </c>
      <c r="R89" s="166"/>
    </row>
    <row r="90" spans="1:18" x14ac:dyDescent="0.2">
      <c r="A90" s="477"/>
      <c r="B90" s="475"/>
      <c r="C90" s="131" t="s">
        <v>117</v>
      </c>
      <c r="D90" s="42">
        <v>0</v>
      </c>
      <c r="E90" s="42">
        <v>354000</v>
      </c>
      <c r="F90" s="43"/>
      <c r="G90" s="38"/>
      <c r="H90" s="38"/>
      <c r="I90" s="38"/>
      <c r="J90" s="38"/>
      <c r="K90" s="38"/>
      <c r="L90" s="38"/>
      <c r="M90" s="38"/>
      <c r="N90" s="38"/>
      <c r="O90" s="4">
        <f t="shared" si="4"/>
        <v>354000</v>
      </c>
      <c r="P90" s="105">
        <v>0</v>
      </c>
      <c r="Q90" s="4">
        <f t="shared" si="3"/>
        <v>354000</v>
      </c>
      <c r="R90" s="166"/>
    </row>
    <row r="91" spans="1:18" x14ac:dyDescent="0.2">
      <c r="A91" s="477"/>
      <c r="B91" s="475"/>
      <c r="C91" s="131" t="s">
        <v>11</v>
      </c>
      <c r="D91" s="42">
        <v>0</v>
      </c>
      <c r="E91" s="42">
        <v>1059878</v>
      </c>
      <c r="F91" s="43"/>
      <c r="G91" s="38"/>
      <c r="H91" s="38"/>
      <c r="I91" s="38"/>
      <c r="J91" s="38">
        <v>880348</v>
      </c>
      <c r="K91" s="38"/>
      <c r="L91" s="38"/>
      <c r="M91" s="38"/>
      <c r="N91" s="38"/>
      <c r="O91" s="4">
        <f t="shared" si="4"/>
        <v>1940226</v>
      </c>
      <c r="P91" s="105">
        <v>742766</v>
      </c>
      <c r="Q91" s="120">
        <f t="shared" si="3"/>
        <v>1197460</v>
      </c>
      <c r="R91" s="166"/>
    </row>
    <row r="92" spans="1:18" x14ac:dyDescent="0.2">
      <c r="A92" s="477"/>
      <c r="B92" s="475"/>
      <c r="C92" s="131" t="s">
        <v>12</v>
      </c>
      <c r="D92" s="42">
        <v>0</v>
      </c>
      <c r="E92" s="42">
        <v>900000</v>
      </c>
      <c r="F92" s="43"/>
      <c r="G92" s="38"/>
      <c r="H92" s="38"/>
      <c r="I92" s="38"/>
      <c r="J92" s="38">
        <v>4126</v>
      </c>
      <c r="K92" s="38"/>
      <c r="L92" s="38"/>
      <c r="M92" s="38"/>
      <c r="N92" s="38"/>
      <c r="O92" s="4">
        <f t="shared" si="4"/>
        <v>904126</v>
      </c>
      <c r="P92" s="105">
        <v>904126</v>
      </c>
      <c r="Q92" s="4">
        <f t="shared" si="3"/>
        <v>0</v>
      </c>
      <c r="R92" s="166"/>
    </row>
    <row r="93" spans="1:18" x14ac:dyDescent="0.2">
      <c r="A93" s="477"/>
      <c r="B93" s="475"/>
      <c r="C93" s="131" t="s">
        <v>31</v>
      </c>
      <c r="D93" s="42">
        <v>0</v>
      </c>
      <c r="E93" s="42">
        <v>262453</v>
      </c>
      <c r="F93" s="43"/>
      <c r="G93" s="38"/>
      <c r="H93" s="38"/>
      <c r="I93" s="38"/>
      <c r="J93" s="38"/>
      <c r="K93" s="38"/>
      <c r="L93" s="38"/>
      <c r="M93" s="38"/>
      <c r="N93" s="38"/>
      <c r="O93" s="4">
        <f t="shared" si="4"/>
        <v>262453</v>
      </c>
      <c r="P93" s="105">
        <v>262453</v>
      </c>
      <c r="Q93" s="4">
        <f t="shared" si="3"/>
        <v>0</v>
      </c>
      <c r="R93" s="166"/>
    </row>
    <row r="94" spans="1:18" x14ac:dyDescent="0.2">
      <c r="A94" s="477"/>
      <c r="B94" s="475"/>
      <c r="C94" s="131" t="s">
        <v>32</v>
      </c>
      <c r="D94" s="42">
        <v>0</v>
      </c>
      <c r="E94" s="42">
        <v>721800</v>
      </c>
      <c r="F94" s="43">
        <v>96000</v>
      </c>
      <c r="G94" s="38"/>
      <c r="H94" s="38"/>
      <c r="I94" s="38"/>
      <c r="J94" s="38"/>
      <c r="K94" s="38"/>
      <c r="L94" s="38"/>
      <c r="M94" s="38"/>
      <c r="N94" s="38"/>
      <c r="O94" s="4">
        <f t="shared" si="4"/>
        <v>817800</v>
      </c>
      <c r="P94" s="105">
        <v>817800</v>
      </c>
      <c r="Q94" s="4">
        <f t="shared" si="3"/>
        <v>0</v>
      </c>
      <c r="R94" s="166"/>
    </row>
    <row r="95" spans="1:18" ht="13.5" customHeight="1" x14ac:dyDescent="0.2">
      <c r="A95" s="477"/>
      <c r="B95" s="475"/>
      <c r="C95" s="131" t="s">
        <v>13</v>
      </c>
      <c r="D95" s="42">
        <v>0</v>
      </c>
      <c r="E95" s="42">
        <v>7355200</v>
      </c>
      <c r="F95" s="43">
        <v>-96000</v>
      </c>
      <c r="G95" s="38"/>
      <c r="H95" s="38"/>
      <c r="I95" s="38"/>
      <c r="J95" s="38"/>
      <c r="K95" s="38"/>
      <c r="L95" s="38"/>
      <c r="M95" s="38"/>
      <c r="N95" s="38"/>
      <c r="O95" s="4">
        <f t="shared" si="4"/>
        <v>7259200</v>
      </c>
      <c r="P95" s="105">
        <v>7259200</v>
      </c>
      <c r="Q95" s="4">
        <f t="shared" si="3"/>
        <v>0</v>
      </c>
    </row>
    <row r="96" spans="1:18" ht="13.5" customHeight="1" x14ac:dyDescent="0.2">
      <c r="A96" s="477"/>
      <c r="B96" s="475"/>
      <c r="C96" s="131" t="s">
        <v>14</v>
      </c>
      <c r="D96" s="42">
        <v>0</v>
      </c>
      <c r="E96" s="42">
        <v>2251652</v>
      </c>
      <c r="F96" s="43"/>
      <c r="G96" s="38"/>
      <c r="H96" s="38"/>
      <c r="I96" s="38"/>
      <c r="J96" s="38"/>
      <c r="K96" s="38"/>
      <c r="L96" s="38"/>
      <c r="M96" s="38"/>
      <c r="N96" s="38"/>
      <c r="O96" s="4">
        <f t="shared" si="4"/>
        <v>2251652</v>
      </c>
      <c r="P96" s="105">
        <v>2251652</v>
      </c>
      <c r="Q96" s="4">
        <f t="shared" si="3"/>
        <v>0</v>
      </c>
    </row>
    <row r="97" spans="1:17" x14ac:dyDescent="0.2">
      <c r="A97" s="477"/>
      <c r="B97" s="475"/>
      <c r="C97" s="131" t="s">
        <v>15</v>
      </c>
      <c r="D97" s="42">
        <v>0</v>
      </c>
      <c r="E97" s="42">
        <v>30539278</v>
      </c>
      <c r="F97" s="43"/>
      <c r="G97" s="38"/>
      <c r="H97" s="38"/>
      <c r="I97" s="38"/>
      <c r="J97" s="38">
        <v>6973449</v>
      </c>
      <c r="K97" s="38"/>
      <c r="L97" s="38"/>
      <c r="M97" s="38"/>
      <c r="N97" s="38"/>
      <c r="O97" s="4">
        <f t="shared" si="4"/>
        <v>37512727</v>
      </c>
      <c r="P97" s="105">
        <v>0</v>
      </c>
      <c r="Q97" s="4">
        <f t="shared" si="3"/>
        <v>37512727</v>
      </c>
    </row>
    <row r="98" spans="1:17" x14ac:dyDescent="0.2">
      <c r="A98" s="478"/>
      <c r="B98" s="471"/>
      <c r="C98" s="131" t="s">
        <v>16</v>
      </c>
      <c r="D98" s="42">
        <v>0</v>
      </c>
      <c r="E98" s="42">
        <v>8245606</v>
      </c>
      <c r="F98" s="43"/>
      <c r="G98" s="38"/>
      <c r="H98" s="38"/>
      <c r="I98" s="38"/>
      <c r="J98" s="38">
        <v>1882830</v>
      </c>
      <c r="K98" s="38"/>
      <c r="L98" s="38"/>
      <c r="M98" s="38"/>
      <c r="N98" s="38"/>
      <c r="O98" s="4">
        <f t="shared" ref="O98" si="5">SUM(E98:N98)</f>
        <v>10128436</v>
      </c>
      <c r="P98" s="105">
        <v>0</v>
      </c>
      <c r="Q98" s="4">
        <f t="shared" si="3"/>
        <v>10128436</v>
      </c>
    </row>
    <row r="99" spans="1:17" ht="23.25" customHeight="1" x14ac:dyDescent="0.2">
      <c r="A99" s="479" t="s">
        <v>86</v>
      </c>
      <c r="B99" s="480"/>
      <c r="C99" s="481"/>
      <c r="D99" s="138">
        <f t="shared" ref="D99:Q99" si="6">SUM(D33:D98)</f>
        <v>426209554</v>
      </c>
      <c r="E99" s="138">
        <f t="shared" si="6"/>
        <v>516784976</v>
      </c>
      <c r="F99" s="138">
        <f t="shared" si="6"/>
        <v>0</v>
      </c>
      <c r="G99" s="138">
        <f t="shared" si="6"/>
        <v>-12025746</v>
      </c>
      <c r="H99" s="138">
        <f t="shared" si="6"/>
        <v>-1253</v>
      </c>
      <c r="I99" s="138">
        <f t="shared" si="6"/>
        <v>-225</v>
      </c>
      <c r="J99" s="138">
        <f t="shared" si="6"/>
        <v>15431586</v>
      </c>
      <c r="K99" s="138">
        <f t="shared" si="6"/>
        <v>0</v>
      </c>
      <c r="L99" s="138">
        <f t="shared" si="6"/>
        <v>-699706</v>
      </c>
      <c r="M99" s="138">
        <f t="shared" si="6"/>
        <v>16016</v>
      </c>
      <c r="N99" s="138">
        <f t="shared" si="6"/>
        <v>303990</v>
      </c>
      <c r="O99" s="138">
        <f t="shared" si="6"/>
        <v>519809638</v>
      </c>
      <c r="P99" s="138">
        <f t="shared" si="6"/>
        <v>430906893</v>
      </c>
      <c r="Q99" s="138">
        <f t="shared" si="6"/>
        <v>88902745</v>
      </c>
    </row>
    <row r="100" spans="1:17" x14ac:dyDescent="0.2">
      <c r="F100" s="2"/>
    </row>
    <row r="101" spans="1:17" x14ac:dyDescent="0.2">
      <c r="F101" s="2"/>
    </row>
    <row r="102" spans="1:17" x14ac:dyDescent="0.2">
      <c r="F102" s="2"/>
    </row>
    <row r="103" spans="1:17" ht="15.75" x14ac:dyDescent="0.25">
      <c r="A103" s="64" t="s">
        <v>140</v>
      </c>
      <c r="F103" s="2"/>
    </row>
    <row r="104" spans="1:17" x14ac:dyDescent="0.2">
      <c r="G104" s="73">
        <v>43830</v>
      </c>
      <c r="Q104" s="55"/>
    </row>
    <row r="105" spans="1:17" s="85" customFormat="1" ht="71.25" customHeight="1" x14ac:dyDescent="0.2">
      <c r="A105" s="387" t="s">
        <v>101</v>
      </c>
      <c r="B105" s="388"/>
      <c r="C105" s="191" t="s">
        <v>44</v>
      </c>
      <c r="D105" s="192" t="s">
        <v>21</v>
      </c>
      <c r="E105" s="192" t="s">
        <v>172</v>
      </c>
      <c r="F105" s="193" t="s">
        <v>43</v>
      </c>
      <c r="G105" s="194" t="s">
        <v>185</v>
      </c>
      <c r="H105" s="194" t="s">
        <v>186</v>
      </c>
      <c r="I105" s="194" t="s">
        <v>194</v>
      </c>
      <c r="J105" s="195" t="s">
        <v>187</v>
      </c>
      <c r="K105" s="195" t="s">
        <v>188</v>
      </c>
      <c r="L105" s="195" t="s">
        <v>190</v>
      </c>
      <c r="M105" s="195" t="s">
        <v>195</v>
      </c>
      <c r="N105" s="195" t="s">
        <v>189</v>
      </c>
      <c r="O105" s="192" t="s">
        <v>181</v>
      </c>
      <c r="P105" s="106" t="s">
        <v>182</v>
      </c>
    </row>
    <row r="106" spans="1:17" x14ac:dyDescent="0.2">
      <c r="A106" s="389"/>
      <c r="B106" s="376"/>
      <c r="C106" s="63" t="s">
        <v>25</v>
      </c>
      <c r="D106" s="4">
        <f t="shared" ref="D106:O106" si="7">D31+D30+D29+D20+D15+D13+D11+D14+D9+D26+D23</f>
        <v>393662673</v>
      </c>
      <c r="E106" s="4">
        <f t="shared" si="7"/>
        <v>434152725</v>
      </c>
      <c r="F106" s="4">
        <f t="shared" si="7"/>
        <v>0</v>
      </c>
      <c r="G106" s="4">
        <f t="shared" si="7"/>
        <v>-12024946</v>
      </c>
      <c r="H106" s="4">
        <f t="shared" si="7"/>
        <v>-1253</v>
      </c>
      <c r="I106" s="4">
        <f t="shared" si="7"/>
        <v>0</v>
      </c>
      <c r="J106" s="4">
        <f t="shared" ref="J106:N106" si="8">J31+J30+J29+J20+J15+J13+J11+J14+J9+J26+J23</f>
        <v>6575307</v>
      </c>
      <c r="K106" s="4">
        <f t="shared" si="8"/>
        <v>0</v>
      </c>
      <c r="L106" s="4">
        <f t="shared" ref="L106:M106" si="9">L31+L30+L29+L20+L15+L13+L11+L14+L9+L26+L23</f>
        <v>-699706</v>
      </c>
      <c r="M106" s="4">
        <f t="shared" si="9"/>
        <v>16016</v>
      </c>
      <c r="N106" s="4">
        <f t="shared" si="8"/>
        <v>303990</v>
      </c>
      <c r="O106" s="4">
        <f t="shared" si="7"/>
        <v>428322133</v>
      </c>
      <c r="P106" s="4">
        <f>P31+P30+P29+P20+P15+P13+P11+P14+P9+P26+P23</f>
        <v>428322133</v>
      </c>
    </row>
    <row r="107" spans="1:17" x14ac:dyDescent="0.2">
      <c r="A107" s="389"/>
      <c r="B107" s="376"/>
      <c r="C107" s="63" t="s">
        <v>37</v>
      </c>
      <c r="D107" s="4">
        <f t="shared" ref="D107:P107" si="10">D21+D16+D12+D27</f>
        <v>4500000</v>
      </c>
      <c r="E107" s="4">
        <f t="shared" si="10"/>
        <v>54530570</v>
      </c>
      <c r="F107" s="4">
        <f t="shared" si="10"/>
        <v>0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ref="J107:N107" si="11">J21+J16+J12+J27</f>
        <v>8856279</v>
      </c>
      <c r="K107" s="4">
        <f t="shared" si="11"/>
        <v>0</v>
      </c>
      <c r="L107" s="4">
        <f t="shared" ref="L107:M107" si="12">L21+L16+L12+L27</f>
        <v>0</v>
      </c>
      <c r="M107" s="4">
        <f t="shared" si="12"/>
        <v>0</v>
      </c>
      <c r="N107" s="4">
        <f t="shared" si="11"/>
        <v>0</v>
      </c>
      <c r="O107" s="4">
        <f t="shared" si="10"/>
        <v>63386849</v>
      </c>
      <c r="P107" s="4">
        <f t="shared" si="10"/>
        <v>63386849</v>
      </c>
    </row>
    <row r="108" spans="1:17" x14ac:dyDescent="0.2">
      <c r="A108" s="389"/>
      <c r="B108" s="376"/>
      <c r="C108" s="63" t="s">
        <v>27</v>
      </c>
      <c r="D108" s="4">
        <f>D6</f>
        <v>0</v>
      </c>
      <c r="E108" s="4">
        <v>0</v>
      </c>
      <c r="F108" s="4">
        <v>0</v>
      </c>
      <c r="G108" s="4">
        <f t="shared" ref="G108:I109" si="13">G6</f>
        <v>0</v>
      </c>
      <c r="H108" s="4">
        <f t="shared" si="13"/>
        <v>0</v>
      </c>
      <c r="I108" s="4">
        <v>0</v>
      </c>
      <c r="J108" s="4">
        <f t="shared" ref="J108:N108" si="14">J6</f>
        <v>0</v>
      </c>
      <c r="K108" s="4">
        <v>0</v>
      </c>
      <c r="L108" s="4">
        <f t="shared" ref="L108:M108" si="15">L6</f>
        <v>0</v>
      </c>
      <c r="M108" s="4">
        <f t="shared" si="15"/>
        <v>0</v>
      </c>
      <c r="N108" s="4">
        <f t="shared" si="14"/>
        <v>0</v>
      </c>
      <c r="O108" s="4">
        <v>0</v>
      </c>
      <c r="P108" s="4">
        <v>0</v>
      </c>
    </row>
    <row r="109" spans="1:17" x14ac:dyDescent="0.2">
      <c r="A109" s="389"/>
      <c r="B109" s="376"/>
      <c r="C109" s="63" t="s">
        <v>139</v>
      </c>
      <c r="D109" s="4">
        <f>D7</f>
        <v>0</v>
      </c>
      <c r="E109" s="4">
        <f>E7</f>
        <v>10800</v>
      </c>
      <c r="F109" s="4">
        <f>F7</f>
        <v>0</v>
      </c>
      <c r="G109" s="4">
        <f t="shared" si="13"/>
        <v>0</v>
      </c>
      <c r="H109" s="4">
        <f t="shared" si="13"/>
        <v>0</v>
      </c>
      <c r="I109" s="4">
        <f t="shared" si="13"/>
        <v>0</v>
      </c>
      <c r="J109" s="4">
        <f t="shared" ref="J109:N109" si="16">J7</f>
        <v>0</v>
      </c>
      <c r="K109" s="4">
        <f t="shared" si="16"/>
        <v>0</v>
      </c>
      <c r="L109" s="4">
        <f t="shared" ref="L109:M109" si="17">L7</f>
        <v>0</v>
      </c>
      <c r="M109" s="4">
        <f t="shared" si="17"/>
        <v>0</v>
      </c>
      <c r="N109" s="4">
        <f t="shared" si="16"/>
        <v>0</v>
      </c>
      <c r="O109" s="4">
        <f>O7</f>
        <v>10800</v>
      </c>
      <c r="P109" s="4">
        <f>P7</f>
        <v>10800</v>
      </c>
    </row>
    <row r="110" spans="1:17" x14ac:dyDescent="0.2">
      <c r="A110" s="389"/>
      <c r="B110" s="376"/>
      <c r="C110" s="63" t="s">
        <v>40</v>
      </c>
      <c r="D110" s="4">
        <f t="shared" ref="D110:P110" si="18">D25+D18+D8</f>
        <v>2300</v>
      </c>
      <c r="E110" s="4">
        <f t="shared" si="18"/>
        <v>2357</v>
      </c>
      <c r="F110" s="4">
        <f t="shared" si="18"/>
        <v>0</v>
      </c>
      <c r="G110" s="4">
        <f t="shared" si="18"/>
        <v>-800</v>
      </c>
      <c r="H110" s="4">
        <f t="shared" si="18"/>
        <v>0</v>
      </c>
      <c r="I110" s="4">
        <f t="shared" si="18"/>
        <v>94</v>
      </c>
      <c r="J110" s="4">
        <f t="shared" ref="J110:N110" si="19">J25+J18+J8</f>
        <v>0</v>
      </c>
      <c r="K110" s="4">
        <f t="shared" si="19"/>
        <v>0</v>
      </c>
      <c r="L110" s="4">
        <f t="shared" ref="L110:M110" si="20">L25+L18+L8</f>
        <v>0</v>
      </c>
      <c r="M110" s="4">
        <f t="shared" si="20"/>
        <v>0</v>
      </c>
      <c r="N110" s="4">
        <f t="shared" si="19"/>
        <v>0</v>
      </c>
      <c r="O110" s="4">
        <f t="shared" si="18"/>
        <v>1651</v>
      </c>
      <c r="P110" s="4">
        <f t="shared" si="18"/>
        <v>1651</v>
      </c>
    </row>
    <row r="111" spans="1:17" x14ac:dyDescent="0.2">
      <c r="A111" s="389"/>
      <c r="B111" s="376"/>
      <c r="C111" s="63" t="s">
        <v>41</v>
      </c>
      <c r="D111" s="4">
        <f t="shared" ref="D111:O111" si="21">D19+D24+D6+D28</f>
        <v>0</v>
      </c>
      <c r="E111" s="4">
        <f t="shared" si="21"/>
        <v>43943</v>
      </c>
      <c r="F111" s="4">
        <f>F19+F24+F6+F28</f>
        <v>0</v>
      </c>
      <c r="G111" s="4">
        <f t="shared" si="21"/>
        <v>0</v>
      </c>
      <c r="H111" s="4">
        <f t="shared" si="21"/>
        <v>0</v>
      </c>
      <c r="I111" s="4">
        <f t="shared" si="21"/>
        <v>-319</v>
      </c>
      <c r="J111" s="4">
        <f t="shared" ref="J111:N111" si="22">J19+J24+J6+J28</f>
        <v>0</v>
      </c>
      <c r="K111" s="4">
        <f t="shared" si="22"/>
        <v>0</v>
      </c>
      <c r="L111" s="4">
        <f t="shared" ref="L111:M111" si="23">L19+L24+L6+L28</f>
        <v>0</v>
      </c>
      <c r="M111" s="4">
        <f t="shared" si="23"/>
        <v>0</v>
      </c>
      <c r="N111" s="4">
        <f t="shared" si="22"/>
        <v>0</v>
      </c>
      <c r="O111" s="4">
        <f t="shared" si="21"/>
        <v>43624</v>
      </c>
      <c r="P111" s="4">
        <f>P19+P24+P6+P28</f>
        <v>43624</v>
      </c>
    </row>
    <row r="112" spans="1:17" x14ac:dyDescent="0.2">
      <c r="A112" s="389"/>
      <c r="B112" s="376"/>
      <c r="C112" s="65" t="s">
        <v>93</v>
      </c>
      <c r="D112" s="66">
        <f t="shared" ref="D112:O112" si="24">D25+D24+D19+D18+D8+D7+D6+D28</f>
        <v>2300</v>
      </c>
      <c r="E112" s="66">
        <f t="shared" si="24"/>
        <v>57100</v>
      </c>
      <c r="F112" s="66">
        <f t="shared" si="24"/>
        <v>0</v>
      </c>
      <c r="G112" s="66">
        <f t="shared" si="24"/>
        <v>-800</v>
      </c>
      <c r="H112" s="66">
        <f t="shared" si="24"/>
        <v>0</v>
      </c>
      <c r="I112" s="66">
        <f t="shared" si="24"/>
        <v>-225</v>
      </c>
      <c r="J112" s="66">
        <f t="shared" ref="J112:N112" si="25">J25+J24+J19+J18+J8+J7+J6+J28</f>
        <v>0</v>
      </c>
      <c r="K112" s="66">
        <f t="shared" si="25"/>
        <v>0</v>
      </c>
      <c r="L112" s="66">
        <f t="shared" ref="L112:M112" si="26">L25+L24+L19+L18+L8+L7+L6+L28</f>
        <v>0</v>
      </c>
      <c r="M112" s="66">
        <f t="shared" si="26"/>
        <v>0</v>
      </c>
      <c r="N112" s="66">
        <f t="shared" si="25"/>
        <v>0</v>
      </c>
      <c r="O112" s="66">
        <f t="shared" si="24"/>
        <v>56075</v>
      </c>
      <c r="P112" s="66">
        <f>P25+P24+P19+P18+P8+P7+P6+P28</f>
        <v>56075</v>
      </c>
      <c r="Q112" s="1"/>
    </row>
    <row r="113" spans="1:17" x14ac:dyDescent="0.2">
      <c r="A113" s="389"/>
      <c r="B113" s="376"/>
      <c r="C113" s="63" t="s">
        <v>28</v>
      </c>
      <c r="D113" s="4">
        <f t="shared" ref="D113:P113" si="27">D22+D17+D10</f>
        <v>28044581</v>
      </c>
      <c r="E113" s="4">
        <f t="shared" si="27"/>
        <v>28044581</v>
      </c>
      <c r="F113" s="4">
        <f t="shared" si="27"/>
        <v>0</v>
      </c>
      <c r="G113" s="4">
        <f t="shared" si="27"/>
        <v>0</v>
      </c>
      <c r="H113" s="4">
        <f t="shared" si="27"/>
        <v>0</v>
      </c>
      <c r="I113" s="4">
        <f t="shared" si="27"/>
        <v>0</v>
      </c>
      <c r="J113" s="4">
        <f t="shared" ref="J113:N113" si="28">J22+J17+J10</f>
        <v>0</v>
      </c>
      <c r="K113" s="4">
        <f t="shared" si="28"/>
        <v>0</v>
      </c>
      <c r="L113" s="4">
        <f t="shared" ref="L113:M113" si="29">L22+L17+L10</f>
        <v>0</v>
      </c>
      <c r="M113" s="4">
        <f t="shared" si="29"/>
        <v>0</v>
      </c>
      <c r="N113" s="4">
        <f t="shared" si="28"/>
        <v>0</v>
      </c>
      <c r="O113" s="4">
        <f t="shared" si="27"/>
        <v>28044581</v>
      </c>
      <c r="P113" s="107">
        <f t="shared" si="27"/>
        <v>28044581</v>
      </c>
    </row>
    <row r="114" spans="1:17" x14ac:dyDescent="0.2">
      <c r="A114" s="389"/>
      <c r="B114" s="376"/>
      <c r="C114" s="65" t="s">
        <v>92</v>
      </c>
      <c r="D114" s="66">
        <f t="shared" ref="D114:P114" si="30">D22+D17+D10</f>
        <v>28044581</v>
      </c>
      <c r="E114" s="66">
        <f t="shared" si="30"/>
        <v>28044581</v>
      </c>
      <c r="F114" s="66">
        <f t="shared" si="30"/>
        <v>0</v>
      </c>
      <c r="G114" s="66">
        <f t="shared" si="30"/>
        <v>0</v>
      </c>
      <c r="H114" s="66">
        <f t="shared" si="30"/>
        <v>0</v>
      </c>
      <c r="I114" s="66">
        <f t="shared" si="30"/>
        <v>0</v>
      </c>
      <c r="J114" s="66">
        <f t="shared" ref="J114:N114" si="31">J22+J17+J10</f>
        <v>0</v>
      </c>
      <c r="K114" s="66">
        <f t="shared" si="31"/>
        <v>0</v>
      </c>
      <c r="L114" s="66">
        <f t="shared" ref="L114:M114" si="32">L22+L17+L10</f>
        <v>0</v>
      </c>
      <c r="M114" s="66">
        <f t="shared" si="32"/>
        <v>0</v>
      </c>
      <c r="N114" s="66">
        <f t="shared" si="31"/>
        <v>0</v>
      </c>
      <c r="O114" s="66">
        <f t="shared" si="30"/>
        <v>28044581</v>
      </c>
      <c r="P114" s="109">
        <f t="shared" si="30"/>
        <v>28044581</v>
      </c>
      <c r="Q114" s="1"/>
    </row>
    <row r="115" spans="1:17" x14ac:dyDescent="0.2">
      <c r="A115" s="389"/>
      <c r="B115" s="376"/>
      <c r="C115" s="65" t="s">
        <v>102</v>
      </c>
      <c r="D115" s="66">
        <f t="shared" ref="D115:P115" si="33">D32</f>
        <v>426209554</v>
      </c>
      <c r="E115" s="66">
        <f t="shared" si="33"/>
        <v>516784976</v>
      </c>
      <c r="F115" s="66">
        <f t="shared" si="33"/>
        <v>0</v>
      </c>
      <c r="G115" s="66">
        <f t="shared" si="33"/>
        <v>-12025746</v>
      </c>
      <c r="H115" s="66">
        <f t="shared" si="33"/>
        <v>-1253</v>
      </c>
      <c r="I115" s="66">
        <f t="shared" si="33"/>
        <v>-225</v>
      </c>
      <c r="J115" s="66">
        <f t="shared" ref="J115:N115" si="34">J32</f>
        <v>15431586</v>
      </c>
      <c r="K115" s="66">
        <f t="shared" si="34"/>
        <v>0</v>
      </c>
      <c r="L115" s="66">
        <f t="shared" ref="L115:M115" si="35">L32</f>
        <v>-699706</v>
      </c>
      <c r="M115" s="66">
        <f t="shared" si="35"/>
        <v>16016</v>
      </c>
      <c r="N115" s="66">
        <f t="shared" si="34"/>
        <v>303990</v>
      </c>
      <c r="O115" s="66">
        <f t="shared" si="33"/>
        <v>519809638</v>
      </c>
      <c r="P115" s="66">
        <f t="shared" si="33"/>
        <v>519809638</v>
      </c>
      <c r="Q115" s="1"/>
    </row>
    <row r="116" spans="1:17" x14ac:dyDescent="0.2">
      <c r="A116" s="389"/>
      <c r="B116" s="376"/>
      <c r="C116" s="63" t="s">
        <v>7</v>
      </c>
      <c r="D116" s="4">
        <f>D65+D52+D83</f>
        <v>970000</v>
      </c>
      <c r="E116" s="4">
        <f>E65+E52+E83</f>
        <v>4134484</v>
      </c>
      <c r="F116" s="4">
        <f t="shared" ref="F116:P116" si="36">F65+F52+F83</f>
        <v>0</v>
      </c>
      <c r="G116" s="4">
        <f t="shared" si="36"/>
        <v>-130000</v>
      </c>
      <c r="H116" s="4">
        <f t="shared" si="36"/>
        <v>0</v>
      </c>
      <c r="I116" s="4">
        <f t="shared" si="36"/>
        <v>0</v>
      </c>
      <c r="J116" s="4">
        <f t="shared" ref="J116:N116" si="37">J65+J52+J83</f>
        <v>2068329</v>
      </c>
      <c r="K116" s="4">
        <f t="shared" si="37"/>
        <v>0</v>
      </c>
      <c r="L116" s="4">
        <f t="shared" ref="L116:M116" si="38">L65+L52+L83</f>
        <v>0</v>
      </c>
      <c r="M116" s="4">
        <f t="shared" si="38"/>
        <v>0</v>
      </c>
      <c r="N116" s="4">
        <f t="shared" si="37"/>
        <v>0</v>
      </c>
      <c r="O116" s="4">
        <f t="shared" si="36"/>
        <v>6072813</v>
      </c>
      <c r="P116" s="120">
        <f t="shared" si="36"/>
        <v>4004484</v>
      </c>
    </row>
    <row r="117" spans="1:17" x14ac:dyDescent="0.2">
      <c r="A117" s="389"/>
      <c r="B117" s="376"/>
      <c r="C117" s="63" t="s">
        <v>88</v>
      </c>
      <c r="D117" s="4">
        <f>D66</f>
        <v>10791000</v>
      </c>
      <c r="E117" s="4">
        <f>E66</f>
        <v>10791000</v>
      </c>
      <c r="F117" s="4">
        <f t="shared" ref="F117:P117" si="39">F66</f>
        <v>0</v>
      </c>
      <c r="G117" s="4">
        <f t="shared" si="39"/>
        <v>-5896000</v>
      </c>
      <c r="H117" s="4">
        <f t="shared" si="39"/>
        <v>0</v>
      </c>
      <c r="I117" s="4">
        <f t="shared" si="39"/>
        <v>0</v>
      </c>
      <c r="J117" s="4">
        <f t="shared" ref="J117:N117" si="40">J66</f>
        <v>0</v>
      </c>
      <c r="K117" s="4">
        <f t="shared" si="40"/>
        <v>0</v>
      </c>
      <c r="L117" s="4">
        <f t="shared" ref="L117:M117" si="41">L66</f>
        <v>0</v>
      </c>
      <c r="M117" s="4">
        <f t="shared" si="41"/>
        <v>0</v>
      </c>
      <c r="N117" s="4">
        <f t="shared" si="40"/>
        <v>0</v>
      </c>
      <c r="O117" s="4">
        <f t="shared" si="39"/>
        <v>4895000</v>
      </c>
      <c r="P117" s="120">
        <f t="shared" si="39"/>
        <v>1057000</v>
      </c>
    </row>
    <row r="118" spans="1:17" x14ac:dyDescent="0.2">
      <c r="A118" s="389"/>
      <c r="B118" s="376"/>
      <c r="C118" s="65" t="s">
        <v>94</v>
      </c>
      <c r="D118" s="66">
        <f>D66+D65+D52+D83</f>
        <v>11761000</v>
      </c>
      <c r="E118" s="66">
        <f>E66+E65+E52+E83</f>
        <v>14925484</v>
      </c>
      <c r="F118" s="66">
        <f t="shared" ref="F118:P118" si="42">F66+F65+F52+F83</f>
        <v>0</v>
      </c>
      <c r="G118" s="66">
        <f t="shared" si="42"/>
        <v>-6026000</v>
      </c>
      <c r="H118" s="66">
        <f t="shared" si="42"/>
        <v>0</v>
      </c>
      <c r="I118" s="66">
        <f t="shared" si="42"/>
        <v>0</v>
      </c>
      <c r="J118" s="66">
        <f t="shared" ref="J118:N118" si="43">J66+J65+J52+J83</f>
        <v>2068329</v>
      </c>
      <c r="K118" s="66">
        <f t="shared" si="43"/>
        <v>0</v>
      </c>
      <c r="L118" s="66">
        <f t="shared" ref="L118:M118" si="44">L66+L65+L52+L83</f>
        <v>0</v>
      </c>
      <c r="M118" s="66">
        <f t="shared" si="44"/>
        <v>0</v>
      </c>
      <c r="N118" s="66">
        <f t="shared" si="43"/>
        <v>0</v>
      </c>
      <c r="O118" s="66">
        <f t="shared" si="42"/>
        <v>10967813</v>
      </c>
      <c r="P118" s="66">
        <f t="shared" si="42"/>
        <v>5061484</v>
      </c>
      <c r="Q118" s="1"/>
    </row>
    <row r="119" spans="1:17" x14ac:dyDescent="0.2">
      <c r="A119" s="389"/>
      <c r="B119" s="376"/>
      <c r="C119" s="65" t="s">
        <v>9</v>
      </c>
      <c r="D119" s="66">
        <f>D67+D53+D84</f>
        <v>3112282</v>
      </c>
      <c r="E119" s="66">
        <f>E67+E53+E84</f>
        <v>3666065</v>
      </c>
      <c r="F119" s="66">
        <f t="shared" ref="F119:P119" si="45">F67+F53+F84</f>
        <v>0</v>
      </c>
      <c r="G119" s="66">
        <f t="shared" si="45"/>
        <v>-43400</v>
      </c>
      <c r="H119" s="66">
        <f t="shared" si="45"/>
        <v>0</v>
      </c>
      <c r="I119" s="66">
        <f t="shared" si="45"/>
        <v>0</v>
      </c>
      <c r="J119" s="66">
        <f t="shared" ref="J119:N119" si="46">J67+J53+J84</f>
        <v>361955</v>
      </c>
      <c r="K119" s="66">
        <f t="shared" si="46"/>
        <v>0</v>
      </c>
      <c r="L119" s="66">
        <f t="shared" ref="L119:M119" si="47">L67+L53+L84</f>
        <v>0</v>
      </c>
      <c r="M119" s="66">
        <f t="shared" si="47"/>
        <v>0</v>
      </c>
      <c r="N119" s="66">
        <f t="shared" si="46"/>
        <v>0</v>
      </c>
      <c r="O119" s="66">
        <f t="shared" si="45"/>
        <v>3984620</v>
      </c>
      <c r="P119" s="66">
        <f t="shared" si="45"/>
        <v>710582</v>
      </c>
      <c r="Q119" s="1"/>
    </row>
    <row r="120" spans="1:17" x14ac:dyDescent="0.2">
      <c r="A120" s="389"/>
      <c r="B120" s="376"/>
      <c r="C120" s="63" t="s">
        <v>22</v>
      </c>
      <c r="D120" s="4">
        <f t="shared" ref="D120:I120" si="48">D68+D33</f>
        <v>254000</v>
      </c>
      <c r="E120" s="4">
        <f>E68+E33+E85</f>
        <v>2660466</v>
      </c>
      <c r="F120" s="4">
        <f t="shared" si="48"/>
        <v>0</v>
      </c>
      <c r="G120" s="4">
        <f t="shared" si="48"/>
        <v>-230000</v>
      </c>
      <c r="H120" s="4">
        <f t="shared" si="48"/>
        <v>0</v>
      </c>
      <c r="I120" s="4">
        <f t="shared" si="48"/>
        <v>0</v>
      </c>
      <c r="J120" s="4">
        <f t="shared" ref="J120:N120" si="49">J68+J33</f>
        <v>0</v>
      </c>
      <c r="K120" s="4">
        <f t="shared" si="49"/>
        <v>0</v>
      </c>
      <c r="L120" s="4">
        <f t="shared" ref="L120:M120" si="50">L68+L33</f>
        <v>0</v>
      </c>
      <c r="M120" s="4">
        <f t="shared" si="50"/>
        <v>0</v>
      </c>
      <c r="N120" s="4">
        <f t="shared" si="49"/>
        <v>0</v>
      </c>
      <c r="O120" s="4">
        <f>O68+O33+O85</f>
        <v>2430466</v>
      </c>
      <c r="P120" s="4">
        <f>P68+P33+P85</f>
        <v>2406466</v>
      </c>
    </row>
    <row r="121" spans="1:17" x14ac:dyDescent="0.2">
      <c r="A121" s="389"/>
      <c r="B121" s="376"/>
      <c r="C121" s="63" t="s">
        <v>33</v>
      </c>
      <c r="D121" s="4">
        <f>D69</f>
        <v>72000</v>
      </c>
      <c r="E121" s="4">
        <f>E69+E86</f>
        <v>99244</v>
      </c>
      <c r="F121" s="4">
        <f>F69+F86</f>
        <v>0</v>
      </c>
      <c r="G121" s="4">
        <f t="shared" ref="G121:O121" si="51">G69+G86</f>
        <v>-72000</v>
      </c>
      <c r="H121" s="4">
        <f t="shared" si="51"/>
        <v>0</v>
      </c>
      <c r="I121" s="4">
        <f t="shared" si="51"/>
        <v>0</v>
      </c>
      <c r="J121" s="4">
        <f t="shared" ref="J121:N121" si="52">J69+J86</f>
        <v>0</v>
      </c>
      <c r="K121" s="4">
        <f t="shared" si="52"/>
        <v>0</v>
      </c>
      <c r="L121" s="4">
        <f t="shared" ref="L121:M121" si="53">L69+L86</f>
        <v>0</v>
      </c>
      <c r="M121" s="4">
        <f t="shared" si="53"/>
        <v>0</v>
      </c>
      <c r="N121" s="4">
        <f t="shared" si="52"/>
        <v>0</v>
      </c>
      <c r="O121" s="4">
        <f t="shared" si="51"/>
        <v>27244</v>
      </c>
      <c r="P121" s="4">
        <f>P69+P86</f>
        <v>27244</v>
      </c>
    </row>
    <row r="122" spans="1:17" x14ac:dyDescent="0.2">
      <c r="A122" s="389"/>
      <c r="B122" s="376"/>
      <c r="C122" s="63" t="s">
        <v>184</v>
      </c>
      <c r="D122" s="4">
        <f t="shared" ref="D122:O122" si="54">D34</f>
        <v>0</v>
      </c>
      <c r="E122" s="4">
        <f t="shared" si="54"/>
        <v>0</v>
      </c>
      <c r="F122" s="4">
        <f t="shared" si="54"/>
        <v>1870</v>
      </c>
      <c r="G122" s="4">
        <f t="shared" si="54"/>
        <v>0</v>
      </c>
      <c r="H122" s="4">
        <f t="shared" si="54"/>
        <v>0</v>
      </c>
      <c r="I122" s="4">
        <f t="shared" si="54"/>
        <v>0</v>
      </c>
      <c r="J122" s="4">
        <f t="shared" ref="J122:N122" si="55">J34</f>
        <v>0</v>
      </c>
      <c r="K122" s="4">
        <f t="shared" si="55"/>
        <v>0</v>
      </c>
      <c r="L122" s="4">
        <f t="shared" ref="L122:M122" si="56">L34</f>
        <v>0</v>
      </c>
      <c r="M122" s="4">
        <f t="shared" si="56"/>
        <v>0</v>
      </c>
      <c r="N122" s="4">
        <f t="shared" si="55"/>
        <v>0</v>
      </c>
      <c r="O122" s="4">
        <f t="shared" si="54"/>
        <v>1870</v>
      </c>
      <c r="P122" s="4">
        <f>P34</f>
        <v>1870</v>
      </c>
    </row>
    <row r="123" spans="1:17" x14ac:dyDescent="0.2">
      <c r="A123" s="389"/>
      <c r="B123" s="376"/>
      <c r="C123" s="63" t="s">
        <v>89</v>
      </c>
      <c r="D123" s="4">
        <f t="shared" ref="D123:P123" si="57">D35</f>
        <v>1870</v>
      </c>
      <c r="E123" s="4">
        <f t="shared" si="57"/>
        <v>1870</v>
      </c>
      <c r="F123" s="4">
        <f t="shared" si="57"/>
        <v>0</v>
      </c>
      <c r="G123" s="4">
        <f t="shared" si="57"/>
        <v>0</v>
      </c>
      <c r="H123" s="4">
        <f t="shared" si="57"/>
        <v>0</v>
      </c>
      <c r="I123" s="4">
        <f t="shared" si="57"/>
        <v>0</v>
      </c>
      <c r="J123" s="4">
        <f t="shared" ref="J123:N123" si="58">J35</f>
        <v>0</v>
      </c>
      <c r="K123" s="4">
        <f t="shared" si="58"/>
        <v>0</v>
      </c>
      <c r="L123" s="4">
        <f t="shared" ref="L123:M123" si="59">L35</f>
        <v>0</v>
      </c>
      <c r="M123" s="4">
        <f t="shared" si="59"/>
        <v>0</v>
      </c>
      <c r="N123" s="4">
        <f t="shared" si="58"/>
        <v>0</v>
      </c>
      <c r="O123" s="4">
        <f t="shared" si="57"/>
        <v>1870</v>
      </c>
      <c r="P123" s="107">
        <f t="shared" si="57"/>
        <v>0</v>
      </c>
    </row>
    <row r="124" spans="1:17" x14ac:dyDescent="0.2">
      <c r="A124" s="389"/>
      <c r="B124" s="376"/>
      <c r="C124" s="63" t="s">
        <v>34</v>
      </c>
      <c r="D124" s="4">
        <f>D70+D87</f>
        <v>230000</v>
      </c>
      <c r="E124" s="4">
        <f>E70+E87</f>
        <v>770157</v>
      </c>
      <c r="F124" s="4">
        <f t="shared" ref="F124:P124" si="60">F70+F87</f>
        <v>0</v>
      </c>
      <c r="G124" s="4">
        <f t="shared" si="60"/>
        <v>0</v>
      </c>
      <c r="H124" s="4">
        <f t="shared" si="60"/>
        <v>0</v>
      </c>
      <c r="I124" s="4">
        <f t="shared" si="60"/>
        <v>0</v>
      </c>
      <c r="J124" s="4">
        <f t="shared" ref="J124:N124" si="61">J70+J87</f>
        <v>1620473</v>
      </c>
      <c r="K124" s="4">
        <f t="shared" si="61"/>
        <v>0</v>
      </c>
      <c r="L124" s="4">
        <f t="shared" ref="L124:M124" si="62">L70+L87</f>
        <v>0</v>
      </c>
      <c r="M124" s="4">
        <f t="shared" si="62"/>
        <v>0</v>
      </c>
      <c r="N124" s="4">
        <f t="shared" si="61"/>
        <v>0</v>
      </c>
      <c r="O124" s="4">
        <f t="shared" si="60"/>
        <v>2390630</v>
      </c>
      <c r="P124" s="4">
        <f t="shared" si="60"/>
        <v>0</v>
      </c>
    </row>
    <row r="125" spans="1:17" x14ac:dyDescent="0.2">
      <c r="A125" s="389"/>
      <c r="B125" s="376"/>
      <c r="C125" s="63" t="s">
        <v>10</v>
      </c>
      <c r="D125" s="4">
        <f t="shared" ref="D125:O125" si="63">D71+D54+D36+D88</f>
        <v>8009100</v>
      </c>
      <c r="E125" s="4">
        <f t="shared" si="63"/>
        <v>8905281</v>
      </c>
      <c r="F125" s="4">
        <f t="shared" si="63"/>
        <v>15644</v>
      </c>
      <c r="G125" s="4">
        <f t="shared" si="63"/>
        <v>-3079100</v>
      </c>
      <c r="H125" s="4">
        <f t="shared" si="63"/>
        <v>0</v>
      </c>
      <c r="I125" s="4">
        <f t="shared" si="63"/>
        <v>1456</v>
      </c>
      <c r="J125" s="4">
        <f t="shared" ref="J125:N125" si="64">J71+J54+J36+J88</f>
        <v>0</v>
      </c>
      <c r="K125" s="4">
        <f t="shared" si="64"/>
        <v>0</v>
      </c>
      <c r="L125" s="4">
        <f t="shared" ref="L125:M125" si="65">L71+L54+L36+L88</f>
        <v>0</v>
      </c>
      <c r="M125" s="4">
        <f t="shared" si="65"/>
        <v>0</v>
      </c>
      <c r="N125" s="4">
        <f t="shared" si="64"/>
        <v>0</v>
      </c>
      <c r="O125" s="4">
        <f t="shared" si="63"/>
        <v>5843281</v>
      </c>
      <c r="P125" s="4">
        <f>P71+P54+P36+P88</f>
        <v>1092690</v>
      </c>
    </row>
    <row r="126" spans="1:17" x14ac:dyDescent="0.2">
      <c r="A126" s="389"/>
      <c r="B126" s="376"/>
      <c r="C126" s="63" t="s">
        <v>2</v>
      </c>
      <c r="D126" s="4">
        <f t="shared" ref="D126:P126" si="66">D72+D55+D37+D64+D89</f>
        <v>31883770</v>
      </c>
      <c r="E126" s="4">
        <f t="shared" si="66"/>
        <v>37406255</v>
      </c>
      <c r="F126" s="4">
        <f>F72+F55+F37+F64+F89</f>
        <v>-16261</v>
      </c>
      <c r="G126" s="4">
        <f t="shared" si="66"/>
        <v>-2309292</v>
      </c>
      <c r="H126" s="4">
        <f t="shared" si="66"/>
        <v>0</v>
      </c>
      <c r="I126" s="4">
        <f t="shared" si="66"/>
        <v>0</v>
      </c>
      <c r="J126" s="4">
        <f t="shared" ref="J126:N126" si="67">J72+J55+J37+J64+J89</f>
        <v>1640076</v>
      </c>
      <c r="K126" s="4">
        <f t="shared" si="67"/>
        <v>0</v>
      </c>
      <c r="L126" s="4">
        <f t="shared" ref="L126:M126" si="68">L72+L55+L37+L64+L89</f>
        <v>-699706</v>
      </c>
      <c r="M126" s="4">
        <f t="shared" si="68"/>
        <v>0</v>
      </c>
      <c r="N126" s="4">
        <f t="shared" si="67"/>
        <v>0</v>
      </c>
      <c r="O126" s="4">
        <f t="shared" si="66"/>
        <v>36021072</v>
      </c>
      <c r="P126" s="4">
        <f t="shared" si="66"/>
        <v>18664225</v>
      </c>
    </row>
    <row r="127" spans="1:17" x14ac:dyDescent="0.2">
      <c r="A127" s="389"/>
      <c r="B127" s="376"/>
      <c r="C127" s="63" t="s">
        <v>35</v>
      </c>
      <c r="D127" s="4">
        <f>D73</f>
        <v>292100</v>
      </c>
      <c r="E127" s="4">
        <f>E73</f>
        <v>292100</v>
      </c>
      <c r="F127" s="4">
        <f t="shared" ref="F127:P127" si="69">F73</f>
        <v>0</v>
      </c>
      <c r="G127" s="4">
        <f t="shared" si="69"/>
        <v>-265954</v>
      </c>
      <c r="H127" s="4">
        <f t="shared" si="69"/>
        <v>0</v>
      </c>
      <c r="I127" s="4">
        <f t="shared" si="69"/>
        <v>0</v>
      </c>
      <c r="J127" s="4">
        <f t="shared" ref="J127:N127" si="70">J73</f>
        <v>0</v>
      </c>
      <c r="K127" s="4">
        <f t="shared" si="70"/>
        <v>0</v>
      </c>
      <c r="L127" s="4">
        <f t="shared" ref="L127:M127" si="71">L73</f>
        <v>0</v>
      </c>
      <c r="M127" s="4">
        <f t="shared" si="71"/>
        <v>0</v>
      </c>
      <c r="N127" s="4">
        <f t="shared" si="70"/>
        <v>0</v>
      </c>
      <c r="O127" s="4">
        <f t="shared" si="69"/>
        <v>26146</v>
      </c>
      <c r="P127" s="107">
        <f t="shared" si="69"/>
        <v>0</v>
      </c>
    </row>
    <row r="128" spans="1:17" x14ac:dyDescent="0.2">
      <c r="A128" s="389"/>
      <c r="B128" s="376"/>
      <c r="C128" s="63" t="s">
        <v>117</v>
      </c>
      <c r="D128" s="108">
        <f t="shared" ref="D128:O128" si="72">D38+D90</f>
        <v>0</v>
      </c>
      <c r="E128" s="108">
        <f t="shared" si="72"/>
        <v>427260</v>
      </c>
      <c r="F128" s="108">
        <f t="shared" si="72"/>
        <v>0</v>
      </c>
      <c r="G128" s="108">
        <f t="shared" si="72"/>
        <v>0</v>
      </c>
      <c r="H128" s="108">
        <f t="shared" si="72"/>
        <v>0</v>
      </c>
      <c r="I128" s="108">
        <f t="shared" si="72"/>
        <v>0</v>
      </c>
      <c r="J128" s="108">
        <f t="shared" ref="J128:N128" si="73">J38+J90</f>
        <v>0</v>
      </c>
      <c r="K128" s="108">
        <f t="shared" si="73"/>
        <v>0</v>
      </c>
      <c r="L128" s="108">
        <f t="shared" ref="L128:M128" si="74">L38+L90</f>
        <v>0</v>
      </c>
      <c r="M128" s="108">
        <f t="shared" si="74"/>
        <v>0</v>
      </c>
      <c r="N128" s="108">
        <f t="shared" si="73"/>
        <v>0</v>
      </c>
      <c r="O128" s="108">
        <f t="shared" si="72"/>
        <v>427260</v>
      </c>
      <c r="P128" s="108">
        <f>P38+P90</f>
        <v>73260</v>
      </c>
    </row>
    <row r="129" spans="1:17" x14ac:dyDescent="0.2">
      <c r="A129" s="389"/>
      <c r="B129" s="376"/>
      <c r="C129" s="63" t="s">
        <v>11</v>
      </c>
      <c r="D129" s="4">
        <f t="shared" ref="D129" si="75">D74+D56+D39</f>
        <v>5188185</v>
      </c>
      <c r="E129" s="4">
        <f>E74+E56+E39+E91</f>
        <v>6781205</v>
      </c>
      <c r="F129" s="4">
        <f t="shared" ref="F129:N129" si="76">F74+F56+F39+F91</f>
        <v>0</v>
      </c>
      <c r="G129" s="4">
        <f t="shared" si="76"/>
        <v>0</v>
      </c>
      <c r="H129" s="4">
        <f t="shared" si="76"/>
        <v>0</v>
      </c>
      <c r="I129" s="4">
        <f t="shared" si="76"/>
        <v>0</v>
      </c>
      <c r="J129" s="4">
        <f t="shared" si="76"/>
        <v>880348</v>
      </c>
      <c r="K129" s="4">
        <f t="shared" si="76"/>
        <v>0</v>
      </c>
      <c r="L129" s="4">
        <f t="shared" si="76"/>
        <v>0</v>
      </c>
      <c r="M129" s="4">
        <f t="shared" ref="M129" si="77">M74+M56+M39+M91</f>
        <v>0</v>
      </c>
      <c r="N129" s="4">
        <f t="shared" si="76"/>
        <v>0</v>
      </c>
      <c r="O129" s="4">
        <f>O74+O56+O39+O91</f>
        <v>7661553</v>
      </c>
      <c r="P129" s="4">
        <f>P74+P56+P39+P91</f>
        <v>2765681</v>
      </c>
    </row>
    <row r="130" spans="1:17" x14ac:dyDescent="0.2">
      <c r="A130" s="389"/>
      <c r="B130" s="376"/>
      <c r="C130" s="63" t="s">
        <v>91</v>
      </c>
      <c r="D130" s="4">
        <f t="shared" ref="D130:P130" si="78">D40</f>
        <v>0</v>
      </c>
      <c r="E130" s="4">
        <f t="shared" si="78"/>
        <v>83000</v>
      </c>
      <c r="F130" s="4">
        <f t="shared" si="78"/>
        <v>0</v>
      </c>
      <c r="G130" s="4">
        <f t="shared" si="78"/>
        <v>0</v>
      </c>
      <c r="H130" s="4">
        <f t="shared" si="78"/>
        <v>0</v>
      </c>
      <c r="I130" s="4">
        <f t="shared" si="78"/>
        <v>0</v>
      </c>
      <c r="J130" s="4">
        <f t="shared" ref="J130:N130" si="79">J40</f>
        <v>0</v>
      </c>
      <c r="K130" s="4">
        <f t="shared" si="79"/>
        <v>0</v>
      </c>
      <c r="L130" s="4">
        <f t="shared" ref="L130:M130" si="80">L40</f>
        <v>0</v>
      </c>
      <c r="M130" s="4">
        <f t="shared" si="80"/>
        <v>0</v>
      </c>
      <c r="N130" s="4">
        <f t="shared" si="79"/>
        <v>0</v>
      </c>
      <c r="O130" s="4">
        <f t="shared" si="78"/>
        <v>83000</v>
      </c>
      <c r="P130" s="107">
        <f t="shared" si="78"/>
        <v>83000</v>
      </c>
    </row>
    <row r="131" spans="1:17" x14ac:dyDescent="0.2">
      <c r="A131" s="389"/>
      <c r="B131" s="376"/>
      <c r="C131" s="63" t="s">
        <v>12</v>
      </c>
      <c r="D131" s="4">
        <f t="shared" ref="D131:O131" si="81">D75+D57+D92+D41+D45</f>
        <v>229492</v>
      </c>
      <c r="E131" s="4">
        <f t="shared" si="81"/>
        <v>1314711</v>
      </c>
      <c r="F131" s="4">
        <f>F75+F57+F92+F41+F45</f>
        <v>0</v>
      </c>
      <c r="G131" s="4">
        <f t="shared" si="81"/>
        <v>0</v>
      </c>
      <c r="H131" s="4">
        <f t="shared" si="81"/>
        <v>0</v>
      </c>
      <c r="I131" s="4">
        <f t="shared" si="81"/>
        <v>-1681</v>
      </c>
      <c r="J131" s="4">
        <f t="shared" ref="J131:N131" si="82">J75+J57+J92+J41+J45</f>
        <v>4126</v>
      </c>
      <c r="K131" s="4">
        <f t="shared" si="82"/>
        <v>0</v>
      </c>
      <c r="L131" s="4">
        <f t="shared" ref="L131:M131" si="83">L75+L57+L92+L41+L45</f>
        <v>0</v>
      </c>
      <c r="M131" s="4">
        <f t="shared" si="83"/>
        <v>0</v>
      </c>
      <c r="N131" s="4">
        <f t="shared" si="82"/>
        <v>0</v>
      </c>
      <c r="O131" s="4">
        <f t="shared" si="81"/>
        <v>1317156</v>
      </c>
      <c r="P131" s="4">
        <f>P75+P57+P92+P41+P45</f>
        <v>1087664</v>
      </c>
    </row>
    <row r="132" spans="1:17" x14ac:dyDescent="0.2">
      <c r="A132" s="389"/>
      <c r="B132" s="376"/>
      <c r="C132" s="65" t="s">
        <v>95</v>
      </c>
      <c r="D132" s="66">
        <f t="shared" ref="D132" si="84">D75+D74+D73+D72+D71+D70+D69+D68+D57+D56+D55+D54+D40+D39+D37+D35+D33+D64+D38+D87+D89+D92+D91+D85+D41+D36+D88+D90+D45</f>
        <v>46160517</v>
      </c>
      <c r="E132" s="66">
        <f>E75+E74+E73+E72+E71+E70+E69+E68+E57+E56+E55+E54+E40+E39+E37+E35+E33+E64+E38+E87+E89+E92+E91+E85+E41+E36+E88+E90+E45+E86+E34</f>
        <v>58741549</v>
      </c>
      <c r="F132" s="66">
        <f t="shared" ref="F132:N132" si="85">F75+F74+F73+F72+F71+F70+F69+F68+F57+F56+F55+F54+F40+F39+F37+F35+F33+F64+F38+F87+F89+F92+F91+F85+F41+F36+F88+F90+F45+F86+F34</f>
        <v>1253</v>
      </c>
      <c r="G132" s="66">
        <f t="shared" si="85"/>
        <v>-5956346</v>
      </c>
      <c r="H132" s="66">
        <f t="shared" si="85"/>
        <v>0</v>
      </c>
      <c r="I132" s="66">
        <f t="shared" si="85"/>
        <v>-225</v>
      </c>
      <c r="J132" s="66">
        <f t="shared" si="85"/>
        <v>4145023</v>
      </c>
      <c r="K132" s="66">
        <f t="shared" si="85"/>
        <v>0</v>
      </c>
      <c r="L132" s="66">
        <f t="shared" ref="L132:M132" si="86">L75+L74+L73+L72+L71+L70+L69+L68+L57+L56+L55+L54+L40+L39+L37+L35+L33+L64+L38+L87+L89+L92+L91+L85+L41+L36+L88+L90+L45+L86+L34</f>
        <v>-699706</v>
      </c>
      <c r="M132" s="66">
        <f t="shared" si="86"/>
        <v>0</v>
      </c>
      <c r="N132" s="66">
        <f t="shared" si="85"/>
        <v>0</v>
      </c>
      <c r="O132" s="66">
        <f>O75+O74+O73+O72+O71+O70+O69+O68+O57+O56+O55+O54+O40+O39+O37+O35+O33+O64+O38+O87+O89+O92+O91+O85+O41+O36+O88+O90+O45+O86+O34</f>
        <v>56231548</v>
      </c>
      <c r="P132" s="66">
        <f>P75+P74+P73+P72+P71+P70+P69+P68+P57+P56+P55+P54+P40+P39+P37+P35+P33+P64+P38+P87+P89+P92+P91+P85+P41+P36+P88+P90+P45+P86+P34</f>
        <v>26202100</v>
      </c>
      <c r="Q132" s="1"/>
    </row>
    <row r="133" spans="1:17" x14ac:dyDescent="0.2">
      <c r="A133" s="389"/>
      <c r="B133" s="376"/>
      <c r="C133" s="63" t="s">
        <v>36</v>
      </c>
      <c r="D133" s="4">
        <f>D76</f>
        <v>0</v>
      </c>
      <c r="E133" s="4">
        <f>E76</f>
        <v>0</v>
      </c>
      <c r="F133" s="4">
        <f t="shared" ref="F133:P133" si="87">F76</f>
        <v>0</v>
      </c>
      <c r="G133" s="4">
        <f t="shared" si="87"/>
        <v>0</v>
      </c>
      <c r="H133" s="4">
        <f t="shared" si="87"/>
        <v>0</v>
      </c>
      <c r="I133" s="4">
        <f t="shared" si="87"/>
        <v>0</v>
      </c>
      <c r="J133" s="4">
        <f t="shared" ref="J133:N133" si="88">J76</f>
        <v>0</v>
      </c>
      <c r="K133" s="4">
        <f t="shared" si="88"/>
        <v>0</v>
      </c>
      <c r="L133" s="4">
        <f t="shared" ref="L133:M133" si="89">L76</f>
        <v>0</v>
      </c>
      <c r="M133" s="4">
        <f t="shared" si="89"/>
        <v>0</v>
      </c>
      <c r="N133" s="4">
        <f t="shared" si="88"/>
        <v>0</v>
      </c>
      <c r="O133" s="4">
        <f t="shared" si="87"/>
        <v>0</v>
      </c>
      <c r="P133" s="107">
        <f t="shared" si="87"/>
        <v>0</v>
      </c>
    </row>
    <row r="134" spans="1:17" x14ac:dyDescent="0.2">
      <c r="A134" s="389"/>
      <c r="B134" s="376"/>
      <c r="C134" s="63" t="s">
        <v>23</v>
      </c>
      <c r="D134" s="4">
        <f t="shared" ref="D134:P134" si="90">D48+D46+D50+D42</f>
        <v>19744030</v>
      </c>
      <c r="E134" s="4">
        <f t="shared" si="90"/>
        <v>19685283</v>
      </c>
      <c r="F134" s="4">
        <f t="shared" si="90"/>
        <v>-1253</v>
      </c>
      <c r="G134" s="4">
        <f t="shared" si="90"/>
        <v>0</v>
      </c>
      <c r="H134" s="4">
        <f t="shared" si="90"/>
        <v>0</v>
      </c>
      <c r="I134" s="4">
        <f t="shared" si="90"/>
        <v>0</v>
      </c>
      <c r="J134" s="4">
        <f t="shared" ref="J134:N134" si="91">J48+J46+J50+J42</f>
        <v>0</v>
      </c>
      <c r="K134" s="4">
        <f t="shared" si="91"/>
        <v>0</v>
      </c>
      <c r="L134" s="4">
        <f t="shared" ref="L134:M134" si="92">L48+L46+L50+L42</f>
        <v>0</v>
      </c>
      <c r="M134" s="4">
        <f t="shared" si="92"/>
        <v>0</v>
      </c>
      <c r="N134" s="4">
        <f t="shared" si="91"/>
        <v>0</v>
      </c>
      <c r="O134" s="4">
        <f t="shared" si="90"/>
        <v>19684030</v>
      </c>
      <c r="P134" s="135">
        <f t="shared" si="90"/>
        <v>19684030</v>
      </c>
    </row>
    <row r="135" spans="1:17" x14ac:dyDescent="0.2">
      <c r="A135" s="389"/>
      <c r="B135" s="376"/>
      <c r="C135" s="63" t="s">
        <v>5</v>
      </c>
      <c r="D135" s="4">
        <f t="shared" ref="D135:P135" si="93">D49+D51+D43</f>
        <v>16308950</v>
      </c>
      <c r="E135" s="4">
        <f t="shared" si="93"/>
        <v>16308950</v>
      </c>
      <c r="F135" s="4">
        <f t="shared" si="93"/>
        <v>0</v>
      </c>
      <c r="G135" s="4">
        <f t="shared" si="93"/>
        <v>0</v>
      </c>
      <c r="H135" s="4">
        <f t="shared" si="93"/>
        <v>0</v>
      </c>
      <c r="I135" s="4">
        <f t="shared" si="93"/>
        <v>0</v>
      </c>
      <c r="J135" s="4">
        <f t="shared" ref="J135:N135" si="94">J49+J51+J43</f>
        <v>0</v>
      </c>
      <c r="K135" s="4">
        <f t="shared" si="94"/>
        <v>0</v>
      </c>
      <c r="L135" s="4">
        <f t="shared" ref="L135:M135" si="95">L49+L51+L43</f>
        <v>0</v>
      </c>
      <c r="M135" s="4">
        <f t="shared" si="95"/>
        <v>0</v>
      </c>
      <c r="N135" s="4">
        <f t="shared" si="94"/>
        <v>0</v>
      </c>
      <c r="O135" s="4">
        <f t="shared" si="93"/>
        <v>16308950</v>
      </c>
      <c r="P135" s="107">
        <f t="shared" si="93"/>
        <v>16308950</v>
      </c>
    </row>
    <row r="136" spans="1:17" x14ac:dyDescent="0.2">
      <c r="A136" s="389"/>
      <c r="B136" s="376"/>
      <c r="C136" s="65" t="s">
        <v>96</v>
      </c>
      <c r="D136" s="66">
        <f t="shared" ref="D136:P136" si="96">D49+D48+D46+D51+D50+D43+D42</f>
        <v>36052980</v>
      </c>
      <c r="E136" s="66">
        <f t="shared" si="96"/>
        <v>35994233</v>
      </c>
      <c r="F136" s="66">
        <f t="shared" si="96"/>
        <v>-1253</v>
      </c>
      <c r="G136" s="66">
        <f t="shared" si="96"/>
        <v>0</v>
      </c>
      <c r="H136" s="66">
        <f t="shared" si="96"/>
        <v>0</v>
      </c>
      <c r="I136" s="66">
        <f t="shared" si="96"/>
        <v>0</v>
      </c>
      <c r="J136" s="66">
        <f t="shared" ref="J136:N136" si="97">J49+J48+J46+J51+J50+J43+J42</f>
        <v>0</v>
      </c>
      <c r="K136" s="66">
        <f t="shared" si="97"/>
        <v>0</v>
      </c>
      <c r="L136" s="66">
        <f t="shared" ref="L136:M136" si="98">L49+L48+L46+L51+L50+L43+L42</f>
        <v>0</v>
      </c>
      <c r="M136" s="66">
        <f t="shared" si="98"/>
        <v>0</v>
      </c>
      <c r="N136" s="66">
        <f t="shared" si="97"/>
        <v>0</v>
      </c>
      <c r="O136" s="66">
        <f t="shared" si="96"/>
        <v>35992980</v>
      </c>
      <c r="P136" s="109">
        <f t="shared" si="96"/>
        <v>35992980</v>
      </c>
      <c r="Q136" s="1"/>
    </row>
    <row r="137" spans="1:17" x14ac:dyDescent="0.2">
      <c r="A137" s="389"/>
      <c r="B137" s="376"/>
      <c r="C137" s="63" t="s">
        <v>31</v>
      </c>
      <c r="D137" s="4">
        <f>D77+D58+D93</f>
        <v>388897</v>
      </c>
      <c r="E137" s="4">
        <f t="shared" ref="E137:P137" si="99">E77+E58+E93</f>
        <v>966853</v>
      </c>
      <c r="F137" s="4">
        <f t="shared" si="99"/>
        <v>0</v>
      </c>
      <c r="G137" s="4">
        <f t="shared" si="99"/>
        <v>0</v>
      </c>
      <c r="H137" s="4">
        <f t="shared" si="99"/>
        <v>0</v>
      </c>
      <c r="I137" s="4">
        <f t="shared" si="99"/>
        <v>0</v>
      </c>
      <c r="J137" s="4">
        <f t="shared" ref="J137:N137" si="100">J77+J58+J93</f>
        <v>0</v>
      </c>
      <c r="K137" s="4">
        <f t="shared" si="100"/>
        <v>0</v>
      </c>
      <c r="L137" s="4">
        <f t="shared" ref="L137:M137" si="101">L77+L58+L93</f>
        <v>0</v>
      </c>
      <c r="M137" s="4">
        <f t="shared" si="101"/>
        <v>0</v>
      </c>
      <c r="N137" s="4">
        <f t="shared" si="100"/>
        <v>0</v>
      </c>
      <c r="O137" s="4">
        <f t="shared" si="99"/>
        <v>966853</v>
      </c>
      <c r="P137" s="4">
        <f t="shared" si="99"/>
        <v>966853</v>
      </c>
    </row>
    <row r="138" spans="1:17" x14ac:dyDescent="0.2">
      <c r="A138" s="389"/>
      <c r="B138" s="376"/>
      <c r="C138" s="63" t="s">
        <v>32</v>
      </c>
      <c r="D138" s="4">
        <f t="shared" ref="D138:I138" si="102">D59+D78+D94</f>
        <v>0</v>
      </c>
      <c r="E138" s="4">
        <f t="shared" si="102"/>
        <v>2539896</v>
      </c>
      <c r="F138" s="4">
        <f t="shared" si="102"/>
        <v>96000</v>
      </c>
      <c r="G138" s="4">
        <f t="shared" si="102"/>
        <v>0</v>
      </c>
      <c r="H138" s="4">
        <f t="shared" si="102"/>
        <v>0</v>
      </c>
      <c r="I138" s="4">
        <f t="shared" si="102"/>
        <v>0</v>
      </c>
      <c r="J138" s="4">
        <f t="shared" ref="J138:N138" si="103">J59+J78+J94</f>
        <v>0</v>
      </c>
      <c r="K138" s="4">
        <f t="shared" si="103"/>
        <v>0</v>
      </c>
      <c r="L138" s="4">
        <f t="shared" ref="L138:M138" si="104">L59+L78+L94</f>
        <v>0</v>
      </c>
      <c r="M138" s="4">
        <f t="shared" si="104"/>
        <v>0</v>
      </c>
      <c r="N138" s="4">
        <f t="shared" si="103"/>
        <v>0</v>
      </c>
      <c r="O138" s="4">
        <f>O59+O78+O94</f>
        <v>2635896</v>
      </c>
      <c r="P138" s="4">
        <f>P59+P78+P94</f>
        <v>2635896</v>
      </c>
    </row>
    <row r="139" spans="1:17" x14ac:dyDescent="0.2">
      <c r="A139" s="389"/>
      <c r="B139" s="376"/>
      <c r="C139" s="63" t="s">
        <v>13</v>
      </c>
      <c r="D139" s="4">
        <f t="shared" ref="D139:P140" si="105">D79+D60+D95</f>
        <v>4296741</v>
      </c>
      <c r="E139" s="4">
        <f t="shared" si="105"/>
        <v>10033760</v>
      </c>
      <c r="F139" s="4">
        <f t="shared" si="105"/>
        <v>-96000</v>
      </c>
      <c r="G139" s="4">
        <f t="shared" si="105"/>
        <v>0</v>
      </c>
      <c r="H139" s="4">
        <f t="shared" si="105"/>
        <v>0</v>
      </c>
      <c r="I139" s="4">
        <f t="shared" si="105"/>
        <v>0</v>
      </c>
      <c r="J139" s="4">
        <f t="shared" ref="J139:N139" si="106">J79+J60+J95</f>
        <v>0</v>
      </c>
      <c r="K139" s="4">
        <f t="shared" si="106"/>
        <v>0</v>
      </c>
      <c r="L139" s="4">
        <f t="shared" ref="L139:M139" si="107">L79+L60+L95</f>
        <v>0</v>
      </c>
      <c r="M139" s="4">
        <f t="shared" si="107"/>
        <v>0</v>
      </c>
      <c r="N139" s="4">
        <f t="shared" si="106"/>
        <v>0</v>
      </c>
      <c r="O139" s="4">
        <f t="shared" si="105"/>
        <v>9937760</v>
      </c>
      <c r="P139" s="4">
        <f t="shared" si="105"/>
        <v>9827861</v>
      </c>
    </row>
    <row r="140" spans="1:17" x14ac:dyDescent="0.2">
      <c r="A140" s="389"/>
      <c r="B140" s="376"/>
      <c r="C140" s="63" t="s">
        <v>14</v>
      </c>
      <c r="D140" s="4">
        <f t="shared" si="105"/>
        <v>1265122</v>
      </c>
      <c r="E140" s="4">
        <f t="shared" si="105"/>
        <v>3655937</v>
      </c>
      <c r="F140" s="4">
        <f t="shared" si="105"/>
        <v>0</v>
      </c>
      <c r="G140" s="4">
        <f t="shared" si="105"/>
        <v>0</v>
      </c>
      <c r="H140" s="4">
        <f t="shared" si="105"/>
        <v>0</v>
      </c>
      <c r="I140" s="4">
        <f t="shared" si="105"/>
        <v>0</v>
      </c>
      <c r="J140" s="4">
        <f t="shared" ref="J140:N140" si="108">J80+J61+J96</f>
        <v>0</v>
      </c>
      <c r="K140" s="4">
        <f t="shared" si="108"/>
        <v>0</v>
      </c>
      <c r="L140" s="4">
        <f t="shared" ref="L140:M140" si="109">L80+L61+L96</f>
        <v>0</v>
      </c>
      <c r="M140" s="4">
        <f t="shared" si="109"/>
        <v>0</v>
      </c>
      <c r="N140" s="4">
        <f t="shared" si="108"/>
        <v>0</v>
      </c>
      <c r="O140" s="4">
        <f t="shared" si="105"/>
        <v>3655937</v>
      </c>
      <c r="P140" s="4">
        <f t="shared" si="105"/>
        <v>3626265</v>
      </c>
    </row>
    <row r="141" spans="1:17" x14ac:dyDescent="0.2">
      <c r="A141" s="389"/>
      <c r="B141" s="376"/>
      <c r="C141" s="65" t="s">
        <v>97</v>
      </c>
      <c r="D141" s="66">
        <f t="shared" ref="D141:I141" si="110">D80+D79+D77+D61+D60+D59+D58+D78+D93+D95+D96+D94</f>
        <v>5950760</v>
      </c>
      <c r="E141" s="66">
        <f t="shared" si="110"/>
        <v>17196446</v>
      </c>
      <c r="F141" s="66">
        <f t="shared" si="110"/>
        <v>0</v>
      </c>
      <c r="G141" s="66">
        <f t="shared" si="110"/>
        <v>0</v>
      </c>
      <c r="H141" s="66">
        <f t="shared" si="110"/>
        <v>0</v>
      </c>
      <c r="I141" s="66">
        <f t="shared" si="110"/>
        <v>0</v>
      </c>
      <c r="J141" s="66">
        <f t="shared" ref="J141:N141" si="111">J80+J79+J77+J61+J60+J59+J58+J78+J93+J95+J96+J94</f>
        <v>0</v>
      </c>
      <c r="K141" s="66">
        <f t="shared" si="111"/>
        <v>0</v>
      </c>
      <c r="L141" s="66">
        <f t="shared" ref="L141:M141" si="112">L80+L79+L77+L61+L60+L59+L58+L78+L93+L95+L96+L94</f>
        <v>0</v>
      </c>
      <c r="M141" s="66">
        <f t="shared" si="112"/>
        <v>0</v>
      </c>
      <c r="N141" s="66">
        <f t="shared" si="111"/>
        <v>0</v>
      </c>
      <c r="O141" s="66">
        <f>O80+O79+O77+O61+O60+O59+O58+O78+O93+O95+O96+O94</f>
        <v>17196446</v>
      </c>
      <c r="P141" s="66">
        <f>P80+P79+P77+P61+P60+P59+P58+P78+P93+P95+P96+P94</f>
        <v>17056875</v>
      </c>
      <c r="Q141" s="1"/>
    </row>
    <row r="142" spans="1:17" x14ac:dyDescent="0.2">
      <c r="A142" s="389"/>
      <c r="B142" s="376"/>
      <c r="C142" s="63" t="s">
        <v>15</v>
      </c>
      <c r="D142" s="4">
        <f t="shared" ref="D142:P143" si="113">D81+D62+D97</f>
        <v>4121943</v>
      </c>
      <c r="E142" s="4">
        <f t="shared" si="113"/>
        <v>34661221</v>
      </c>
      <c r="F142" s="4">
        <f t="shared" si="113"/>
        <v>0</v>
      </c>
      <c r="G142" s="4">
        <f t="shared" si="113"/>
        <v>0</v>
      </c>
      <c r="H142" s="4">
        <f t="shared" si="113"/>
        <v>0</v>
      </c>
      <c r="I142" s="4">
        <f t="shared" si="113"/>
        <v>0</v>
      </c>
      <c r="J142" s="4">
        <f t="shared" ref="J142:N142" si="114">J81+J62+J97</f>
        <v>6973449</v>
      </c>
      <c r="K142" s="4">
        <f t="shared" si="114"/>
        <v>0</v>
      </c>
      <c r="L142" s="4">
        <f t="shared" ref="L142:M142" si="115">L81+L62+L97</f>
        <v>0</v>
      </c>
      <c r="M142" s="4">
        <f t="shared" si="115"/>
        <v>0</v>
      </c>
      <c r="N142" s="4">
        <f t="shared" si="114"/>
        <v>0</v>
      </c>
      <c r="O142" s="4">
        <f t="shared" si="113"/>
        <v>41634670</v>
      </c>
      <c r="P142" s="4">
        <f t="shared" si="113"/>
        <v>2828729</v>
      </c>
    </row>
    <row r="143" spans="1:17" x14ac:dyDescent="0.2">
      <c r="A143" s="389"/>
      <c r="B143" s="376"/>
      <c r="C143" s="63" t="s">
        <v>16</v>
      </c>
      <c r="D143" s="4">
        <f t="shared" si="113"/>
        <v>1112924</v>
      </c>
      <c r="E143" s="4">
        <f t="shared" si="113"/>
        <v>9358530</v>
      </c>
      <c r="F143" s="4">
        <f t="shared" si="113"/>
        <v>0</v>
      </c>
      <c r="G143" s="4">
        <f t="shared" si="113"/>
        <v>0</v>
      </c>
      <c r="H143" s="4">
        <f t="shared" si="113"/>
        <v>0</v>
      </c>
      <c r="I143" s="4">
        <f t="shared" si="113"/>
        <v>0</v>
      </c>
      <c r="J143" s="4">
        <f t="shared" ref="J143:N143" si="116">J82+J63+J98</f>
        <v>1882830</v>
      </c>
      <c r="K143" s="4">
        <f t="shared" si="116"/>
        <v>0</v>
      </c>
      <c r="L143" s="4">
        <f t="shared" ref="L143:M143" si="117">L82+L63+L98</f>
        <v>0</v>
      </c>
      <c r="M143" s="4">
        <f t="shared" si="117"/>
        <v>0</v>
      </c>
      <c r="N143" s="4">
        <f t="shared" si="116"/>
        <v>0</v>
      </c>
      <c r="O143" s="4">
        <f t="shared" si="113"/>
        <v>11241360</v>
      </c>
      <c r="P143" s="4">
        <f t="shared" si="113"/>
        <v>493942</v>
      </c>
    </row>
    <row r="144" spans="1:17" x14ac:dyDescent="0.2">
      <c r="A144" s="389"/>
      <c r="B144" s="376"/>
      <c r="C144" s="65" t="s">
        <v>98</v>
      </c>
      <c r="D144" s="66">
        <f>D82+D81+D63+D62+D97+D98</f>
        <v>5234867</v>
      </c>
      <c r="E144" s="66">
        <f t="shared" ref="E144:P144" si="118">E82+E81+E63+E62+E97+E98</f>
        <v>44019751</v>
      </c>
      <c r="F144" s="66">
        <f t="shared" si="118"/>
        <v>0</v>
      </c>
      <c r="G144" s="66">
        <f t="shared" si="118"/>
        <v>0</v>
      </c>
      <c r="H144" s="66">
        <f t="shared" si="118"/>
        <v>0</v>
      </c>
      <c r="I144" s="66">
        <f t="shared" si="118"/>
        <v>0</v>
      </c>
      <c r="J144" s="66">
        <f t="shared" ref="J144:N144" si="119">J82+J81+J63+J62+J97+J98</f>
        <v>8856279</v>
      </c>
      <c r="K144" s="66">
        <f t="shared" si="119"/>
        <v>0</v>
      </c>
      <c r="L144" s="66">
        <f t="shared" ref="L144:M144" si="120">L82+L81+L63+L62+L97+L98</f>
        <v>0</v>
      </c>
      <c r="M144" s="66">
        <f t="shared" si="120"/>
        <v>0</v>
      </c>
      <c r="N144" s="66">
        <f t="shared" si="119"/>
        <v>0</v>
      </c>
      <c r="O144" s="66">
        <f t="shared" si="118"/>
        <v>52876030</v>
      </c>
      <c r="P144" s="66">
        <f t="shared" si="118"/>
        <v>3322671</v>
      </c>
      <c r="Q144" s="1"/>
    </row>
    <row r="145" spans="1:17" x14ac:dyDescent="0.2">
      <c r="A145" s="389"/>
      <c r="B145" s="376"/>
      <c r="C145" s="65" t="s">
        <v>110</v>
      </c>
      <c r="D145" s="66">
        <f>D47</f>
        <v>4500000</v>
      </c>
      <c r="E145" s="66">
        <f t="shared" ref="E145:P145" si="121">E47</f>
        <v>4500000</v>
      </c>
      <c r="F145" s="66">
        <f t="shared" si="121"/>
        <v>0</v>
      </c>
      <c r="G145" s="66">
        <f t="shared" si="121"/>
        <v>0</v>
      </c>
      <c r="H145" s="66">
        <f t="shared" si="121"/>
        <v>0</v>
      </c>
      <c r="I145" s="66">
        <f t="shared" si="121"/>
        <v>0</v>
      </c>
      <c r="J145" s="66">
        <f t="shared" ref="J145:N145" si="122">J47</f>
        <v>0</v>
      </c>
      <c r="K145" s="66">
        <f t="shared" si="122"/>
        <v>0</v>
      </c>
      <c r="L145" s="66">
        <f t="shared" ref="L145:M145" si="123">L47</f>
        <v>0</v>
      </c>
      <c r="M145" s="66">
        <f t="shared" si="123"/>
        <v>0</v>
      </c>
      <c r="N145" s="66">
        <f t="shared" si="122"/>
        <v>0</v>
      </c>
      <c r="O145" s="66">
        <f t="shared" si="121"/>
        <v>4500000</v>
      </c>
      <c r="P145" s="110">
        <f t="shared" si="121"/>
        <v>4500000</v>
      </c>
      <c r="Q145" s="1"/>
    </row>
    <row r="146" spans="1:17" x14ac:dyDescent="0.2">
      <c r="A146" s="389"/>
      <c r="B146" s="376"/>
      <c r="C146" s="63" t="s">
        <v>3</v>
      </c>
      <c r="D146" s="67">
        <f t="shared" ref="D146:P146" si="124">D44</f>
        <v>313437148</v>
      </c>
      <c r="E146" s="67">
        <f t="shared" si="124"/>
        <v>337741448</v>
      </c>
      <c r="F146" s="67">
        <f t="shared" si="124"/>
        <v>0</v>
      </c>
      <c r="G146" s="67">
        <f t="shared" si="124"/>
        <v>0</v>
      </c>
      <c r="H146" s="67">
        <f t="shared" si="124"/>
        <v>-1253</v>
      </c>
      <c r="I146" s="67">
        <f t="shared" si="124"/>
        <v>0</v>
      </c>
      <c r="J146" s="67">
        <f t="shared" ref="J146:N146" si="125">J44</f>
        <v>0</v>
      </c>
      <c r="K146" s="67">
        <f t="shared" si="125"/>
        <v>0</v>
      </c>
      <c r="L146" s="67">
        <f t="shared" ref="L146:M146" si="126">L44</f>
        <v>0</v>
      </c>
      <c r="M146" s="67">
        <f t="shared" si="126"/>
        <v>16016</v>
      </c>
      <c r="N146" s="67">
        <f t="shared" si="125"/>
        <v>303990</v>
      </c>
      <c r="O146" s="67">
        <f t="shared" si="124"/>
        <v>338060201</v>
      </c>
      <c r="P146" s="111">
        <f t="shared" si="124"/>
        <v>338060201</v>
      </c>
      <c r="Q146" s="1"/>
    </row>
    <row r="147" spans="1:17" x14ac:dyDescent="0.2">
      <c r="A147" s="390"/>
      <c r="B147" s="391"/>
      <c r="C147" s="65" t="s">
        <v>99</v>
      </c>
      <c r="D147" s="66">
        <f>D99</f>
        <v>426209554</v>
      </c>
      <c r="E147" s="66">
        <f t="shared" ref="E147:P147" si="127">E99</f>
        <v>516784976</v>
      </c>
      <c r="F147" s="66">
        <f t="shared" si="127"/>
        <v>0</v>
      </c>
      <c r="G147" s="66">
        <f t="shared" si="127"/>
        <v>-12025746</v>
      </c>
      <c r="H147" s="66">
        <f t="shared" si="127"/>
        <v>-1253</v>
      </c>
      <c r="I147" s="66">
        <f t="shared" si="127"/>
        <v>-225</v>
      </c>
      <c r="J147" s="66">
        <f t="shared" ref="J147:N147" si="128">J99</f>
        <v>15431586</v>
      </c>
      <c r="K147" s="66">
        <f t="shared" si="128"/>
        <v>0</v>
      </c>
      <c r="L147" s="66">
        <f t="shared" ref="L147:M147" si="129">L99</f>
        <v>-699706</v>
      </c>
      <c r="M147" s="66">
        <f t="shared" si="129"/>
        <v>16016</v>
      </c>
      <c r="N147" s="66">
        <f t="shared" si="128"/>
        <v>303990</v>
      </c>
      <c r="O147" s="66">
        <f t="shared" si="127"/>
        <v>519809638</v>
      </c>
      <c r="P147" s="66">
        <f t="shared" si="127"/>
        <v>430906893</v>
      </c>
      <c r="Q147" s="1"/>
    </row>
    <row r="148" spans="1:17" x14ac:dyDescent="0.2">
      <c r="A148" s="1"/>
      <c r="B148" s="98"/>
      <c r="C148" s="1"/>
      <c r="D148" s="1"/>
      <c r="E148" s="1"/>
      <c r="F148" s="68"/>
      <c r="G148" s="1"/>
      <c r="H148" s="1"/>
      <c r="I148" s="1"/>
      <c r="J148" s="1"/>
      <c r="K148" s="1"/>
      <c r="L148" s="1"/>
      <c r="M148" s="1"/>
      <c r="N148" s="1"/>
      <c r="O148" s="1"/>
      <c r="P148" s="112"/>
      <c r="Q148" s="1"/>
    </row>
    <row r="149" spans="1:17" x14ac:dyDescent="0.2">
      <c r="C149" s="5"/>
      <c r="D149" s="5"/>
      <c r="F149" s="2"/>
    </row>
    <row r="150" spans="1:17" x14ac:dyDescent="0.2">
      <c r="C150" s="5"/>
      <c r="D150" s="5"/>
      <c r="F150" s="2"/>
    </row>
    <row r="153" spans="1:17" x14ac:dyDescent="0.2">
      <c r="A153" s="16" t="s">
        <v>52</v>
      </c>
      <c r="B153" s="16"/>
      <c r="C153" s="16"/>
      <c r="D153" s="16"/>
      <c r="E153" s="16"/>
      <c r="F153" s="16"/>
    </row>
    <row r="154" spans="1:17" x14ac:dyDescent="0.2">
      <c r="A154" s="201"/>
      <c r="B154" s="201"/>
      <c r="C154" s="201"/>
      <c r="D154" s="14"/>
      <c r="E154" s="14"/>
      <c r="F154" s="15"/>
    </row>
    <row r="155" spans="1:17" x14ac:dyDescent="0.2">
      <c r="A155" s="16" t="s">
        <v>191</v>
      </c>
      <c r="B155" s="16"/>
      <c r="C155" s="16"/>
      <c r="D155" s="16"/>
      <c r="E155" s="199"/>
      <c r="F155" s="202">
        <f>SUM(N30,N31,M31)</f>
        <v>-77445</v>
      </c>
    </row>
    <row r="156" spans="1:17" x14ac:dyDescent="0.2">
      <c r="A156" s="16" t="s">
        <v>192</v>
      </c>
      <c r="B156" s="16"/>
      <c r="C156" s="16"/>
      <c r="D156" s="16"/>
      <c r="E156" s="199"/>
      <c r="F156" s="202">
        <f>SUM(N29)</f>
        <v>397451</v>
      </c>
    </row>
    <row r="157" spans="1:17" x14ac:dyDescent="0.2">
      <c r="A157" s="16" t="s">
        <v>147</v>
      </c>
      <c r="B157" s="16"/>
      <c r="C157" s="16"/>
      <c r="D157" s="16"/>
      <c r="E157" s="199"/>
      <c r="F157" s="202">
        <f>SUM(L11,L13,L14)</f>
        <v>-699706</v>
      </c>
    </row>
    <row r="158" spans="1:17" x14ac:dyDescent="0.2">
      <c r="A158" s="364" t="s">
        <v>159</v>
      </c>
      <c r="B158" s="364"/>
      <c r="C158" s="364"/>
      <c r="D158" s="364"/>
      <c r="E158" s="199"/>
      <c r="F158" s="202">
        <f>SUM(J26,G20)</f>
        <v>-5449639</v>
      </c>
    </row>
    <row r="159" spans="1:17" x14ac:dyDescent="0.2">
      <c r="A159" s="364" t="s">
        <v>193</v>
      </c>
      <c r="B159" s="364"/>
      <c r="C159" s="364"/>
      <c r="D159" s="364"/>
      <c r="E159" s="199"/>
      <c r="F159" s="202">
        <f>H9</f>
        <v>-1253</v>
      </c>
    </row>
    <row r="160" spans="1:17" x14ac:dyDescent="0.2">
      <c r="A160" s="16" t="s">
        <v>158</v>
      </c>
      <c r="B160" s="16"/>
      <c r="C160" s="16"/>
      <c r="D160" s="16"/>
      <c r="E160" s="199"/>
      <c r="F160" s="202">
        <f>J27</f>
        <v>8856279</v>
      </c>
    </row>
    <row r="161" spans="1:6" x14ac:dyDescent="0.2">
      <c r="A161" s="199" t="s">
        <v>61</v>
      </c>
      <c r="B161" s="199"/>
      <c r="C161" s="199"/>
      <c r="D161" s="199"/>
      <c r="E161" s="199"/>
      <c r="F161" s="202">
        <v>0</v>
      </c>
    </row>
    <row r="162" spans="1:6" x14ac:dyDescent="0.2">
      <c r="A162" s="364" t="s">
        <v>62</v>
      </c>
      <c r="B162" s="364"/>
      <c r="C162" s="364"/>
      <c r="D162" s="364"/>
      <c r="E162" s="199"/>
      <c r="F162" s="202">
        <f>G25+I6+K6+K8+I8</f>
        <v>-1025</v>
      </c>
    </row>
    <row r="163" spans="1:6" x14ac:dyDescent="0.2">
      <c r="A163" s="200" t="s">
        <v>149</v>
      </c>
      <c r="B163" s="200"/>
      <c r="C163" s="200"/>
      <c r="D163" s="200"/>
      <c r="E163" s="200"/>
      <c r="F163" s="203">
        <v>0</v>
      </c>
    </row>
    <row r="164" spans="1:6" x14ac:dyDescent="0.2">
      <c r="A164" s="364" t="s">
        <v>63</v>
      </c>
      <c r="B164" s="364"/>
      <c r="C164" s="364"/>
      <c r="D164" s="364"/>
      <c r="E164" s="199"/>
      <c r="F164" s="202">
        <f>SUM(F155:F163)</f>
        <v>3024662</v>
      </c>
    </row>
    <row r="165" spans="1:6" x14ac:dyDescent="0.2">
      <c r="A165" s="366"/>
      <c r="B165" s="366"/>
      <c r="C165" s="366"/>
      <c r="D165" s="366"/>
      <c r="E165" s="366"/>
      <c r="F165" s="366"/>
    </row>
    <row r="166" spans="1:6" x14ac:dyDescent="0.2">
      <c r="A166" s="366"/>
      <c r="B166" s="366"/>
      <c r="C166" s="366"/>
      <c r="D166" s="366"/>
      <c r="E166" s="366"/>
      <c r="F166" s="366"/>
    </row>
    <row r="167" spans="1:6" x14ac:dyDescent="0.2">
      <c r="A167" s="366"/>
      <c r="B167" s="366"/>
      <c r="C167" s="366"/>
      <c r="D167" s="366"/>
      <c r="E167" s="366"/>
      <c r="F167" s="366"/>
    </row>
    <row r="168" spans="1:6" x14ac:dyDescent="0.2">
      <c r="A168" s="364" t="s">
        <v>64</v>
      </c>
      <c r="B168" s="364"/>
      <c r="C168" s="364"/>
      <c r="D168" s="364"/>
      <c r="E168" s="364"/>
      <c r="F168" s="364"/>
    </row>
    <row r="169" spans="1:6" x14ac:dyDescent="0.2">
      <c r="A169" s="366"/>
      <c r="B169" s="366"/>
      <c r="C169" s="366"/>
      <c r="D169" s="366"/>
      <c r="E169" s="366"/>
      <c r="F169" s="366"/>
    </row>
    <row r="170" spans="1:6" x14ac:dyDescent="0.2">
      <c r="A170" s="364" t="s">
        <v>65</v>
      </c>
      <c r="B170" s="364"/>
      <c r="C170" s="364"/>
      <c r="D170" s="364"/>
      <c r="E170" s="199"/>
      <c r="F170" s="15">
        <f>H44+N44+M44</f>
        <v>318753</v>
      </c>
    </row>
    <row r="171" spans="1:6" x14ac:dyDescent="0.2">
      <c r="A171" s="199" t="s">
        <v>150</v>
      </c>
      <c r="B171" s="199"/>
      <c r="C171" s="199"/>
      <c r="D171" s="199"/>
      <c r="E171" s="199"/>
      <c r="F171" s="15">
        <f>H42</f>
        <v>0</v>
      </c>
    </row>
    <row r="172" spans="1:6" x14ac:dyDescent="0.2">
      <c r="A172" s="364" t="s">
        <v>66</v>
      </c>
      <c r="B172" s="364"/>
      <c r="C172" s="364"/>
      <c r="D172" s="364"/>
      <c r="E172" s="199"/>
      <c r="F172" s="15">
        <f>G65+G66+J83</f>
        <v>-3957671</v>
      </c>
    </row>
    <row r="173" spans="1:6" x14ac:dyDescent="0.2">
      <c r="A173" s="364" t="s">
        <v>67</v>
      </c>
      <c r="B173" s="364"/>
      <c r="C173" s="364"/>
      <c r="D173" s="364"/>
      <c r="E173" s="199"/>
      <c r="F173" s="15">
        <f>G67+J84</f>
        <v>318555</v>
      </c>
    </row>
    <row r="174" spans="1:6" x14ac:dyDescent="0.2">
      <c r="A174" s="364" t="s">
        <v>68</v>
      </c>
      <c r="B174" s="364"/>
      <c r="C174" s="364"/>
      <c r="D174" s="364"/>
      <c r="E174" s="199"/>
      <c r="F174" s="15">
        <f>J92+J91+J89+J87+G73+G72+G71+G69+G68+I41+H37+K36+L37+I36</f>
        <v>-2511254</v>
      </c>
    </row>
    <row r="175" spans="1:6" x14ac:dyDescent="0.2">
      <c r="A175" s="199" t="s">
        <v>151</v>
      </c>
      <c r="B175" s="199"/>
      <c r="C175" s="199"/>
      <c r="D175" s="199"/>
      <c r="E175" s="199"/>
      <c r="F175" s="15">
        <v>0</v>
      </c>
    </row>
    <row r="176" spans="1:6" x14ac:dyDescent="0.2">
      <c r="A176" s="199" t="s">
        <v>157</v>
      </c>
      <c r="B176" s="199"/>
      <c r="C176" s="199"/>
      <c r="D176" s="199"/>
      <c r="E176" s="199"/>
      <c r="F176" s="15">
        <f>J97+J98</f>
        <v>8856279</v>
      </c>
    </row>
    <row r="177" spans="1:6" x14ac:dyDescent="0.2">
      <c r="A177" s="199" t="s">
        <v>69</v>
      </c>
      <c r="B177" s="199"/>
      <c r="C177" s="199"/>
      <c r="D177" s="199"/>
      <c r="E177" s="199"/>
      <c r="F177" s="15">
        <v>0</v>
      </c>
    </row>
    <row r="178" spans="1:6" x14ac:dyDescent="0.2">
      <c r="A178" s="20" t="s">
        <v>152</v>
      </c>
      <c r="B178" s="20"/>
      <c r="C178" s="20"/>
      <c r="D178" s="21"/>
      <c r="E178" s="21"/>
      <c r="F178" s="22">
        <v>0</v>
      </c>
    </row>
    <row r="179" spans="1:6" x14ac:dyDescent="0.2">
      <c r="A179" s="362" t="s">
        <v>63</v>
      </c>
      <c r="B179" s="362"/>
      <c r="C179" s="362"/>
      <c r="D179" s="362"/>
      <c r="E179" s="199"/>
      <c r="F179" s="15">
        <f>SUM(F170:F178)</f>
        <v>3024662</v>
      </c>
    </row>
    <row r="180" spans="1:6" x14ac:dyDescent="0.2">
      <c r="A180" s="199"/>
      <c r="B180" s="16"/>
      <c r="C180" s="23"/>
      <c r="D180" s="14"/>
      <c r="E180" s="14"/>
      <c r="F180" s="15"/>
    </row>
    <row r="181" spans="1:6" x14ac:dyDescent="0.2">
      <c r="A181" s="364" t="s">
        <v>70</v>
      </c>
      <c r="B181" s="364"/>
      <c r="C181" s="364"/>
      <c r="D181" s="364"/>
      <c r="E181" s="364"/>
      <c r="F181" s="364"/>
    </row>
    <row r="182" spans="1:6" x14ac:dyDescent="0.2">
      <c r="A182" s="201"/>
      <c r="B182" s="201"/>
      <c r="C182" s="201"/>
      <c r="D182" s="14"/>
      <c r="E182" s="14"/>
      <c r="F182" s="15"/>
    </row>
    <row r="183" spans="1:6" x14ac:dyDescent="0.2">
      <c r="A183" s="16" t="s">
        <v>145</v>
      </c>
      <c r="B183" s="16"/>
      <c r="C183" s="16"/>
      <c r="D183" s="16"/>
      <c r="E183" s="199"/>
      <c r="F183" s="15">
        <f>F20+F23</f>
        <v>0</v>
      </c>
    </row>
    <row r="184" spans="1:6" x14ac:dyDescent="0.2">
      <c r="A184" s="364" t="s">
        <v>146</v>
      </c>
      <c r="B184" s="364"/>
      <c r="C184" s="364"/>
      <c r="D184" s="364"/>
      <c r="E184" s="199"/>
      <c r="F184" s="15">
        <v>0</v>
      </c>
    </row>
    <row r="185" spans="1:6" x14ac:dyDescent="0.2">
      <c r="A185" s="16" t="s">
        <v>147</v>
      </c>
      <c r="B185" s="199"/>
      <c r="C185" s="199"/>
      <c r="D185" s="199"/>
      <c r="E185" s="199"/>
      <c r="F185" s="15">
        <v>0</v>
      </c>
    </row>
    <row r="186" spans="1:6" x14ac:dyDescent="0.2">
      <c r="A186" s="364" t="s">
        <v>148</v>
      </c>
      <c r="B186" s="364"/>
      <c r="C186" s="364"/>
      <c r="D186" s="364"/>
      <c r="E186" s="199"/>
      <c r="F186" s="15">
        <v>0</v>
      </c>
    </row>
    <row r="187" spans="1:6" x14ac:dyDescent="0.2">
      <c r="A187" s="364" t="s">
        <v>153</v>
      </c>
      <c r="B187" s="364"/>
      <c r="C187" s="364"/>
      <c r="D187" s="364"/>
      <c r="E187" s="199"/>
      <c r="F187" s="15">
        <v>0</v>
      </c>
    </row>
    <row r="188" spans="1:6" x14ac:dyDescent="0.2">
      <c r="A188" s="16" t="s">
        <v>154</v>
      </c>
      <c r="B188" s="16"/>
      <c r="C188" s="16"/>
      <c r="D188" s="16"/>
      <c r="E188" s="199"/>
      <c r="F188" s="15">
        <v>0</v>
      </c>
    </row>
    <row r="189" spans="1:6" x14ac:dyDescent="0.2">
      <c r="A189" s="199" t="s">
        <v>61</v>
      </c>
      <c r="B189" s="199"/>
      <c r="C189" s="199"/>
      <c r="D189" s="199"/>
      <c r="E189" s="199"/>
      <c r="F189" s="15">
        <v>0</v>
      </c>
    </row>
    <row r="190" spans="1:6" x14ac:dyDescent="0.2">
      <c r="A190" s="365" t="s">
        <v>62</v>
      </c>
      <c r="B190" s="365"/>
      <c r="C190" s="365"/>
      <c r="D190" s="365"/>
      <c r="E190" s="200"/>
      <c r="F190" s="19">
        <v>0</v>
      </c>
    </row>
    <row r="191" spans="1:6" x14ac:dyDescent="0.2">
      <c r="A191" s="362" t="s">
        <v>63</v>
      </c>
      <c r="B191" s="362"/>
      <c r="C191" s="362"/>
      <c r="D191" s="362"/>
      <c r="E191" s="199"/>
      <c r="F191" s="15">
        <f>SUM(F183:F190)</f>
        <v>0</v>
      </c>
    </row>
    <row r="192" spans="1:6" x14ac:dyDescent="0.2">
      <c r="A192" s="366"/>
      <c r="B192" s="366"/>
      <c r="C192" s="366"/>
      <c r="D192" s="366"/>
      <c r="E192" s="366"/>
      <c r="F192" s="366"/>
    </row>
    <row r="193" spans="1:6" x14ac:dyDescent="0.2">
      <c r="A193" s="366"/>
      <c r="B193" s="366"/>
      <c r="C193" s="366"/>
      <c r="D193" s="366"/>
      <c r="E193" s="366"/>
      <c r="F193" s="366"/>
    </row>
    <row r="194" spans="1:6" x14ac:dyDescent="0.2">
      <c r="A194" s="366"/>
      <c r="B194" s="366"/>
      <c r="C194" s="366"/>
      <c r="D194" s="366"/>
      <c r="E194" s="366"/>
      <c r="F194" s="366"/>
    </row>
    <row r="195" spans="1:6" x14ac:dyDescent="0.2">
      <c r="A195" s="364" t="s">
        <v>71</v>
      </c>
      <c r="B195" s="364"/>
      <c r="C195" s="364"/>
      <c r="D195" s="364"/>
      <c r="E195" s="364"/>
      <c r="F195" s="364"/>
    </row>
    <row r="196" spans="1:6" x14ac:dyDescent="0.2">
      <c r="A196" s="366"/>
      <c r="B196" s="366"/>
      <c r="C196" s="366"/>
      <c r="D196" s="366"/>
      <c r="E196" s="366"/>
      <c r="F196" s="366"/>
    </row>
    <row r="197" spans="1:6" x14ac:dyDescent="0.2">
      <c r="A197" s="364" t="s">
        <v>65</v>
      </c>
      <c r="B197" s="364"/>
      <c r="C197" s="364"/>
      <c r="D197" s="364"/>
      <c r="E197" s="199"/>
      <c r="F197" s="15">
        <v>0</v>
      </c>
    </row>
    <row r="198" spans="1:6" x14ac:dyDescent="0.2">
      <c r="A198" s="199" t="s">
        <v>162</v>
      </c>
      <c r="B198" s="199"/>
      <c r="C198" s="199"/>
      <c r="D198" s="199"/>
      <c r="E198" s="199"/>
      <c r="F198" s="15">
        <f>SUM(F42)</f>
        <v>-1253</v>
      </c>
    </row>
    <row r="199" spans="1:6" x14ac:dyDescent="0.2">
      <c r="A199" s="364" t="s">
        <v>66</v>
      </c>
      <c r="B199" s="364"/>
      <c r="C199" s="364"/>
      <c r="D199" s="364"/>
      <c r="E199" s="199"/>
      <c r="F199" s="15">
        <v>0</v>
      </c>
    </row>
    <row r="200" spans="1:6" x14ac:dyDescent="0.2">
      <c r="A200" s="364" t="s">
        <v>67</v>
      </c>
      <c r="B200" s="364"/>
      <c r="C200" s="364"/>
      <c r="D200" s="364"/>
      <c r="E200" s="199"/>
      <c r="F200" s="15">
        <v>0</v>
      </c>
    </row>
    <row r="201" spans="1:6" x14ac:dyDescent="0.2">
      <c r="A201" s="364" t="s">
        <v>68</v>
      </c>
      <c r="B201" s="364"/>
      <c r="C201" s="364"/>
      <c r="D201" s="364"/>
      <c r="E201" s="199"/>
      <c r="F201" s="15">
        <f>F72+F64+F37+F36+F34</f>
        <v>1253</v>
      </c>
    </row>
    <row r="202" spans="1:6" x14ac:dyDescent="0.2">
      <c r="A202" s="199" t="s">
        <v>72</v>
      </c>
      <c r="B202" s="199"/>
      <c r="C202" s="199"/>
      <c r="D202" s="199"/>
      <c r="E202" s="199"/>
      <c r="F202" s="15">
        <f>F95+F94</f>
        <v>0</v>
      </c>
    </row>
    <row r="203" spans="1:6" x14ac:dyDescent="0.2">
      <c r="A203" s="199" t="s">
        <v>73</v>
      </c>
      <c r="B203" s="199"/>
      <c r="C203" s="199"/>
      <c r="D203" s="199"/>
      <c r="E203" s="199"/>
      <c r="F203" s="15">
        <v>0</v>
      </c>
    </row>
    <row r="204" spans="1:6" x14ac:dyDescent="0.2">
      <c r="A204" s="20" t="s">
        <v>152</v>
      </c>
      <c r="B204" s="20"/>
      <c r="C204" s="20"/>
      <c r="D204" s="21"/>
      <c r="E204" s="21"/>
      <c r="F204" s="22">
        <v>0</v>
      </c>
    </row>
    <row r="205" spans="1:6" x14ac:dyDescent="0.2">
      <c r="A205" s="362" t="s">
        <v>63</v>
      </c>
      <c r="B205" s="362"/>
      <c r="C205" s="362"/>
      <c r="D205" s="362"/>
      <c r="E205" s="199"/>
      <c r="F205" s="15">
        <f>SUM(F197:F204)</f>
        <v>0</v>
      </c>
    </row>
    <row r="206" spans="1:6" x14ac:dyDescent="0.2">
      <c r="A206" s="24"/>
      <c r="B206" s="25"/>
      <c r="C206" s="26"/>
      <c r="D206" s="27"/>
      <c r="E206" s="27"/>
      <c r="F206" s="28"/>
    </row>
    <row r="207" spans="1:6" x14ac:dyDescent="0.2">
      <c r="A207" s="24"/>
      <c r="B207" s="25"/>
      <c r="C207" s="26"/>
      <c r="D207" s="27"/>
      <c r="E207" s="27"/>
      <c r="F207" s="28"/>
    </row>
    <row r="208" spans="1:6" x14ac:dyDescent="0.2">
      <c r="A208" s="359" t="s">
        <v>74</v>
      </c>
      <c r="B208" s="359"/>
      <c r="C208" s="359"/>
      <c r="D208" s="359"/>
      <c r="E208" s="359"/>
      <c r="F208" s="359"/>
    </row>
    <row r="209" spans="1:6" x14ac:dyDescent="0.2">
      <c r="A209" s="361"/>
      <c r="B209" s="361"/>
      <c r="C209" s="361"/>
      <c r="D209" s="361"/>
      <c r="E209" s="361"/>
      <c r="F209" s="361"/>
    </row>
    <row r="210" spans="1:6" x14ac:dyDescent="0.2">
      <c r="A210" s="197"/>
      <c r="B210" s="197"/>
      <c r="C210" s="197"/>
      <c r="D210" s="30"/>
      <c r="E210" s="30"/>
      <c r="F210" s="31"/>
    </row>
    <row r="211" spans="1:6" x14ac:dyDescent="0.2">
      <c r="A211" s="204" t="s">
        <v>191</v>
      </c>
      <c r="B211" s="32"/>
      <c r="C211" s="32"/>
      <c r="D211" s="32"/>
      <c r="E211" s="32"/>
      <c r="F211" s="31">
        <f>SUM(F155,F183)</f>
        <v>-77445</v>
      </c>
    </row>
    <row r="212" spans="1:6" x14ac:dyDescent="0.2">
      <c r="A212" s="204" t="s">
        <v>192</v>
      </c>
      <c r="B212" s="32"/>
      <c r="C212" s="32"/>
      <c r="D212" s="32"/>
      <c r="E212" s="196"/>
      <c r="F212" s="31">
        <f>SUM(F156,F184)</f>
        <v>397451</v>
      </c>
    </row>
    <row r="213" spans="1:6" x14ac:dyDescent="0.2">
      <c r="A213" s="359" t="s">
        <v>155</v>
      </c>
      <c r="B213" s="359"/>
      <c r="C213" s="359"/>
      <c r="D213" s="359"/>
      <c r="E213" s="196"/>
      <c r="F213" s="31">
        <f>SUM(F157,F185)</f>
        <v>-699706</v>
      </c>
    </row>
    <row r="214" spans="1:6" x14ac:dyDescent="0.2">
      <c r="A214" s="359" t="s">
        <v>160</v>
      </c>
      <c r="B214" s="359"/>
      <c r="C214" s="359"/>
      <c r="D214" s="359"/>
      <c r="E214" s="196"/>
      <c r="F214" s="31">
        <f>F158+F186</f>
        <v>-5449639</v>
      </c>
    </row>
    <row r="215" spans="1:6" x14ac:dyDescent="0.2">
      <c r="A215" s="359" t="s">
        <v>193</v>
      </c>
      <c r="B215" s="359"/>
      <c r="C215" s="359"/>
      <c r="D215" s="359"/>
      <c r="E215" s="196"/>
      <c r="F215" s="31">
        <f>F159+F187</f>
        <v>-1253</v>
      </c>
    </row>
    <row r="216" spans="1:6" x14ac:dyDescent="0.2">
      <c r="A216" s="32" t="s">
        <v>161</v>
      </c>
      <c r="B216" s="32"/>
      <c r="C216" s="32"/>
      <c r="D216" s="32"/>
      <c r="E216" s="196"/>
      <c r="F216" s="31">
        <f>SUM(F188,F160)</f>
        <v>8856279</v>
      </c>
    </row>
    <row r="217" spans="1:6" x14ac:dyDescent="0.2">
      <c r="A217" s="196" t="s">
        <v>61</v>
      </c>
      <c r="B217" s="196"/>
      <c r="C217" s="196"/>
      <c r="D217" s="196"/>
      <c r="E217" s="196"/>
      <c r="F217" s="31">
        <f>F189+F161</f>
        <v>0</v>
      </c>
    </row>
    <row r="218" spans="1:6" x14ac:dyDescent="0.2">
      <c r="A218" s="359" t="s">
        <v>62</v>
      </c>
      <c r="B218" s="359"/>
      <c r="C218" s="359"/>
      <c r="D218" s="359"/>
      <c r="E218" s="196"/>
      <c r="F218" s="31">
        <f>F190+F162</f>
        <v>-1025</v>
      </c>
    </row>
    <row r="219" spans="1:6" x14ac:dyDescent="0.2">
      <c r="A219" s="198" t="s">
        <v>149</v>
      </c>
      <c r="B219" s="198"/>
      <c r="C219" s="198"/>
      <c r="D219" s="198"/>
      <c r="E219" s="198"/>
      <c r="F219" s="35">
        <f>F163</f>
        <v>0</v>
      </c>
    </row>
    <row r="220" spans="1:6" x14ac:dyDescent="0.2">
      <c r="A220" s="359" t="s">
        <v>63</v>
      </c>
      <c r="B220" s="359"/>
      <c r="C220" s="359"/>
      <c r="D220" s="359"/>
      <c r="E220" s="196"/>
      <c r="F220" s="31">
        <f>SUM(F211:F219)</f>
        <v>3024662</v>
      </c>
    </row>
    <row r="221" spans="1:6" x14ac:dyDescent="0.2">
      <c r="A221" s="196"/>
      <c r="B221" s="196"/>
      <c r="C221" s="196"/>
      <c r="D221" s="196"/>
      <c r="E221" s="196"/>
      <c r="F221" s="31"/>
    </row>
    <row r="222" spans="1:6" x14ac:dyDescent="0.2">
      <c r="A222" s="196"/>
      <c r="B222" s="196"/>
      <c r="C222" s="196"/>
      <c r="D222" s="196"/>
      <c r="E222" s="196"/>
      <c r="F222" s="31"/>
    </row>
    <row r="223" spans="1:6" x14ac:dyDescent="0.2">
      <c r="A223" s="361"/>
      <c r="B223" s="361"/>
      <c r="C223" s="361"/>
      <c r="D223" s="361"/>
      <c r="E223" s="361"/>
      <c r="F223" s="361"/>
    </row>
    <row r="224" spans="1:6" x14ac:dyDescent="0.2">
      <c r="A224" s="359" t="s">
        <v>76</v>
      </c>
      <c r="B224" s="359"/>
      <c r="C224" s="359"/>
      <c r="D224" s="359"/>
      <c r="E224" s="359"/>
      <c r="F224" s="359"/>
    </row>
    <row r="225" spans="1:6" x14ac:dyDescent="0.2">
      <c r="A225" s="361"/>
      <c r="B225" s="361"/>
      <c r="C225" s="361"/>
      <c r="D225" s="361"/>
      <c r="E225" s="361"/>
      <c r="F225" s="361"/>
    </row>
    <row r="226" spans="1:6" x14ac:dyDescent="0.2">
      <c r="A226" s="359" t="s">
        <v>65</v>
      </c>
      <c r="B226" s="359"/>
      <c r="C226" s="359"/>
      <c r="D226" s="359"/>
      <c r="E226" s="196"/>
      <c r="F226" s="31">
        <f>SUM(F197,F170)</f>
        <v>318753</v>
      </c>
    </row>
    <row r="227" spans="1:6" x14ac:dyDescent="0.2">
      <c r="A227" s="196" t="s">
        <v>162</v>
      </c>
      <c r="B227" s="196"/>
      <c r="C227" s="196"/>
      <c r="D227" s="196"/>
      <c r="E227" s="196"/>
      <c r="F227" s="31">
        <f>F198+F171</f>
        <v>-1253</v>
      </c>
    </row>
    <row r="228" spans="1:6" x14ac:dyDescent="0.2">
      <c r="A228" s="359" t="s">
        <v>66</v>
      </c>
      <c r="B228" s="359"/>
      <c r="C228" s="359"/>
      <c r="D228" s="359"/>
      <c r="E228" s="196"/>
      <c r="F228" s="31">
        <f>F199+F172</f>
        <v>-3957671</v>
      </c>
    </row>
    <row r="229" spans="1:6" x14ac:dyDescent="0.2">
      <c r="A229" s="359" t="s">
        <v>67</v>
      </c>
      <c r="B229" s="359"/>
      <c r="C229" s="359"/>
      <c r="D229" s="359"/>
      <c r="E229" s="196"/>
      <c r="F229" s="31">
        <f>F200+F173</f>
        <v>318555</v>
      </c>
    </row>
    <row r="230" spans="1:6" x14ac:dyDescent="0.2">
      <c r="A230" s="359" t="s">
        <v>68</v>
      </c>
      <c r="B230" s="359"/>
      <c r="C230" s="359"/>
      <c r="D230" s="359"/>
      <c r="E230" s="196"/>
      <c r="F230" s="31">
        <f>F201+F174</f>
        <v>-2510001</v>
      </c>
    </row>
    <row r="231" spans="1:6" x14ac:dyDescent="0.2">
      <c r="A231" s="196" t="s">
        <v>72</v>
      </c>
      <c r="B231" s="196"/>
      <c r="C231" s="196"/>
      <c r="D231" s="196"/>
      <c r="E231" s="196"/>
      <c r="F231" s="31">
        <f>SUM(F202,F175)</f>
        <v>0</v>
      </c>
    </row>
    <row r="232" spans="1:6" x14ac:dyDescent="0.2">
      <c r="A232" s="196" t="s">
        <v>73</v>
      </c>
      <c r="B232" s="196"/>
      <c r="C232" s="196"/>
      <c r="D232" s="196"/>
      <c r="E232" s="196"/>
      <c r="F232" s="31">
        <f>SUM(F203,F176)</f>
        <v>8856279</v>
      </c>
    </row>
    <row r="233" spans="1:6" x14ac:dyDescent="0.2">
      <c r="A233" s="36" t="s">
        <v>152</v>
      </c>
      <c r="B233" s="36"/>
      <c r="C233" s="36"/>
      <c r="D233" s="37"/>
      <c r="E233" s="37"/>
      <c r="F233" s="155">
        <f>F204+F178</f>
        <v>0</v>
      </c>
    </row>
    <row r="234" spans="1:6" x14ac:dyDescent="0.2">
      <c r="A234" s="360" t="s">
        <v>63</v>
      </c>
      <c r="B234" s="360"/>
      <c r="C234" s="360"/>
      <c r="D234" s="360"/>
      <c r="E234" s="196"/>
      <c r="F234" s="31">
        <f>SUM(F226:F233)</f>
        <v>3024662</v>
      </c>
    </row>
  </sheetData>
  <mergeCells count="82">
    <mergeCell ref="A83:A98"/>
    <mergeCell ref="B83:B98"/>
    <mergeCell ref="A99:C99"/>
    <mergeCell ref="A105:B147"/>
    <mergeCell ref="B23:B25"/>
    <mergeCell ref="A50:A51"/>
    <mergeCell ref="B50:B51"/>
    <mergeCell ref="A52:A63"/>
    <mergeCell ref="B52:B63"/>
    <mergeCell ref="A64:A82"/>
    <mergeCell ref="B65:B82"/>
    <mergeCell ref="A33:A45"/>
    <mergeCell ref="B33:B41"/>
    <mergeCell ref="B42:B44"/>
    <mergeCell ref="A46:A47"/>
    <mergeCell ref="B46:B47"/>
    <mergeCell ref="A11:A12"/>
    <mergeCell ref="B11:B12"/>
    <mergeCell ref="A48:A49"/>
    <mergeCell ref="B48:B49"/>
    <mergeCell ref="A20:A25"/>
    <mergeCell ref="B20:B22"/>
    <mergeCell ref="A26:A28"/>
    <mergeCell ref="B26:B27"/>
    <mergeCell ref="A32:C32"/>
    <mergeCell ref="A15:A19"/>
    <mergeCell ref="B15:B17"/>
    <mergeCell ref="B18:B19"/>
    <mergeCell ref="A6:A10"/>
    <mergeCell ref="B6:B8"/>
    <mergeCell ref="B9:B10"/>
    <mergeCell ref="F4:N4"/>
    <mergeCell ref="A1:Q1"/>
    <mergeCell ref="A4:A5"/>
    <mergeCell ref="B4:B5"/>
    <mergeCell ref="C4:C5"/>
    <mergeCell ref="D4:D5"/>
    <mergeCell ref="E4:E5"/>
    <mergeCell ref="O4:O5"/>
    <mergeCell ref="P4:P5"/>
    <mergeCell ref="Q4:Q5"/>
    <mergeCell ref="A158:D158"/>
    <mergeCell ref="A159:D159"/>
    <mergeCell ref="A162:D162"/>
    <mergeCell ref="A164:D164"/>
    <mergeCell ref="A165:F167"/>
    <mergeCell ref="A168:F168"/>
    <mergeCell ref="A169:F169"/>
    <mergeCell ref="A170:D170"/>
    <mergeCell ref="A172:D172"/>
    <mergeCell ref="A173:D173"/>
    <mergeCell ref="A174:D174"/>
    <mergeCell ref="A179:D179"/>
    <mergeCell ref="A181:F181"/>
    <mergeCell ref="A184:D184"/>
    <mergeCell ref="A186:D186"/>
    <mergeCell ref="A187:D187"/>
    <mergeCell ref="A190:D190"/>
    <mergeCell ref="A191:D191"/>
    <mergeCell ref="A192:F194"/>
    <mergeCell ref="A195:F195"/>
    <mergeCell ref="A196:F196"/>
    <mergeCell ref="A197:D197"/>
    <mergeCell ref="A199:D199"/>
    <mergeCell ref="A200:D200"/>
    <mergeCell ref="A201:D201"/>
    <mergeCell ref="A205:D205"/>
    <mergeCell ref="A208:F208"/>
    <mergeCell ref="A209:F209"/>
    <mergeCell ref="A213:D213"/>
    <mergeCell ref="A214:D214"/>
    <mergeCell ref="A215:D215"/>
    <mergeCell ref="A218:D218"/>
    <mergeCell ref="A220:D220"/>
    <mergeCell ref="A223:F223"/>
    <mergeCell ref="A224:F224"/>
    <mergeCell ref="A234:D234"/>
    <mergeCell ref="A225:F225"/>
    <mergeCell ref="A226:D226"/>
    <mergeCell ref="A228:D228"/>
    <mergeCell ref="A229:D229"/>
    <mergeCell ref="A230:D23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  <rowBreaks count="2" manualBreakCount="2">
    <brk id="102" max="15" man="1"/>
    <brk id="206" max="15" man="1"/>
  </rowBreaks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246"/>
  <sheetViews>
    <sheetView tabSelected="1" view="pageBreakPreview" zoomScaleNormal="100" zoomScaleSheetLayoutView="100" workbookViewId="0">
      <pane xSplit="3" ySplit="5" topLeftCell="L159" activePane="bottomRight" state="frozen"/>
      <selection pane="topRight" activeCell="D1" sqref="D1"/>
      <selection pane="bottomLeft" activeCell="A6" sqref="A6"/>
      <selection pane="bottomRight" activeCell="L167" sqref="L167"/>
    </sheetView>
  </sheetViews>
  <sheetFormatPr defaultRowHeight="12.75" x14ac:dyDescent="0.2"/>
  <cols>
    <col min="1" max="1" width="57" customWidth="1"/>
    <col min="2" max="2" width="7.7109375" style="96" customWidth="1"/>
    <col min="3" max="3" width="8" customWidth="1"/>
    <col min="4" max="4" width="12.28515625" customWidth="1"/>
    <col min="5" max="5" width="12.85546875" hidden="1" customWidth="1"/>
    <col min="6" max="6" width="11" hidden="1" customWidth="1"/>
    <col min="7" max="7" width="13.42578125" hidden="1" customWidth="1"/>
    <col min="8" max="8" width="11" hidden="1" customWidth="1"/>
    <col min="9" max="9" width="8.85546875" hidden="1" customWidth="1"/>
    <col min="10" max="13" width="12.42578125" customWidth="1"/>
    <col min="14" max="15" width="12.28515625" customWidth="1"/>
    <col min="16" max="17" width="12.42578125" customWidth="1"/>
    <col min="18" max="18" width="14.42578125" style="101" customWidth="1"/>
    <col min="19" max="19" width="12.85546875" customWidth="1"/>
  </cols>
  <sheetData>
    <row r="1" spans="1:19" ht="15.75" x14ac:dyDescent="0.2">
      <c r="A1" s="528" t="s">
        <v>201</v>
      </c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  <c r="R1" s="529"/>
      <c r="S1" s="529"/>
    </row>
    <row r="2" spans="1:19" x14ac:dyDescent="0.2">
      <c r="E2" s="2"/>
    </row>
    <row r="3" spans="1:19" x14ac:dyDescent="0.2">
      <c r="E3" s="3"/>
      <c r="R3" s="102"/>
    </row>
    <row r="4" spans="1:19" x14ac:dyDescent="0.2">
      <c r="A4" s="428" t="s">
        <v>19</v>
      </c>
      <c r="B4" s="430" t="s">
        <v>0</v>
      </c>
      <c r="C4" s="428" t="s">
        <v>44</v>
      </c>
      <c r="D4" s="428" t="s">
        <v>21</v>
      </c>
      <c r="E4" s="432" t="s">
        <v>204</v>
      </c>
      <c r="F4" s="433"/>
      <c r="G4" s="433"/>
      <c r="H4" s="433"/>
      <c r="I4" s="433"/>
      <c r="J4" s="424" t="s">
        <v>200</v>
      </c>
      <c r="K4" s="532" t="s">
        <v>208</v>
      </c>
      <c r="L4" s="533"/>
      <c r="M4" s="533"/>
      <c r="N4" s="533"/>
      <c r="O4" s="533"/>
      <c r="P4" s="534"/>
      <c r="Q4" s="424" t="s">
        <v>142</v>
      </c>
      <c r="R4" s="530" t="s">
        <v>135</v>
      </c>
      <c r="S4" s="531" t="s">
        <v>199</v>
      </c>
    </row>
    <row r="5" spans="1:19" ht="77.25" customHeight="1" x14ac:dyDescent="0.2">
      <c r="A5" s="429"/>
      <c r="B5" s="431"/>
      <c r="C5" s="429"/>
      <c r="D5" s="429"/>
      <c r="E5" s="205" t="s">
        <v>43</v>
      </c>
      <c r="F5" s="206" t="s">
        <v>202</v>
      </c>
      <c r="G5" s="206" t="s">
        <v>203</v>
      </c>
      <c r="H5" s="206"/>
      <c r="I5" s="206"/>
      <c r="J5" s="425"/>
      <c r="K5" s="332" t="s">
        <v>43</v>
      </c>
      <c r="L5" s="332" t="s">
        <v>206</v>
      </c>
      <c r="M5" s="332" t="s">
        <v>207</v>
      </c>
      <c r="N5" s="332" t="s">
        <v>205</v>
      </c>
      <c r="O5" s="336" t="s">
        <v>216</v>
      </c>
      <c r="P5" s="332" t="s">
        <v>209</v>
      </c>
      <c r="Q5" s="425"/>
      <c r="R5" s="530"/>
      <c r="S5" s="531"/>
    </row>
    <row r="6" spans="1:19" ht="15" x14ac:dyDescent="0.25">
      <c r="A6" s="535" t="s">
        <v>38</v>
      </c>
      <c r="B6" s="207" t="s">
        <v>1</v>
      </c>
      <c r="C6" s="208" t="s">
        <v>41</v>
      </c>
      <c r="D6" s="209">
        <v>0</v>
      </c>
      <c r="E6" s="210"/>
      <c r="F6" s="209"/>
      <c r="G6" s="209"/>
      <c r="H6" s="209"/>
      <c r="I6" s="209"/>
      <c r="J6" s="211">
        <f t="shared" ref="J6:J32" si="0">SUM(D6:I6)</f>
        <v>0</v>
      </c>
      <c r="K6" s="211"/>
      <c r="L6" s="211"/>
      <c r="M6" s="211"/>
      <c r="N6" s="211">
        <v>808</v>
      </c>
      <c r="O6" s="211"/>
      <c r="P6" s="211"/>
      <c r="Q6" s="211">
        <f>SUM(J6:P6)</f>
        <v>808</v>
      </c>
      <c r="R6" s="212">
        <v>404</v>
      </c>
      <c r="S6" s="211">
        <f>Q6-R6</f>
        <v>404</v>
      </c>
    </row>
    <row r="7" spans="1:19" ht="15" x14ac:dyDescent="0.25">
      <c r="A7" s="535"/>
      <c r="B7" s="207" t="s">
        <v>1</v>
      </c>
      <c r="C7" s="208" t="s">
        <v>139</v>
      </c>
      <c r="D7" s="209">
        <v>0</v>
      </c>
      <c r="E7" s="210"/>
      <c r="F7" s="209"/>
      <c r="G7" s="209"/>
      <c r="H7" s="209"/>
      <c r="I7" s="209"/>
      <c r="J7" s="211">
        <f t="shared" si="0"/>
        <v>0</v>
      </c>
      <c r="K7" s="211"/>
      <c r="L7" s="211"/>
      <c r="M7" s="211"/>
      <c r="N7" s="211"/>
      <c r="O7" s="211"/>
      <c r="P7" s="211"/>
      <c r="Q7" s="211">
        <f t="shared" ref="Q7:Q70" si="1">SUM(J7:P7)</f>
        <v>0</v>
      </c>
      <c r="R7" s="212"/>
      <c r="S7" s="211">
        <f t="shared" ref="S7:S70" si="2">Q7-R7</f>
        <v>0</v>
      </c>
    </row>
    <row r="8" spans="1:19" ht="15" x14ac:dyDescent="0.25">
      <c r="A8" s="535"/>
      <c r="B8" s="207" t="s">
        <v>1</v>
      </c>
      <c r="C8" s="208" t="s">
        <v>40</v>
      </c>
      <c r="D8" s="209">
        <v>2000</v>
      </c>
      <c r="E8" s="210"/>
      <c r="F8" s="209"/>
      <c r="G8" s="209"/>
      <c r="H8" s="209"/>
      <c r="I8" s="209"/>
      <c r="J8" s="211">
        <f t="shared" si="0"/>
        <v>2000</v>
      </c>
      <c r="K8" s="211"/>
      <c r="L8" s="211"/>
      <c r="M8" s="211"/>
      <c r="N8" s="211"/>
      <c r="O8" s="211"/>
      <c r="P8" s="211"/>
      <c r="Q8" s="211">
        <f t="shared" si="1"/>
        <v>2000</v>
      </c>
      <c r="R8" s="212">
        <v>1215</v>
      </c>
      <c r="S8" s="211">
        <f t="shared" si="2"/>
        <v>785</v>
      </c>
    </row>
    <row r="9" spans="1:19" ht="15" x14ac:dyDescent="0.25">
      <c r="A9" s="535"/>
      <c r="B9" s="213" t="s">
        <v>4</v>
      </c>
      <c r="C9" s="208" t="s">
        <v>25</v>
      </c>
      <c r="D9" s="209">
        <f>2468000+934369</f>
        <v>3402369</v>
      </c>
      <c r="E9" s="210"/>
      <c r="F9" s="209"/>
      <c r="G9" s="209"/>
      <c r="H9" s="209"/>
      <c r="I9" s="209"/>
      <c r="J9" s="211">
        <f t="shared" si="0"/>
        <v>3402369</v>
      </c>
      <c r="K9" s="211"/>
      <c r="L9" s="211"/>
      <c r="M9" s="211"/>
      <c r="N9" s="211"/>
      <c r="O9" s="211">
        <v>-590436</v>
      </c>
      <c r="P9" s="211">
        <v>9069885</v>
      </c>
      <c r="Q9" s="211">
        <f>SUM(J9:P9)</f>
        <v>11881818</v>
      </c>
      <c r="R9" s="214">
        <v>2811933</v>
      </c>
      <c r="S9" s="215">
        <f t="shared" si="2"/>
        <v>9069885</v>
      </c>
    </row>
    <row r="10" spans="1:19" ht="15" x14ac:dyDescent="0.25">
      <c r="A10" s="535"/>
      <c r="B10" s="216" t="s">
        <v>4</v>
      </c>
      <c r="C10" s="208" t="s">
        <v>28</v>
      </c>
      <c r="D10" s="209">
        <v>11450922</v>
      </c>
      <c r="E10" s="210"/>
      <c r="F10" s="209"/>
      <c r="G10" s="209"/>
      <c r="H10" s="209"/>
      <c r="I10" s="209"/>
      <c r="J10" s="211">
        <f t="shared" si="0"/>
        <v>11450922</v>
      </c>
      <c r="K10" s="211"/>
      <c r="L10" s="211"/>
      <c r="M10" s="211"/>
      <c r="N10" s="211"/>
      <c r="O10" s="211"/>
      <c r="P10" s="211"/>
      <c r="Q10" s="211">
        <f t="shared" si="1"/>
        <v>11450922</v>
      </c>
      <c r="R10" s="212">
        <v>11450922</v>
      </c>
      <c r="S10" s="211">
        <f t="shared" si="2"/>
        <v>0</v>
      </c>
    </row>
    <row r="11" spans="1:19" ht="15" x14ac:dyDescent="0.25">
      <c r="A11" s="536" t="s">
        <v>50</v>
      </c>
      <c r="B11" s="217" t="s">
        <v>4</v>
      </c>
      <c r="C11" s="208" t="s">
        <v>25</v>
      </c>
      <c r="D11" s="209">
        <v>6740507</v>
      </c>
      <c r="E11" s="210"/>
      <c r="F11" s="209"/>
      <c r="G11" s="209"/>
      <c r="H11" s="209"/>
      <c r="I11" s="209"/>
      <c r="J11" s="211">
        <f t="shared" si="0"/>
        <v>6740507</v>
      </c>
      <c r="K11" s="211"/>
      <c r="L11" s="211"/>
      <c r="M11" s="211"/>
      <c r="N11" s="211"/>
      <c r="O11" s="211"/>
      <c r="P11" s="211"/>
      <c r="Q11" s="211">
        <f t="shared" si="1"/>
        <v>6740507</v>
      </c>
      <c r="R11" s="212">
        <v>4343086</v>
      </c>
      <c r="S11" s="211">
        <f t="shared" si="2"/>
        <v>2397421</v>
      </c>
    </row>
    <row r="12" spans="1:19" ht="15" x14ac:dyDescent="0.25">
      <c r="A12" s="537"/>
      <c r="B12" s="218" t="s">
        <v>4</v>
      </c>
      <c r="C12" s="208" t="s">
        <v>37</v>
      </c>
      <c r="D12" s="209">
        <v>92917</v>
      </c>
      <c r="E12" s="210"/>
      <c r="F12" s="209"/>
      <c r="G12" s="209"/>
      <c r="H12" s="209"/>
      <c r="I12" s="209"/>
      <c r="J12" s="211">
        <f t="shared" si="0"/>
        <v>92917</v>
      </c>
      <c r="K12" s="211"/>
      <c r="L12" s="211"/>
      <c r="M12" s="211"/>
      <c r="N12" s="211"/>
      <c r="O12" s="211"/>
      <c r="P12" s="211"/>
      <c r="Q12" s="211">
        <f t="shared" si="1"/>
        <v>92917</v>
      </c>
      <c r="R12" s="212">
        <v>92917</v>
      </c>
      <c r="S12" s="211">
        <f t="shared" si="2"/>
        <v>0</v>
      </c>
    </row>
    <row r="13" spans="1:19" ht="15" x14ac:dyDescent="0.25">
      <c r="A13" s="219" t="s">
        <v>26</v>
      </c>
      <c r="B13" s="220" t="s">
        <v>4</v>
      </c>
      <c r="C13" s="208" t="s">
        <v>25</v>
      </c>
      <c r="D13" s="209">
        <v>20239937</v>
      </c>
      <c r="E13" s="210"/>
      <c r="F13" s="209"/>
      <c r="G13" s="209"/>
      <c r="H13" s="209"/>
      <c r="I13" s="209"/>
      <c r="J13" s="211">
        <f t="shared" si="0"/>
        <v>20239937</v>
      </c>
      <c r="K13" s="211"/>
      <c r="L13" s="211"/>
      <c r="M13" s="211"/>
      <c r="N13" s="211"/>
      <c r="O13" s="211"/>
      <c r="P13" s="211"/>
      <c r="Q13" s="211">
        <f t="shared" si="1"/>
        <v>20239937</v>
      </c>
      <c r="R13" s="212">
        <v>13130395</v>
      </c>
      <c r="S13" s="211">
        <f t="shared" si="2"/>
        <v>7109542</v>
      </c>
    </row>
    <row r="14" spans="1:19" ht="15" x14ac:dyDescent="0.25">
      <c r="A14" s="221" t="s">
        <v>45</v>
      </c>
      <c r="B14" s="220" t="s">
        <v>4</v>
      </c>
      <c r="C14" s="208" t="s">
        <v>25</v>
      </c>
      <c r="D14" s="209">
        <v>34562543</v>
      </c>
      <c r="E14" s="210"/>
      <c r="F14" s="209"/>
      <c r="G14" s="209"/>
      <c r="H14" s="209"/>
      <c r="I14" s="209"/>
      <c r="J14" s="211">
        <f t="shared" si="0"/>
        <v>34562543</v>
      </c>
      <c r="K14" s="211"/>
      <c r="L14" s="211"/>
      <c r="M14" s="211"/>
      <c r="N14" s="211"/>
      <c r="O14" s="211"/>
      <c r="P14" s="211"/>
      <c r="Q14" s="211">
        <f t="shared" si="1"/>
        <v>34562543</v>
      </c>
      <c r="R14" s="212">
        <v>9879736</v>
      </c>
      <c r="S14" s="211">
        <f t="shared" si="2"/>
        <v>24682807</v>
      </c>
    </row>
    <row r="15" spans="1:19" ht="15" x14ac:dyDescent="0.25">
      <c r="A15" s="536" t="s">
        <v>46</v>
      </c>
      <c r="B15" s="222" t="s">
        <v>4</v>
      </c>
      <c r="C15" s="208" t="s">
        <v>25</v>
      </c>
      <c r="D15" s="209">
        <v>0</v>
      </c>
      <c r="E15" s="210"/>
      <c r="F15" s="209"/>
      <c r="G15" s="209"/>
      <c r="H15" s="209"/>
      <c r="I15" s="209"/>
      <c r="J15" s="211">
        <f t="shared" si="0"/>
        <v>0</v>
      </c>
      <c r="K15" s="211"/>
      <c r="L15" s="211"/>
      <c r="M15" s="211"/>
      <c r="N15" s="211"/>
      <c r="O15" s="211"/>
      <c r="P15" s="211"/>
      <c r="Q15" s="211">
        <f t="shared" si="1"/>
        <v>0</v>
      </c>
      <c r="R15" s="212">
        <v>0</v>
      </c>
      <c r="S15" s="211">
        <f t="shared" si="2"/>
        <v>0</v>
      </c>
    </row>
    <row r="16" spans="1:19" ht="15" x14ac:dyDescent="0.25">
      <c r="A16" s="538"/>
      <c r="B16" s="222" t="s">
        <v>4</v>
      </c>
      <c r="C16" s="208" t="s">
        <v>37</v>
      </c>
      <c r="D16" s="209">
        <v>0</v>
      </c>
      <c r="E16" s="210"/>
      <c r="F16" s="209"/>
      <c r="G16" s="209"/>
      <c r="H16" s="209"/>
      <c r="I16" s="209"/>
      <c r="J16" s="211">
        <f t="shared" si="0"/>
        <v>0</v>
      </c>
      <c r="K16" s="211"/>
      <c r="L16" s="211"/>
      <c r="M16" s="211"/>
      <c r="N16" s="211"/>
      <c r="O16" s="211"/>
      <c r="P16" s="211"/>
      <c r="Q16" s="211">
        <f t="shared" si="1"/>
        <v>0</v>
      </c>
      <c r="R16" s="212">
        <v>0</v>
      </c>
      <c r="S16" s="211">
        <f t="shared" si="2"/>
        <v>0</v>
      </c>
    </row>
    <row r="17" spans="1:20" ht="15" x14ac:dyDescent="0.25">
      <c r="A17" s="538"/>
      <c r="B17" s="222" t="s">
        <v>4</v>
      </c>
      <c r="C17" s="208" t="s">
        <v>28</v>
      </c>
      <c r="D17" s="209">
        <v>93998</v>
      </c>
      <c r="E17" s="210"/>
      <c r="F17" s="209"/>
      <c r="G17" s="209"/>
      <c r="H17" s="209"/>
      <c r="I17" s="209"/>
      <c r="J17" s="211">
        <f t="shared" si="0"/>
        <v>93998</v>
      </c>
      <c r="K17" s="211"/>
      <c r="L17" s="211"/>
      <c r="M17" s="211"/>
      <c r="N17" s="211"/>
      <c r="O17" s="211"/>
      <c r="P17" s="211"/>
      <c r="Q17" s="211">
        <f t="shared" si="1"/>
        <v>93998</v>
      </c>
      <c r="R17" s="212">
        <v>93998</v>
      </c>
      <c r="S17" s="211">
        <f t="shared" si="2"/>
        <v>0</v>
      </c>
    </row>
    <row r="18" spans="1:20" ht="15" x14ac:dyDescent="0.25">
      <c r="A18" s="538"/>
      <c r="B18" s="222" t="s">
        <v>8</v>
      </c>
      <c r="C18" s="208" t="s">
        <v>40</v>
      </c>
      <c r="D18" s="209">
        <v>0</v>
      </c>
      <c r="E18" s="210"/>
      <c r="F18" s="209"/>
      <c r="G18" s="209"/>
      <c r="H18" s="209"/>
      <c r="I18" s="209"/>
      <c r="J18" s="211">
        <f t="shared" si="0"/>
        <v>0</v>
      </c>
      <c r="K18" s="211"/>
      <c r="L18" s="211"/>
      <c r="M18" s="211"/>
      <c r="N18" s="211"/>
      <c r="O18" s="211"/>
      <c r="P18" s="211"/>
      <c r="Q18" s="211">
        <f t="shared" si="1"/>
        <v>0</v>
      </c>
      <c r="R18" s="212">
        <v>0</v>
      </c>
      <c r="S18" s="211">
        <f t="shared" si="2"/>
        <v>0</v>
      </c>
    </row>
    <row r="19" spans="1:20" ht="15" x14ac:dyDescent="0.25">
      <c r="A19" s="538"/>
      <c r="B19" s="222" t="s">
        <v>8</v>
      </c>
      <c r="C19" s="208" t="s">
        <v>41</v>
      </c>
      <c r="D19" s="209">
        <v>0</v>
      </c>
      <c r="E19" s="210"/>
      <c r="F19" s="209"/>
      <c r="G19" s="209"/>
      <c r="H19" s="209"/>
      <c r="I19" s="209"/>
      <c r="J19" s="211">
        <f t="shared" si="0"/>
        <v>0</v>
      </c>
      <c r="K19" s="211"/>
      <c r="L19" s="211"/>
      <c r="M19" s="211"/>
      <c r="N19" s="211"/>
      <c r="O19" s="211"/>
      <c r="P19" s="211"/>
      <c r="Q19" s="211">
        <f t="shared" si="1"/>
        <v>0</v>
      </c>
      <c r="R19" s="212">
        <v>0</v>
      </c>
      <c r="S19" s="211">
        <f t="shared" si="2"/>
        <v>0</v>
      </c>
    </row>
    <row r="20" spans="1:20" ht="15" x14ac:dyDescent="0.25">
      <c r="A20" s="539" t="s">
        <v>47</v>
      </c>
      <c r="B20" s="217" t="s">
        <v>4</v>
      </c>
      <c r="C20" s="208" t="s">
        <v>25</v>
      </c>
      <c r="D20" s="209">
        <v>12066545</v>
      </c>
      <c r="E20" s="210"/>
      <c r="F20" s="209"/>
      <c r="G20" s="209"/>
      <c r="H20" s="209"/>
      <c r="I20" s="209"/>
      <c r="J20" s="211">
        <f t="shared" si="0"/>
        <v>12066545</v>
      </c>
      <c r="K20" s="211"/>
      <c r="L20" s="211"/>
      <c r="M20" s="211"/>
      <c r="N20" s="211"/>
      <c r="O20" s="211"/>
      <c r="P20" s="211"/>
      <c r="Q20" s="211">
        <f t="shared" si="1"/>
        <v>12066545</v>
      </c>
      <c r="R20" s="212">
        <v>12066545</v>
      </c>
      <c r="S20" s="211">
        <f t="shared" si="2"/>
        <v>0</v>
      </c>
    </row>
    <row r="21" spans="1:20" ht="15" x14ac:dyDescent="0.25">
      <c r="A21" s="540"/>
      <c r="B21" s="223" t="s">
        <v>4</v>
      </c>
      <c r="C21" s="208" t="s">
        <v>37</v>
      </c>
      <c r="D21" s="209">
        <v>0</v>
      </c>
      <c r="E21" s="210"/>
      <c r="F21" s="209"/>
      <c r="G21" s="209"/>
      <c r="H21" s="209"/>
      <c r="I21" s="209"/>
      <c r="J21" s="211">
        <f t="shared" si="0"/>
        <v>0</v>
      </c>
      <c r="K21" s="211"/>
      <c r="L21" s="211"/>
      <c r="M21" s="211"/>
      <c r="N21" s="211"/>
      <c r="O21" s="211"/>
      <c r="P21" s="211"/>
      <c r="Q21" s="211">
        <f t="shared" si="1"/>
        <v>0</v>
      </c>
      <c r="R21" s="212">
        <v>0</v>
      </c>
      <c r="S21" s="211">
        <f t="shared" si="2"/>
        <v>0</v>
      </c>
    </row>
    <row r="22" spans="1:20" ht="15" x14ac:dyDescent="0.25">
      <c r="A22" s="540"/>
      <c r="B22" s="218" t="s">
        <v>4</v>
      </c>
      <c r="C22" s="208" t="s">
        <v>28</v>
      </c>
      <c r="D22" s="209">
        <v>17806471</v>
      </c>
      <c r="E22" s="210"/>
      <c r="F22" s="209"/>
      <c r="G22" s="209"/>
      <c r="H22" s="209"/>
      <c r="I22" s="209"/>
      <c r="J22" s="211">
        <f t="shared" si="0"/>
        <v>17806471</v>
      </c>
      <c r="K22" s="211"/>
      <c r="L22" s="211"/>
      <c r="M22" s="211"/>
      <c r="N22" s="211"/>
      <c r="O22" s="211"/>
      <c r="P22" s="211"/>
      <c r="Q22" s="211">
        <f t="shared" si="1"/>
        <v>17806471</v>
      </c>
      <c r="R22" s="212">
        <v>17806471</v>
      </c>
      <c r="S22" s="211">
        <f t="shared" si="2"/>
        <v>0</v>
      </c>
    </row>
    <row r="23" spans="1:20" ht="15" x14ac:dyDescent="0.25">
      <c r="A23" s="540"/>
      <c r="B23" s="217" t="s">
        <v>17</v>
      </c>
      <c r="C23" s="208" t="s">
        <v>25</v>
      </c>
      <c r="D23" s="209">
        <v>0</v>
      </c>
      <c r="E23" s="210"/>
      <c r="F23" s="209"/>
      <c r="G23" s="209"/>
      <c r="H23" s="209"/>
      <c r="I23" s="209"/>
      <c r="J23" s="211">
        <f t="shared" si="0"/>
        <v>0</v>
      </c>
      <c r="K23" s="211"/>
      <c r="L23" s="211"/>
      <c r="M23" s="211"/>
      <c r="N23" s="211"/>
      <c r="O23" s="211"/>
      <c r="P23" s="211"/>
      <c r="Q23" s="211">
        <f t="shared" si="1"/>
        <v>0</v>
      </c>
      <c r="R23" s="212">
        <v>0</v>
      </c>
      <c r="S23" s="211">
        <f t="shared" si="2"/>
        <v>0</v>
      </c>
    </row>
    <row r="24" spans="1:20" ht="15" x14ac:dyDescent="0.25">
      <c r="A24" s="540"/>
      <c r="B24" s="223" t="s">
        <v>17</v>
      </c>
      <c r="C24" s="208" t="s">
        <v>41</v>
      </c>
      <c r="D24" s="209">
        <v>0</v>
      </c>
      <c r="E24" s="210"/>
      <c r="F24" s="209"/>
      <c r="G24" s="209"/>
      <c r="H24" s="209"/>
      <c r="I24" s="209"/>
      <c r="J24" s="211">
        <f t="shared" si="0"/>
        <v>0</v>
      </c>
      <c r="K24" s="211"/>
      <c r="L24" s="211"/>
      <c r="M24" s="211"/>
      <c r="N24" s="211"/>
      <c r="O24" s="211"/>
      <c r="P24" s="211"/>
      <c r="Q24" s="211">
        <f t="shared" si="1"/>
        <v>0</v>
      </c>
      <c r="R24" s="212">
        <v>0</v>
      </c>
      <c r="S24" s="215">
        <f t="shared" si="2"/>
        <v>0</v>
      </c>
    </row>
    <row r="25" spans="1:20" ht="15" x14ac:dyDescent="0.25">
      <c r="A25" s="541"/>
      <c r="B25" s="218" t="s">
        <v>17</v>
      </c>
      <c r="C25" s="208" t="s">
        <v>40</v>
      </c>
      <c r="D25" s="209"/>
      <c r="E25" s="210"/>
      <c r="F25" s="209"/>
      <c r="G25" s="209"/>
      <c r="H25" s="209"/>
      <c r="I25" s="209"/>
      <c r="J25" s="211">
        <f t="shared" si="0"/>
        <v>0</v>
      </c>
      <c r="K25" s="211"/>
      <c r="L25" s="211"/>
      <c r="M25" s="211"/>
      <c r="N25" s="211"/>
      <c r="O25" s="211"/>
      <c r="P25" s="211"/>
      <c r="Q25" s="211">
        <f t="shared" si="1"/>
        <v>0</v>
      </c>
      <c r="R25" s="212">
        <v>0</v>
      </c>
      <c r="S25" s="211">
        <f t="shared" si="2"/>
        <v>0</v>
      </c>
    </row>
    <row r="26" spans="1:20" ht="21" customHeight="1" x14ac:dyDescent="0.25">
      <c r="A26" s="542" t="s">
        <v>132</v>
      </c>
      <c r="B26" s="217" t="s">
        <v>4</v>
      </c>
      <c r="C26" s="224" t="s">
        <v>25</v>
      </c>
      <c r="D26" s="209">
        <v>0</v>
      </c>
      <c r="E26" s="210"/>
      <c r="F26" s="209"/>
      <c r="G26" s="209"/>
      <c r="H26" s="209"/>
      <c r="I26" s="209"/>
      <c r="J26" s="211">
        <f t="shared" si="0"/>
        <v>0</v>
      </c>
      <c r="K26" s="211"/>
      <c r="L26" s="211"/>
      <c r="M26" s="211"/>
      <c r="N26" s="211"/>
      <c r="O26" s="211"/>
      <c r="P26" s="211"/>
      <c r="Q26" s="211">
        <f t="shared" si="1"/>
        <v>0</v>
      </c>
      <c r="R26" s="212">
        <v>0</v>
      </c>
      <c r="S26" s="211">
        <f t="shared" si="2"/>
        <v>0</v>
      </c>
    </row>
    <row r="27" spans="1:20" ht="21" customHeight="1" x14ac:dyDescent="0.25">
      <c r="A27" s="543"/>
      <c r="B27" s="218" t="s">
        <v>4</v>
      </c>
      <c r="C27" s="224" t="s">
        <v>37</v>
      </c>
      <c r="D27" s="209">
        <v>0</v>
      </c>
      <c r="E27" s="210"/>
      <c r="F27" s="209"/>
      <c r="G27" s="209"/>
      <c r="H27" s="209"/>
      <c r="I27" s="209"/>
      <c r="J27" s="211">
        <f t="shared" si="0"/>
        <v>0</v>
      </c>
      <c r="K27" s="211"/>
      <c r="L27" s="211"/>
      <c r="M27" s="211"/>
      <c r="N27" s="211"/>
      <c r="O27" s="211"/>
      <c r="P27" s="211"/>
      <c r="Q27" s="211">
        <f t="shared" si="1"/>
        <v>0</v>
      </c>
      <c r="R27" s="212">
        <v>0</v>
      </c>
      <c r="S27" s="211">
        <f t="shared" si="2"/>
        <v>0</v>
      </c>
    </row>
    <row r="28" spans="1:20" ht="21" customHeight="1" x14ac:dyDescent="0.25">
      <c r="A28" s="543"/>
      <c r="B28" s="218" t="s">
        <v>4</v>
      </c>
      <c r="C28" s="224" t="s">
        <v>28</v>
      </c>
      <c r="D28" s="209">
        <v>405251</v>
      </c>
      <c r="E28" s="210"/>
      <c r="F28" s="209"/>
      <c r="G28" s="209"/>
      <c r="H28" s="209"/>
      <c r="I28" s="209"/>
      <c r="J28" s="211">
        <f t="shared" si="0"/>
        <v>405251</v>
      </c>
      <c r="K28" s="211"/>
      <c r="L28" s="211"/>
      <c r="M28" s="211"/>
      <c r="N28" s="211"/>
      <c r="O28" s="211"/>
      <c r="P28" s="211"/>
      <c r="Q28" s="211">
        <f t="shared" si="1"/>
        <v>405251</v>
      </c>
      <c r="R28" s="212">
        <v>405251</v>
      </c>
      <c r="S28" s="211">
        <f t="shared" si="2"/>
        <v>0</v>
      </c>
    </row>
    <row r="29" spans="1:20" ht="21" customHeight="1" x14ac:dyDescent="0.25">
      <c r="A29" s="544"/>
      <c r="B29" s="218" t="s">
        <v>128</v>
      </c>
      <c r="C29" s="224" t="s">
        <v>41</v>
      </c>
      <c r="D29" s="209">
        <v>0</v>
      </c>
      <c r="E29" s="210"/>
      <c r="F29" s="209"/>
      <c r="G29" s="209"/>
      <c r="H29" s="209"/>
      <c r="I29" s="209"/>
      <c r="J29" s="211">
        <f t="shared" si="0"/>
        <v>0</v>
      </c>
      <c r="K29" s="211"/>
      <c r="L29" s="211"/>
      <c r="M29" s="211"/>
      <c r="N29" s="211"/>
      <c r="O29" s="211"/>
      <c r="P29" s="211"/>
      <c r="Q29" s="211">
        <f t="shared" si="1"/>
        <v>0</v>
      </c>
      <c r="R29" s="212">
        <v>0</v>
      </c>
      <c r="S29" s="215">
        <f t="shared" si="2"/>
        <v>0</v>
      </c>
      <c r="T29" s="166"/>
    </row>
    <row r="30" spans="1:20" ht="15" x14ac:dyDescent="0.25">
      <c r="A30" s="225" t="s">
        <v>29</v>
      </c>
      <c r="B30" s="220" t="s">
        <v>4</v>
      </c>
      <c r="C30" s="208" t="s">
        <v>25</v>
      </c>
      <c r="D30" s="226">
        <v>300294416</v>
      </c>
      <c r="E30" s="210"/>
      <c r="F30" s="209">
        <v>13843574</v>
      </c>
      <c r="G30" s="209">
        <v>8682782</v>
      </c>
      <c r="H30" s="209"/>
      <c r="I30" s="209"/>
      <c r="J30" s="211">
        <f t="shared" si="0"/>
        <v>322820772</v>
      </c>
      <c r="K30" s="211"/>
      <c r="L30" s="211">
        <f>1704000-2912576</f>
        <v>-1208576</v>
      </c>
      <c r="M30" s="211">
        <v>-2109251</v>
      </c>
      <c r="N30" s="211"/>
      <c r="O30" s="211"/>
      <c r="P30" s="211"/>
      <c r="Q30" s="211">
        <f>SUM(J30:P30)</f>
        <v>319502945</v>
      </c>
      <c r="R30" s="212">
        <f>215263583-665240</f>
        <v>214598343</v>
      </c>
      <c r="S30" s="211">
        <f t="shared" si="2"/>
        <v>104904602</v>
      </c>
    </row>
    <row r="31" spans="1:20" ht="15" x14ac:dyDescent="0.25">
      <c r="A31" s="225" t="s">
        <v>87</v>
      </c>
      <c r="B31" s="220" t="s">
        <v>4</v>
      </c>
      <c r="C31" s="208" t="s">
        <v>25</v>
      </c>
      <c r="D31" s="226">
        <v>0</v>
      </c>
      <c r="E31" s="210"/>
      <c r="F31" s="209"/>
      <c r="G31" s="209"/>
      <c r="H31" s="209"/>
      <c r="I31" s="209"/>
      <c r="J31" s="211">
        <f t="shared" si="0"/>
        <v>0</v>
      </c>
      <c r="K31" s="211"/>
      <c r="L31" s="211"/>
      <c r="M31" s="211"/>
      <c r="N31" s="211"/>
      <c r="O31" s="211"/>
      <c r="P31" s="211"/>
      <c r="Q31" s="211">
        <f t="shared" si="1"/>
        <v>0</v>
      </c>
      <c r="R31" s="212">
        <v>0</v>
      </c>
      <c r="S31" s="211">
        <f t="shared" si="2"/>
        <v>0</v>
      </c>
    </row>
    <row r="32" spans="1:20" ht="15" x14ac:dyDescent="0.25">
      <c r="A32" s="227" t="s">
        <v>42</v>
      </c>
      <c r="B32" s="220" t="s">
        <v>4</v>
      </c>
      <c r="C32" s="208" t="s">
        <v>25</v>
      </c>
      <c r="D32" s="209">
        <v>65848973</v>
      </c>
      <c r="E32" s="210"/>
      <c r="F32" s="209"/>
      <c r="G32" s="209"/>
      <c r="H32" s="209"/>
      <c r="I32" s="209"/>
      <c r="J32" s="211">
        <f t="shared" si="0"/>
        <v>65848973</v>
      </c>
      <c r="K32" s="211"/>
      <c r="L32" s="211"/>
      <c r="M32" s="211"/>
      <c r="N32" s="211"/>
      <c r="O32" s="211"/>
      <c r="P32" s="211"/>
      <c r="Q32" s="211">
        <f t="shared" si="1"/>
        <v>65848973</v>
      </c>
      <c r="R32" s="212">
        <v>36327325</v>
      </c>
      <c r="S32" s="211">
        <f t="shared" si="2"/>
        <v>29521648</v>
      </c>
    </row>
    <row r="33" spans="1:19" ht="34.5" customHeight="1" thickBot="1" x14ac:dyDescent="0.25">
      <c r="A33" s="555" t="s">
        <v>85</v>
      </c>
      <c r="B33" s="556"/>
      <c r="C33" s="557"/>
      <c r="D33" s="228">
        <f t="shared" ref="D33:R33" si="3">SUM(D6:D32)</f>
        <v>473006849</v>
      </c>
      <c r="E33" s="228">
        <f t="shared" si="3"/>
        <v>0</v>
      </c>
      <c r="F33" s="228">
        <f t="shared" si="3"/>
        <v>13843574</v>
      </c>
      <c r="G33" s="228">
        <f t="shared" si="3"/>
        <v>8682782</v>
      </c>
      <c r="H33" s="228">
        <f t="shared" si="3"/>
        <v>0</v>
      </c>
      <c r="I33" s="228">
        <f t="shared" si="3"/>
        <v>0</v>
      </c>
      <c r="J33" s="229">
        <f t="shared" si="3"/>
        <v>495533205</v>
      </c>
      <c r="K33" s="229">
        <f t="shared" si="3"/>
        <v>0</v>
      </c>
      <c r="L33" s="229">
        <f t="shared" si="3"/>
        <v>-1208576</v>
      </c>
      <c r="M33" s="229">
        <f t="shared" si="3"/>
        <v>-2109251</v>
      </c>
      <c r="N33" s="229">
        <f t="shared" si="3"/>
        <v>808</v>
      </c>
      <c r="O33" s="229">
        <f t="shared" si="3"/>
        <v>-590436</v>
      </c>
      <c r="P33" s="229">
        <f t="shared" si="3"/>
        <v>9069885</v>
      </c>
      <c r="Q33" s="229">
        <f t="shared" si="1"/>
        <v>500695635</v>
      </c>
      <c r="R33" s="230">
        <f t="shared" si="3"/>
        <v>323008541</v>
      </c>
      <c r="S33" s="228">
        <f t="shared" si="2"/>
        <v>177687094</v>
      </c>
    </row>
    <row r="34" spans="1:19" ht="12.75" customHeight="1" thickTop="1" x14ac:dyDescent="0.25">
      <c r="A34" s="545" t="s">
        <v>18</v>
      </c>
      <c r="B34" s="231" t="s">
        <v>1</v>
      </c>
      <c r="C34" s="335" t="s">
        <v>33</v>
      </c>
      <c r="D34" s="233">
        <v>0</v>
      </c>
      <c r="E34" s="234"/>
      <c r="F34" s="235"/>
      <c r="G34" s="235"/>
      <c r="H34" s="235"/>
      <c r="I34" s="235"/>
      <c r="J34" s="236">
        <f t="shared" ref="J34:J42" si="4">SUM(D34:I34)</f>
        <v>0</v>
      </c>
      <c r="K34" s="236">
        <v>157477</v>
      </c>
      <c r="L34" s="236"/>
      <c r="M34" s="236"/>
      <c r="N34" s="236"/>
      <c r="O34" s="236"/>
      <c r="P34" s="236"/>
      <c r="Q34" s="236">
        <f t="shared" si="1"/>
        <v>157477</v>
      </c>
      <c r="R34" s="237">
        <v>157477</v>
      </c>
      <c r="S34" s="238">
        <f t="shared" si="2"/>
        <v>0</v>
      </c>
    </row>
    <row r="35" spans="1:19" ht="12.75" customHeight="1" x14ac:dyDescent="0.25">
      <c r="A35" s="546"/>
      <c r="B35" s="223" t="s">
        <v>1</v>
      </c>
      <c r="C35" s="208" t="s">
        <v>184</v>
      </c>
      <c r="D35" s="239">
        <v>1560000</v>
      </c>
      <c r="E35" s="210"/>
      <c r="F35" s="209"/>
      <c r="G35" s="209"/>
      <c r="H35" s="209"/>
      <c r="I35" s="209"/>
      <c r="J35" s="211">
        <f t="shared" si="4"/>
        <v>1560000</v>
      </c>
      <c r="K35" s="211"/>
      <c r="L35" s="211"/>
      <c r="M35" s="211"/>
      <c r="N35" s="211"/>
      <c r="O35" s="211"/>
      <c r="P35" s="211"/>
      <c r="Q35" s="211">
        <f t="shared" si="1"/>
        <v>1560000</v>
      </c>
      <c r="R35" s="240">
        <v>1040000</v>
      </c>
      <c r="S35" s="241">
        <f t="shared" si="2"/>
        <v>520000</v>
      </c>
    </row>
    <row r="36" spans="1:19" ht="15" x14ac:dyDescent="0.25">
      <c r="A36" s="546"/>
      <c r="B36" s="223" t="s">
        <v>1</v>
      </c>
      <c r="C36" s="208" t="s">
        <v>89</v>
      </c>
      <c r="D36" s="209">
        <v>0</v>
      </c>
      <c r="E36" s="210"/>
      <c r="F36" s="209"/>
      <c r="G36" s="209"/>
      <c r="H36" s="209"/>
      <c r="I36" s="209"/>
      <c r="J36" s="211">
        <f t="shared" si="4"/>
        <v>0</v>
      </c>
      <c r="K36" s="211"/>
      <c r="L36" s="211"/>
      <c r="M36" s="211"/>
      <c r="N36" s="211"/>
      <c r="O36" s="211"/>
      <c r="P36" s="211"/>
      <c r="Q36" s="211">
        <f t="shared" si="1"/>
        <v>0</v>
      </c>
      <c r="R36" s="240">
        <v>0</v>
      </c>
      <c r="S36" s="241">
        <f t="shared" si="2"/>
        <v>0</v>
      </c>
    </row>
    <row r="37" spans="1:19" ht="15" x14ac:dyDescent="0.25">
      <c r="A37" s="546"/>
      <c r="B37" s="223" t="s">
        <v>1</v>
      </c>
      <c r="C37" s="208" t="s">
        <v>10</v>
      </c>
      <c r="D37" s="209">
        <v>1000000</v>
      </c>
      <c r="E37" s="210"/>
      <c r="F37" s="209"/>
      <c r="G37" s="209"/>
      <c r="H37" s="209"/>
      <c r="I37" s="209"/>
      <c r="J37" s="211">
        <f t="shared" si="4"/>
        <v>1000000</v>
      </c>
      <c r="K37" s="211"/>
      <c r="L37" s="211"/>
      <c r="M37" s="211"/>
      <c r="N37" s="211"/>
      <c r="O37" s="211"/>
      <c r="P37" s="211"/>
      <c r="Q37" s="211">
        <f t="shared" si="1"/>
        <v>1000000</v>
      </c>
      <c r="R37" s="240">
        <v>0</v>
      </c>
      <c r="S37" s="241">
        <f t="shared" si="2"/>
        <v>1000000</v>
      </c>
    </row>
    <row r="38" spans="1:19" ht="15" x14ac:dyDescent="0.25">
      <c r="A38" s="546"/>
      <c r="B38" s="223" t="s">
        <v>1</v>
      </c>
      <c r="C38" s="208" t="s">
        <v>2</v>
      </c>
      <c r="D38" s="209">
        <v>14980387</v>
      </c>
      <c r="E38" s="210">
        <v>-4920000</v>
      </c>
      <c r="F38" s="209"/>
      <c r="G38" s="209"/>
      <c r="H38" s="209"/>
      <c r="I38" s="209"/>
      <c r="J38" s="211">
        <f t="shared" si="4"/>
        <v>10060387</v>
      </c>
      <c r="K38" s="211">
        <v>-157477</v>
      </c>
      <c r="L38" s="211"/>
      <c r="M38" s="211"/>
      <c r="N38" s="211"/>
      <c r="O38" s="211"/>
      <c r="P38" s="211">
        <v>6676731</v>
      </c>
      <c r="Q38" s="211">
        <f t="shared" si="1"/>
        <v>16579641</v>
      </c>
      <c r="R38" s="240">
        <v>2961926</v>
      </c>
      <c r="S38" s="241">
        <f t="shared" si="2"/>
        <v>13617715</v>
      </c>
    </row>
    <row r="39" spans="1:19" ht="15" x14ac:dyDescent="0.25">
      <c r="A39" s="546"/>
      <c r="B39" s="223" t="s">
        <v>1</v>
      </c>
      <c r="C39" s="208" t="s">
        <v>117</v>
      </c>
      <c r="D39" s="209">
        <v>200000</v>
      </c>
      <c r="E39" s="210"/>
      <c r="F39" s="209"/>
      <c r="G39" s="209"/>
      <c r="H39" s="209"/>
      <c r="I39" s="209"/>
      <c r="J39" s="211">
        <f t="shared" si="4"/>
        <v>200000</v>
      </c>
      <c r="K39" s="211"/>
      <c r="L39" s="211"/>
      <c r="M39" s="211"/>
      <c r="N39" s="211"/>
      <c r="O39" s="211"/>
      <c r="P39" s="211"/>
      <c r="Q39" s="211">
        <f t="shared" si="1"/>
        <v>200000</v>
      </c>
      <c r="R39" s="240">
        <v>42180</v>
      </c>
      <c r="S39" s="241">
        <f t="shared" si="2"/>
        <v>157820</v>
      </c>
    </row>
    <row r="40" spans="1:19" ht="15" x14ac:dyDescent="0.25">
      <c r="A40" s="546"/>
      <c r="B40" s="223" t="s">
        <v>1</v>
      </c>
      <c r="C40" s="208" t="s">
        <v>11</v>
      </c>
      <c r="D40" s="209">
        <v>2027243</v>
      </c>
      <c r="E40" s="210"/>
      <c r="F40" s="209"/>
      <c r="G40" s="209"/>
      <c r="H40" s="209"/>
      <c r="I40" s="209"/>
      <c r="J40" s="211">
        <f t="shared" si="4"/>
        <v>2027243</v>
      </c>
      <c r="K40" s="211"/>
      <c r="L40" s="211"/>
      <c r="M40" s="211"/>
      <c r="N40" s="211"/>
      <c r="O40" s="211"/>
      <c r="P40" s="211">
        <v>1802718</v>
      </c>
      <c r="Q40" s="211">
        <f t="shared" si="1"/>
        <v>3829961</v>
      </c>
      <c r="R40" s="240">
        <v>75508</v>
      </c>
      <c r="S40" s="241">
        <f t="shared" si="2"/>
        <v>3754453</v>
      </c>
    </row>
    <row r="41" spans="1:19" ht="15" x14ac:dyDescent="0.25">
      <c r="A41" s="546"/>
      <c r="B41" s="223" t="s">
        <v>1</v>
      </c>
      <c r="C41" s="208" t="s">
        <v>91</v>
      </c>
      <c r="D41" s="209">
        <v>0</v>
      </c>
      <c r="E41" s="210"/>
      <c r="F41" s="209"/>
      <c r="G41" s="209"/>
      <c r="H41" s="209"/>
      <c r="I41" s="209"/>
      <c r="J41" s="211">
        <f t="shared" si="4"/>
        <v>0</v>
      </c>
      <c r="K41" s="211"/>
      <c r="L41" s="211"/>
      <c r="M41" s="211"/>
      <c r="N41" s="211"/>
      <c r="O41" s="211"/>
      <c r="P41" s="211"/>
      <c r="Q41" s="211">
        <f t="shared" si="1"/>
        <v>0</v>
      </c>
      <c r="R41" s="240">
        <v>0</v>
      </c>
      <c r="S41" s="241">
        <f t="shared" si="2"/>
        <v>0</v>
      </c>
    </row>
    <row r="42" spans="1:19" ht="15" x14ac:dyDescent="0.25">
      <c r="A42" s="546"/>
      <c r="B42" s="223" t="s">
        <v>1</v>
      </c>
      <c r="C42" s="208" t="s">
        <v>12</v>
      </c>
      <c r="D42" s="209">
        <v>100000</v>
      </c>
      <c r="E42" s="210"/>
      <c r="F42" s="209"/>
      <c r="G42" s="209"/>
      <c r="H42" s="209"/>
      <c r="I42" s="209"/>
      <c r="J42" s="211">
        <f t="shared" si="4"/>
        <v>100000</v>
      </c>
      <c r="K42" s="211"/>
      <c r="L42" s="211"/>
      <c r="M42" s="211"/>
      <c r="N42" s="211">
        <v>808</v>
      </c>
      <c r="O42" s="211"/>
      <c r="P42" s="211"/>
      <c r="Q42" s="211">
        <f t="shared" si="1"/>
        <v>100808</v>
      </c>
      <c r="R42" s="240">
        <v>0</v>
      </c>
      <c r="S42" s="242">
        <f t="shared" si="2"/>
        <v>100808</v>
      </c>
    </row>
    <row r="43" spans="1:19" s="166" customFormat="1" ht="15" x14ac:dyDescent="0.25">
      <c r="A43" s="546"/>
      <c r="B43" s="243" t="s">
        <v>1</v>
      </c>
      <c r="C43" s="244" t="s">
        <v>95</v>
      </c>
      <c r="D43" s="245">
        <f>SUM(D34:D42)</f>
        <v>19867630</v>
      </c>
      <c r="E43" s="245">
        <f t="shared" ref="E43:R43" si="5">SUM(E34:E42)</f>
        <v>-4920000</v>
      </c>
      <c r="F43" s="245">
        <f t="shared" si="5"/>
        <v>0</v>
      </c>
      <c r="G43" s="245">
        <f t="shared" si="5"/>
        <v>0</v>
      </c>
      <c r="H43" s="245">
        <f t="shared" si="5"/>
        <v>0</v>
      </c>
      <c r="I43" s="245">
        <f t="shared" si="5"/>
        <v>0</v>
      </c>
      <c r="J43" s="245">
        <f t="shared" si="5"/>
        <v>14947630</v>
      </c>
      <c r="K43" s="245">
        <f t="shared" si="5"/>
        <v>0</v>
      </c>
      <c r="L43" s="245">
        <f t="shared" si="5"/>
        <v>0</v>
      </c>
      <c r="M43" s="245">
        <f t="shared" si="5"/>
        <v>0</v>
      </c>
      <c r="N43" s="245">
        <f t="shared" si="5"/>
        <v>808</v>
      </c>
      <c r="O43" s="245">
        <f t="shared" si="5"/>
        <v>0</v>
      </c>
      <c r="P43" s="245">
        <f t="shared" si="5"/>
        <v>8479449</v>
      </c>
      <c r="Q43" s="245">
        <f t="shared" si="1"/>
        <v>23427887</v>
      </c>
      <c r="R43" s="245">
        <f t="shared" si="5"/>
        <v>4277091</v>
      </c>
      <c r="S43" s="245">
        <f t="shared" si="2"/>
        <v>19150796</v>
      </c>
    </row>
    <row r="44" spans="1:19" ht="15" x14ac:dyDescent="0.25">
      <c r="A44" s="546"/>
      <c r="B44" s="217" t="s">
        <v>4</v>
      </c>
      <c r="C44" s="208" t="s">
        <v>23</v>
      </c>
      <c r="D44" s="209">
        <f>3810000+934369</f>
        <v>4744369</v>
      </c>
      <c r="E44" s="210"/>
      <c r="F44" s="209"/>
      <c r="G44" s="209"/>
      <c r="H44" s="209"/>
      <c r="I44" s="209"/>
      <c r="J44" s="211">
        <f>SUM(D44:I44)</f>
        <v>4744369</v>
      </c>
      <c r="K44" s="211"/>
      <c r="L44" s="211"/>
      <c r="M44" s="211"/>
      <c r="N44" s="211"/>
      <c r="O44" s="211">
        <v>-590436</v>
      </c>
      <c r="P44" s="211">
        <v>590436</v>
      </c>
      <c r="Q44" s="211">
        <f t="shared" si="1"/>
        <v>4744369</v>
      </c>
      <c r="R44" s="246">
        <v>343933</v>
      </c>
      <c r="S44" s="242">
        <f t="shared" si="2"/>
        <v>4400436</v>
      </c>
    </row>
    <row r="45" spans="1:19" ht="15" x14ac:dyDescent="0.25">
      <c r="A45" s="546"/>
      <c r="B45" s="217" t="s">
        <v>4</v>
      </c>
      <c r="C45" s="208" t="s">
        <v>5</v>
      </c>
      <c r="D45" s="209">
        <v>0</v>
      </c>
      <c r="E45" s="247"/>
      <c r="F45" s="209"/>
      <c r="G45" s="209"/>
      <c r="H45" s="209"/>
      <c r="I45" s="209"/>
      <c r="J45" s="211">
        <f>SUM(D45:I45)</f>
        <v>0</v>
      </c>
      <c r="K45" s="211"/>
      <c r="L45" s="211"/>
      <c r="M45" s="211"/>
      <c r="N45" s="211"/>
      <c r="O45" s="211"/>
      <c r="P45" s="211"/>
      <c r="Q45" s="211">
        <f t="shared" si="1"/>
        <v>0</v>
      </c>
      <c r="R45" s="240">
        <v>0</v>
      </c>
      <c r="S45" s="241">
        <f t="shared" si="2"/>
        <v>0</v>
      </c>
    </row>
    <row r="46" spans="1:19" ht="15" x14ac:dyDescent="0.25">
      <c r="A46" s="546"/>
      <c r="B46" s="248" t="s">
        <v>4</v>
      </c>
      <c r="C46" s="244" t="s">
        <v>96</v>
      </c>
      <c r="D46" s="245">
        <f>SUM(D44:D45)</f>
        <v>4744369</v>
      </c>
      <c r="E46" s="245">
        <f t="shared" ref="E46:R46" si="6">SUM(E44:E45)</f>
        <v>0</v>
      </c>
      <c r="F46" s="245">
        <f t="shared" si="6"/>
        <v>0</v>
      </c>
      <c r="G46" s="245">
        <f t="shared" si="6"/>
        <v>0</v>
      </c>
      <c r="H46" s="245">
        <f t="shared" si="6"/>
        <v>0</v>
      </c>
      <c r="I46" s="245">
        <f t="shared" si="6"/>
        <v>0</v>
      </c>
      <c r="J46" s="245">
        <f t="shared" si="6"/>
        <v>4744369</v>
      </c>
      <c r="K46" s="245">
        <f t="shared" si="6"/>
        <v>0</v>
      </c>
      <c r="L46" s="245">
        <f t="shared" si="6"/>
        <v>0</v>
      </c>
      <c r="M46" s="245">
        <f t="shared" si="6"/>
        <v>0</v>
      </c>
      <c r="N46" s="245">
        <f t="shared" si="6"/>
        <v>0</v>
      </c>
      <c r="O46" s="245">
        <f t="shared" si="6"/>
        <v>-590436</v>
      </c>
      <c r="P46" s="245">
        <f t="shared" si="6"/>
        <v>590436</v>
      </c>
      <c r="Q46" s="245">
        <f t="shared" si="1"/>
        <v>4744369</v>
      </c>
      <c r="R46" s="245">
        <f t="shared" si="6"/>
        <v>343933</v>
      </c>
      <c r="S46" s="245">
        <f t="shared" si="2"/>
        <v>4400436</v>
      </c>
    </row>
    <row r="47" spans="1:19" ht="15.75" thickBot="1" x14ac:dyDescent="0.3">
      <c r="A47" s="546"/>
      <c r="B47" s="248" t="s">
        <v>4</v>
      </c>
      <c r="C47" s="249" t="s">
        <v>3</v>
      </c>
      <c r="D47" s="250">
        <v>368611389</v>
      </c>
      <c r="E47" s="251"/>
      <c r="F47" s="250">
        <v>13843574</v>
      </c>
      <c r="G47" s="250">
        <v>8682782</v>
      </c>
      <c r="H47" s="250"/>
      <c r="I47" s="250"/>
      <c r="J47" s="250">
        <f t="shared" ref="J47:J60" si="7">SUM(D47:I47)</f>
        <v>391137745</v>
      </c>
      <c r="K47" s="250"/>
      <c r="L47" s="250">
        <v>-1208576</v>
      </c>
      <c r="M47" s="250">
        <v>-2109251</v>
      </c>
      <c r="N47" s="250"/>
      <c r="O47" s="250"/>
      <c r="P47" s="250"/>
      <c r="Q47" s="250">
        <f t="shared" si="1"/>
        <v>387819918</v>
      </c>
      <c r="R47" s="252">
        <f>244989023-665240</f>
        <v>244323783</v>
      </c>
      <c r="S47" s="253">
        <f t="shared" si="2"/>
        <v>143496135</v>
      </c>
    </row>
    <row r="48" spans="1:19" ht="15.75" thickBot="1" x14ac:dyDescent="0.3">
      <c r="A48" s="547"/>
      <c r="B48" s="254" t="s">
        <v>128</v>
      </c>
      <c r="C48" s="255" t="s">
        <v>12</v>
      </c>
      <c r="D48" s="256">
        <v>0</v>
      </c>
      <c r="E48" s="257"/>
      <c r="F48" s="256"/>
      <c r="G48" s="256"/>
      <c r="H48" s="256"/>
      <c r="I48" s="256"/>
      <c r="J48" s="256">
        <f t="shared" si="7"/>
        <v>0</v>
      </c>
      <c r="K48" s="256"/>
      <c r="L48" s="256"/>
      <c r="M48" s="256"/>
      <c r="N48" s="256"/>
      <c r="O48" s="256"/>
      <c r="P48" s="256"/>
      <c r="Q48" s="256">
        <f t="shared" si="1"/>
        <v>0</v>
      </c>
      <c r="R48" s="258">
        <v>0</v>
      </c>
      <c r="S48" s="259">
        <f t="shared" si="2"/>
        <v>0</v>
      </c>
    </row>
    <row r="49" spans="1:19" ht="15.75" thickTop="1" x14ac:dyDescent="0.25">
      <c r="A49" s="548" t="s">
        <v>24</v>
      </c>
      <c r="B49" s="260" t="s">
        <v>4</v>
      </c>
      <c r="C49" s="261" t="s">
        <v>23</v>
      </c>
      <c r="D49" s="262">
        <v>6500000</v>
      </c>
      <c r="E49" s="263"/>
      <c r="F49" s="262"/>
      <c r="G49" s="262"/>
      <c r="H49" s="262"/>
      <c r="I49" s="263"/>
      <c r="J49" s="236">
        <f t="shared" si="7"/>
        <v>6500000</v>
      </c>
      <c r="K49" s="333"/>
      <c r="L49" s="333"/>
      <c r="M49" s="333"/>
      <c r="N49" s="333"/>
      <c r="O49" s="333"/>
      <c r="P49" s="333"/>
      <c r="Q49" s="333">
        <f t="shared" si="1"/>
        <v>6500000</v>
      </c>
      <c r="R49" s="264">
        <v>3439068</v>
      </c>
      <c r="S49" s="265">
        <f t="shared" si="2"/>
        <v>3060932</v>
      </c>
    </row>
    <row r="50" spans="1:19" ht="15.75" thickBot="1" x14ac:dyDescent="0.3">
      <c r="A50" s="549"/>
      <c r="B50" s="266" t="s">
        <v>4</v>
      </c>
      <c r="C50" s="267" t="s">
        <v>90</v>
      </c>
      <c r="D50" s="268">
        <v>900000</v>
      </c>
      <c r="E50" s="269"/>
      <c r="F50" s="268"/>
      <c r="G50" s="268"/>
      <c r="H50" s="268"/>
      <c r="I50" s="269"/>
      <c r="J50" s="270">
        <f t="shared" si="7"/>
        <v>900000</v>
      </c>
      <c r="K50" s="334"/>
      <c r="L50" s="334"/>
      <c r="M50" s="334"/>
      <c r="N50" s="334"/>
      <c r="O50" s="334"/>
      <c r="P50" s="334"/>
      <c r="Q50" s="334">
        <f t="shared" si="1"/>
        <v>900000</v>
      </c>
      <c r="R50" s="271">
        <v>0</v>
      </c>
      <c r="S50" s="272">
        <f t="shared" si="2"/>
        <v>900000</v>
      </c>
    </row>
    <row r="51" spans="1:19" ht="15.75" thickTop="1" x14ac:dyDescent="0.25">
      <c r="A51" s="550" t="s">
        <v>30</v>
      </c>
      <c r="B51" s="273" t="s">
        <v>4</v>
      </c>
      <c r="C51" s="232" t="s">
        <v>23</v>
      </c>
      <c r="D51" s="235">
        <v>8269000</v>
      </c>
      <c r="E51" s="274">
        <v>4920000</v>
      </c>
      <c r="F51" s="235"/>
      <c r="G51" s="235"/>
      <c r="H51" s="235"/>
      <c r="I51" s="235"/>
      <c r="J51" s="236">
        <f t="shared" si="7"/>
        <v>13189000</v>
      </c>
      <c r="K51" s="236"/>
      <c r="L51" s="236"/>
      <c r="M51" s="236"/>
      <c r="N51" s="236"/>
      <c r="O51" s="236"/>
      <c r="P51" s="236"/>
      <c r="Q51" s="236">
        <f t="shared" si="1"/>
        <v>13189000</v>
      </c>
      <c r="R51" s="237">
        <v>9691753</v>
      </c>
      <c r="S51" s="238">
        <f t="shared" si="2"/>
        <v>3497247</v>
      </c>
    </row>
    <row r="52" spans="1:19" ht="15.75" thickBot="1" x14ac:dyDescent="0.3">
      <c r="A52" s="551"/>
      <c r="B52" s="266" t="s">
        <v>4</v>
      </c>
      <c r="C52" s="275" t="s">
        <v>5</v>
      </c>
      <c r="D52" s="268">
        <v>50000</v>
      </c>
      <c r="E52" s="269"/>
      <c r="F52" s="268"/>
      <c r="G52" s="268"/>
      <c r="H52" s="268"/>
      <c r="I52" s="268"/>
      <c r="J52" s="270">
        <f t="shared" si="7"/>
        <v>50000</v>
      </c>
      <c r="K52" s="270"/>
      <c r="L52" s="270"/>
      <c r="M52" s="270"/>
      <c r="N52" s="270"/>
      <c r="O52" s="270"/>
      <c r="P52" s="270"/>
      <c r="Q52" s="270">
        <f t="shared" si="1"/>
        <v>50000</v>
      </c>
      <c r="R52" s="276">
        <v>50000</v>
      </c>
      <c r="S52" s="272">
        <f t="shared" si="2"/>
        <v>0</v>
      </c>
    </row>
    <row r="53" spans="1:19" ht="15.75" thickTop="1" x14ac:dyDescent="0.25">
      <c r="A53" s="570" t="s">
        <v>138</v>
      </c>
      <c r="B53" s="277" t="s">
        <v>6</v>
      </c>
      <c r="C53" s="278" t="s">
        <v>23</v>
      </c>
      <c r="D53" s="262">
        <v>0</v>
      </c>
      <c r="E53" s="279"/>
      <c r="F53" s="262"/>
      <c r="G53" s="262"/>
      <c r="H53" s="262"/>
      <c r="I53" s="262"/>
      <c r="J53" s="236">
        <f t="shared" si="7"/>
        <v>0</v>
      </c>
      <c r="K53" s="236"/>
      <c r="L53" s="236"/>
      <c r="M53" s="236"/>
      <c r="N53" s="236"/>
      <c r="O53" s="236"/>
      <c r="P53" s="236"/>
      <c r="Q53" s="236">
        <f t="shared" si="1"/>
        <v>0</v>
      </c>
      <c r="R53" s="280">
        <v>0</v>
      </c>
      <c r="S53" s="265">
        <f t="shared" si="2"/>
        <v>0</v>
      </c>
    </row>
    <row r="54" spans="1:19" ht="15.75" thickBot="1" x14ac:dyDescent="0.3">
      <c r="A54" s="571"/>
      <c r="B54" s="223" t="s">
        <v>6</v>
      </c>
      <c r="C54" s="275" t="s">
        <v>5</v>
      </c>
      <c r="D54" s="268">
        <v>33692196</v>
      </c>
      <c r="E54" s="269"/>
      <c r="F54" s="268"/>
      <c r="G54" s="268"/>
      <c r="H54" s="268"/>
      <c r="I54" s="268"/>
      <c r="J54" s="270">
        <f t="shared" si="7"/>
        <v>33692196</v>
      </c>
      <c r="K54" s="270"/>
      <c r="L54" s="270"/>
      <c r="M54" s="270"/>
      <c r="N54" s="270"/>
      <c r="O54" s="270"/>
      <c r="P54" s="270"/>
      <c r="Q54" s="270">
        <f t="shared" si="1"/>
        <v>33692196</v>
      </c>
      <c r="R54" s="276">
        <v>8423049</v>
      </c>
      <c r="S54" s="272">
        <f t="shared" si="2"/>
        <v>25269147</v>
      </c>
    </row>
    <row r="55" spans="1:19" ht="13.5" customHeight="1" thickTop="1" x14ac:dyDescent="0.25">
      <c r="A55" s="552" t="s">
        <v>48</v>
      </c>
      <c r="B55" s="281" t="s">
        <v>8</v>
      </c>
      <c r="C55" s="282" t="s">
        <v>7</v>
      </c>
      <c r="D55" s="283">
        <v>0</v>
      </c>
      <c r="E55" s="284"/>
      <c r="F55" s="283"/>
      <c r="G55" s="283"/>
      <c r="H55" s="283"/>
      <c r="I55" s="283"/>
      <c r="J55" s="285">
        <f t="shared" si="7"/>
        <v>0</v>
      </c>
      <c r="K55" s="285"/>
      <c r="L55" s="285"/>
      <c r="M55" s="285"/>
      <c r="N55" s="285"/>
      <c r="O55" s="285"/>
      <c r="P55" s="285"/>
      <c r="Q55" s="285">
        <f t="shared" si="1"/>
        <v>0</v>
      </c>
      <c r="R55" s="286">
        <v>0</v>
      </c>
      <c r="S55" s="287">
        <f t="shared" si="2"/>
        <v>0</v>
      </c>
    </row>
    <row r="56" spans="1:19" ht="15" x14ac:dyDescent="0.25">
      <c r="A56" s="553"/>
      <c r="B56" s="288" t="s">
        <v>8</v>
      </c>
      <c r="C56" s="244" t="s">
        <v>9</v>
      </c>
      <c r="D56" s="245">
        <v>0</v>
      </c>
      <c r="E56" s="289"/>
      <c r="F56" s="245"/>
      <c r="G56" s="245"/>
      <c r="H56" s="245"/>
      <c r="I56" s="245"/>
      <c r="J56" s="245">
        <f t="shared" si="7"/>
        <v>0</v>
      </c>
      <c r="K56" s="245"/>
      <c r="L56" s="245"/>
      <c r="M56" s="245"/>
      <c r="N56" s="245"/>
      <c r="O56" s="245"/>
      <c r="P56" s="245"/>
      <c r="Q56" s="245">
        <f t="shared" si="1"/>
        <v>0</v>
      </c>
      <c r="R56" s="290">
        <v>0</v>
      </c>
      <c r="S56" s="291">
        <f t="shared" si="2"/>
        <v>0</v>
      </c>
    </row>
    <row r="57" spans="1:19" ht="15" x14ac:dyDescent="0.25">
      <c r="A57" s="553"/>
      <c r="B57" s="288" t="s">
        <v>8</v>
      </c>
      <c r="C57" s="208" t="s">
        <v>10</v>
      </c>
      <c r="D57" s="209">
        <v>0</v>
      </c>
      <c r="E57" s="210"/>
      <c r="F57" s="209"/>
      <c r="G57" s="209"/>
      <c r="H57" s="209"/>
      <c r="I57" s="209"/>
      <c r="J57" s="211">
        <f t="shared" si="7"/>
        <v>0</v>
      </c>
      <c r="K57" s="211"/>
      <c r="L57" s="211"/>
      <c r="M57" s="211"/>
      <c r="N57" s="211"/>
      <c r="O57" s="211"/>
      <c r="P57" s="211"/>
      <c r="Q57" s="211">
        <f t="shared" si="1"/>
        <v>0</v>
      </c>
      <c r="R57" s="240">
        <v>0</v>
      </c>
      <c r="S57" s="241">
        <f t="shared" si="2"/>
        <v>0</v>
      </c>
    </row>
    <row r="58" spans="1:19" ht="15" x14ac:dyDescent="0.25">
      <c r="A58" s="553"/>
      <c r="B58" s="288" t="s">
        <v>8</v>
      </c>
      <c r="C58" s="208" t="s">
        <v>2</v>
      </c>
      <c r="D58" s="209">
        <v>93998</v>
      </c>
      <c r="E58" s="210"/>
      <c r="F58" s="209"/>
      <c r="G58" s="209"/>
      <c r="H58" s="209"/>
      <c r="I58" s="209"/>
      <c r="J58" s="211">
        <f t="shared" si="7"/>
        <v>93998</v>
      </c>
      <c r="K58" s="211"/>
      <c r="L58" s="211"/>
      <c r="M58" s="211"/>
      <c r="N58" s="211"/>
      <c r="O58" s="211"/>
      <c r="P58" s="211"/>
      <c r="Q58" s="211">
        <f t="shared" si="1"/>
        <v>93998</v>
      </c>
      <c r="R58" s="240">
        <v>0</v>
      </c>
      <c r="S58" s="241">
        <f t="shared" si="2"/>
        <v>93998</v>
      </c>
    </row>
    <row r="59" spans="1:19" ht="15" x14ac:dyDescent="0.25">
      <c r="A59" s="553"/>
      <c r="B59" s="288" t="s">
        <v>8</v>
      </c>
      <c r="C59" s="208" t="s">
        <v>11</v>
      </c>
      <c r="D59" s="209">
        <v>0</v>
      </c>
      <c r="E59" s="210"/>
      <c r="F59" s="209"/>
      <c r="G59" s="209"/>
      <c r="H59" s="209"/>
      <c r="I59" s="209"/>
      <c r="J59" s="211">
        <f t="shared" si="7"/>
        <v>0</v>
      </c>
      <c r="K59" s="211"/>
      <c r="L59" s="211"/>
      <c r="M59" s="211"/>
      <c r="N59" s="211"/>
      <c r="O59" s="211"/>
      <c r="P59" s="211"/>
      <c r="Q59" s="211">
        <f t="shared" si="1"/>
        <v>0</v>
      </c>
      <c r="R59" s="240">
        <v>0</v>
      </c>
      <c r="S59" s="241">
        <f t="shared" si="2"/>
        <v>0</v>
      </c>
    </row>
    <row r="60" spans="1:19" ht="15" x14ac:dyDescent="0.25">
      <c r="A60" s="553"/>
      <c r="B60" s="288" t="s">
        <v>8</v>
      </c>
      <c r="C60" s="208" t="s">
        <v>12</v>
      </c>
      <c r="D60" s="209">
        <v>0</v>
      </c>
      <c r="E60" s="210"/>
      <c r="F60" s="209"/>
      <c r="G60" s="209"/>
      <c r="H60" s="209"/>
      <c r="I60" s="209"/>
      <c r="J60" s="211">
        <f t="shared" si="7"/>
        <v>0</v>
      </c>
      <c r="K60" s="211"/>
      <c r="L60" s="211"/>
      <c r="M60" s="211"/>
      <c r="N60" s="211"/>
      <c r="O60" s="211"/>
      <c r="P60" s="211"/>
      <c r="Q60" s="211">
        <f t="shared" si="1"/>
        <v>0</v>
      </c>
      <c r="R60" s="240">
        <v>0</v>
      </c>
      <c r="S60" s="241">
        <f t="shared" si="2"/>
        <v>0</v>
      </c>
    </row>
    <row r="61" spans="1:19" ht="15" x14ac:dyDescent="0.25">
      <c r="A61" s="553"/>
      <c r="B61" s="288" t="s">
        <v>8</v>
      </c>
      <c r="C61" s="244" t="s">
        <v>95</v>
      </c>
      <c r="D61" s="245">
        <f>SUM(D57:D60)</f>
        <v>93998</v>
      </c>
      <c r="E61" s="245">
        <f t="shared" ref="E61:R61" si="8">SUM(E57:E60)</f>
        <v>0</v>
      </c>
      <c r="F61" s="245">
        <f t="shared" si="8"/>
        <v>0</v>
      </c>
      <c r="G61" s="245">
        <f t="shared" si="8"/>
        <v>0</v>
      </c>
      <c r="H61" s="245">
        <f t="shared" si="8"/>
        <v>0</v>
      </c>
      <c r="I61" s="245">
        <f t="shared" si="8"/>
        <v>0</v>
      </c>
      <c r="J61" s="245">
        <f t="shared" si="8"/>
        <v>93998</v>
      </c>
      <c r="K61" s="245">
        <f t="shared" si="8"/>
        <v>0</v>
      </c>
      <c r="L61" s="245">
        <f t="shared" si="8"/>
        <v>0</v>
      </c>
      <c r="M61" s="245">
        <f t="shared" si="8"/>
        <v>0</v>
      </c>
      <c r="N61" s="245">
        <f t="shared" si="8"/>
        <v>0</v>
      </c>
      <c r="O61" s="245">
        <f t="shared" si="8"/>
        <v>0</v>
      </c>
      <c r="P61" s="245">
        <f t="shared" si="8"/>
        <v>0</v>
      </c>
      <c r="Q61" s="245">
        <f t="shared" si="1"/>
        <v>93998</v>
      </c>
      <c r="R61" s="245">
        <f t="shared" si="8"/>
        <v>0</v>
      </c>
      <c r="S61" s="245">
        <f t="shared" si="2"/>
        <v>93998</v>
      </c>
    </row>
    <row r="62" spans="1:19" ht="15" x14ac:dyDescent="0.25">
      <c r="A62" s="553"/>
      <c r="B62" s="288" t="s">
        <v>8</v>
      </c>
      <c r="C62" s="208" t="s">
        <v>31</v>
      </c>
      <c r="D62" s="209">
        <v>0</v>
      </c>
      <c r="E62" s="210"/>
      <c r="F62" s="209"/>
      <c r="G62" s="209"/>
      <c r="H62" s="209"/>
      <c r="I62" s="209"/>
      <c r="J62" s="211">
        <f>SUM(D62:I62)</f>
        <v>0</v>
      </c>
      <c r="K62" s="211"/>
      <c r="L62" s="211"/>
      <c r="M62" s="211"/>
      <c r="N62" s="211"/>
      <c r="O62" s="211"/>
      <c r="P62" s="211"/>
      <c r="Q62" s="211">
        <f t="shared" si="1"/>
        <v>0</v>
      </c>
      <c r="R62" s="240">
        <v>0</v>
      </c>
      <c r="S62" s="241">
        <f t="shared" si="2"/>
        <v>0</v>
      </c>
    </row>
    <row r="63" spans="1:19" ht="15" x14ac:dyDescent="0.25">
      <c r="A63" s="553"/>
      <c r="B63" s="288" t="s">
        <v>8</v>
      </c>
      <c r="C63" s="208" t="s">
        <v>32</v>
      </c>
      <c r="D63" s="209">
        <v>0</v>
      </c>
      <c r="E63" s="210"/>
      <c r="F63" s="209"/>
      <c r="G63" s="209"/>
      <c r="H63" s="209"/>
      <c r="I63" s="209"/>
      <c r="J63" s="211">
        <f>SUM(D63:I63)</f>
        <v>0</v>
      </c>
      <c r="K63" s="211"/>
      <c r="L63" s="211"/>
      <c r="M63" s="211"/>
      <c r="N63" s="211"/>
      <c r="O63" s="211"/>
      <c r="P63" s="211"/>
      <c r="Q63" s="211">
        <f t="shared" si="1"/>
        <v>0</v>
      </c>
      <c r="R63" s="240">
        <v>0</v>
      </c>
      <c r="S63" s="241">
        <f t="shared" si="2"/>
        <v>0</v>
      </c>
    </row>
    <row r="64" spans="1:19" ht="15" x14ac:dyDescent="0.25">
      <c r="A64" s="553"/>
      <c r="B64" s="288" t="s">
        <v>8</v>
      </c>
      <c r="C64" s="208" t="s">
        <v>13</v>
      </c>
      <c r="D64" s="209">
        <v>0</v>
      </c>
      <c r="E64" s="210"/>
      <c r="F64" s="209"/>
      <c r="G64" s="209"/>
      <c r="H64" s="209"/>
      <c r="I64" s="209"/>
      <c r="J64" s="211">
        <f>SUM(D64:I64)</f>
        <v>0</v>
      </c>
      <c r="K64" s="211"/>
      <c r="L64" s="211"/>
      <c r="M64" s="211"/>
      <c r="N64" s="211"/>
      <c r="O64" s="211"/>
      <c r="P64" s="211"/>
      <c r="Q64" s="211">
        <f t="shared" si="1"/>
        <v>0</v>
      </c>
      <c r="R64" s="240">
        <v>0</v>
      </c>
      <c r="S64" s="241">
        <f t="shared" si="2"/>
        <v>0</v>
      </c>
    </row>
    <row r="65" spans="1:19" ht="15" x14ac:dyDescent="0.25">
      <c r="A65" s="553"/>
      <c r="B65" s="288" t="s">
        <v>8</v>
      </c>
      <c r="C65" s="208" t="s">
        <v>14</v>
      </c>
      <c r="D65" s="209">
        <v>0</v>
      </c>
      <c r="E65" s="210"/>
      <c r="F65" s="209"/>
      <c r="G65" s="209"/>
      <c r="H65" s="209"/>
      <c r="I65" s="209"/>
      <c r="J65" s="211">
        <f>SUM(D65:I65)</f>
        <v>0</v>
      </c>
      <c r="K65" s="211"/>
      <c r="L65" s="211"/>
      <c r="M65" s="211"/>
      <c r="N65" s="211"/>
      <c r="O65" s="211"/>
      <c r="P65" s="211"/>
      <c r="Q65" s="211">
        <f t="shared" si="1"/>
        <v>0</v>
      </c>
      <c r="R65" s="240">
        <v>0</v>
      </c>
      <c r="S65" s="241">
        <f t="shared" si="2"/>
        <v>0</v>
      </c>
    </row>
    <row r="66" spans="1:19" ht="15" x14ac:dyDescent="0.25">
      <c r="A66" s="553"/>
      <c r="B66" s="288" t="s">
        <v>8</v>
      </c>
      <c r="C66" s="244" t="s">
        <v>97</v>
      </c>
      <c r="D66" s="245">
        <f>SUM(D62:D65)</f>
        <v>0</v>
      </c>
      <c r="E66" s="245">
        <f t="shared" ref="E66:R66" si="9">SUM(E62:E65)</f>
        <v>0</v>
      </c>
      <c r="F66" s="245">
        <f t="shared" si="9"/>
        <v>0</v>
      </c>
      <c r="G66" s="245">
        <f t="shared" si="9"/>
        <v>0</v>
      </c>
      <c r="H66" s="245">
        <f t="shared" si="9"/>
        <v>0</v>
      </c>
      <c r="I66" s="245">
        <f t="shared" si="9"/>
        <v>0</v>
      </c>
      <c r="J66" s="245">
        <f t="shared" si="9"/>
        <v>0</v>
      </c>
      <c r="K66" s="245">
        <f t="shared" si="9"/>
        <v>0</v>
      </c>
      <c r="L66" s="245">
        <f t="shared" si="9"/>
        <v>0</v>
      </c>
      <c r="M66" s="245">
        <f t="shared" si="9"/>
        <v>0</v>
      </c>
      <c r="N66" s="245">
        <f t="shared" si="9"/>
        <v>0</v>
      </c>
      <c r="O66" s="245">
        <f t="shared" si="9"/>
        <v>0</v>
      </c>
      <c r="P66" s="245">
        <f t="shared" si="9"/>
        <v>0</v>
      </c>
      <c r="Q66" s="245">
        <f t="shared" si="1"/>
        <v>0</v>
      </c>
      <c r="R66" s="245">
        <f t="shared" si="9"/>
        <v>0</v>
      </c>
      <c r="S66" s="245">
        <f t="shared" si="2"/>
        <v>0</v>
      </c>
    </row>
    <row r="67" spans="1:19" ht="15" x14ac:dyDescent="0.25">
      <c r="A67" s="553"/>
      <c r="B67" s="288" t="s">
        <v>8</v>
      </c>
      <c r="C67" s="208" t="s">
        <v>15</v>
      </c>
      <c r="D67" s="209">
        <v>0</v>
      </c>
      <c r="E67" s="210"/>
      <c r="F67" s="209"/>
      <c r="G67" s="209"/>
      <c r="H67" s="209"/>
      <c r="I67" s="209"/>
      <c r="J67" s="211">
        <f>SUM(D67:I67)</f>
        <v>0</v>
      </c>
      <c r="K67" s="211"/>
      <c r="L67" s="211"/>
      <c r="M67" s="211"/>
      <c r="N67" s="211"/>
      <c r="O67" s="211"/>
      <c r="P67" s="211"/>
      <c r="Q67" s="211">
        <f t="shared" si="1"/>
        <v>0</v>
      </c>
      <c r="R67" s="240">
        <v>0</v>
      </c>
      <c r="S67" s="241">
        <f t="shared" si="2"/>
        <v>0</v>
      </c>
    </row>
    <row r="68" spans="1:19" ht="15" x14ac:dyDescent="0.25">
      <c r="A68" s="553"/>
      <c r="B68" s="292" t="s">
        <v>8</v>
      </c>
      <c r="C68" s="293" t="s">
        <v>16</v>
      </c>
      <c r="D68" s="294">
        <v>0</v>
      </c>
      <c r="E68" s="295"/>
      <c r="F68" s="294"/>
      <c r="G68" s="294"/>
      <c r="H68" s="294"/>
      <c r="I68" s="294"/>
      <c r="J68" s="296">
        <f>SUM(D68:I68)</f>
        <v>0</v>
      </c>
      <c r="K68" s="296"/>
      <c r="L68" s="296"/>
      <c r="M68" s="296"/>
      <c r="N68" s="296"/>
      <c r="O68" s="296"/>
      <c r="P68" s="296"/>
      <c r="Q68" s="296">
        <f t="shared" si="1"/>
        <v>0</v>
      </c>
      <c r="R68" s="297">
        <v>0</v>
      </c>
      <c r="S68" s="298">
        <f t="shared" si="2"/>
        <v>0</v>
      </c>
    </row>
    <row r="69" spans="1:19" ht="15.75" thickBot="1" x14ac:dyDescent="0.3">
      <c r="A69" s="554"/>
      <c r="B69" s="288" t="s">
        <v>8</v>
      </c>
      <c r="C69" s="299" t="s">
        <v>98</v>
      </c>
      <c r="D69" s="300">
        <f>SUM(D67:D68)</f>
        <v>0</v>
      </c>
      <c r="E69" s="300">
        <f t="shared" ref="E69:R69" si="10">SUM(E67:E68)</f>
        <v>0</v>
      </c>
      <c r="F69" s="300">
        <f t="shared" si="10"/>
        <v>0</v>
      </c>
      <c r="G69" s="300">
        <f t="shared" si="10"/>
        <v>0</v>
      </c>
      <c r="H69" s="300">
        <f t="shared" si="10"/>
        <v>0</v>
      </c>
      <c r="I69" s="300">
        <f t="shared" si="10"/>
        <v>0</v>
      </c>
      <c r="J69" s="300">
        <f t="shared" si="10"/>
        <v>0</v>
      </c>
      <c r="K69" s="300">
        <f t="shared" si="10"/>
        <v>0</v>
      </c>
      <c r="L69" s="300">
        <f t="shared" si="10"/>
        <v>0</v>
      </c>
      <c r="M69" s="300">
        <f t="shared" si="10"/>
        <v>0</v>
      </c>
      <c r="N69" s="300">
        <f t="shared" si="10"/>
        <v>0</v>
      </c>
      <c r="O69" s="300">
        <f t="shared" si="10"/>
        <v>0</v>
      </c>
      <c r="P69" s="300">
        <f t="shared" si="10"/>
        <v>0</v>
      </c>
      <c r="Q69" s="300">
        <f t="shared" si="1"/>
        <v>0</v>
      </c>
      <c r="R69" s="300">
        <f t="shared" si="10"/>
        <v>0</v>
      </c>
      <c r="S69" s="300">
        <f t="shared" si="2"/>
        <v>0</v>
      </c>
    </row>
    <row r="70" spans="1:19" ht="12.75" customHeight="1" thickTop="1" thickBot="1" x14ac:dyDescent="0.3">
      <c r="A70" s="545" t="s">
        <v>49</v>
      </c>
      <c r="B70" s="301" t="s">
        <v>1</v>
      </c>
      <c r="C70" s="302" t="s">
        <v>2</v>
      </c>
      <c r="D70" s="302">
        <v>0</v>
      </c>
      <c r="E70" s="303"/>
      <c r="F70" s="304"/>
      <c r="G70" s="304"/>
      <c r="H70" s="304"/>
      <c r="I70" s="304"/>
      <c r="J70" s="305">
        <f>SUM(D70:I70)</f>
        <v>0</v>
      </c>
      <c r="K70" s="305"/>
      <c r="L70" s="305"/>
      <c r="M70" s="305"/>
      <c r="N70" s="305"/>
      <c r="O70" s="305"/>
      <c r="P70" s="305"/>
      <c r="Q70" s="305">
        <f t="shared" si="1"/>
        <v>0</v>
      </c>
      <c r="R70" s="306"/>
      <c r="S70" s="307">
        <f t="shared" si="2"/>
        <v>0</v>
      </c>
    </row>
    <row r="71" spans="1:19" ht="12.75" customHeight="1" thickTop="1" x14ac:dyDescent="0.25">
      <c r="A71" s="546"/>
      <c r="B71" s="308" t="s">
        <v>17</v>
      </c>
      <c r="C71" s="232" t="s">
        <v>7</v>
      </c>
      <c r="D71" s="235">
        <v>0</v>
      </c>
      <c r="E71" s="274"/>
      <c r="F71" s="235"/>
      <c r="G71" s="235"/>
      <c r="H71" s="235"/>
      <c r="I71" s="235"/>
      <c r="J71" s="236">
        <f>SUM(D71:I71)</f>
        <v>0</v>
      </c>
      <c r="K71" s="236">
        <f>935519+935519</f>
        <v>1871038</v>
      </c>
      <c r="L71" s="236"/>
      <c r="M71" s="236"/>
      <c r="N71" s="236"/>
      <c r="O71" s="236"/>
      <c r="P71" s="236"/>
      <c r="Q71" s="236">
        <f t="shared" ref="Q71:Q114" si="11">SUM(J71:P71)</f>
        <v>1871038</v>
      </c>
      <c r="R71" s="237">
        <v>935519</v>
      </c>
      <c r="S71" s="238">
        <f t="shared" ref="S71:S114" si="12">Q71-R71</f>
        <v>935519</v>
      </c>
    </row>
    <row r="72" spans="1:19" ht="15" x14ac:dyDescent="0.25">
      <c r="A72" s="546"/>
      <c r="B72" s="222" t="s">
        <v>17</v>
      </c>
      <c r="C72" s="208" t="s">
        <v>88</v>
      </c>
      <c r="D72" s="209">
        <v>1317000</v>
      </c>
      <c r="E72" s="210"/>
      <c r="F72" s="209"/>
      <c r="G72" s="209"/>
      <c r="H72" s="209"/>
      <c r="I72" s="209"/>
      <c r="J72" s="211">
        <f>SUM(D72:I72)</f>
        <v>1317000</v>
      </c>
      <c r="K72" s="211"/>
      <c r="L72" s="211"/>
      <c r="M72" s="211"/>
      <c r="N72" s="211"/>
      <c r="O72" s="211"/>
      <c r="P72" s="211"/>
      <c r="Q72" s="211">
        <f t="shared" si="11"/>
        <v>1317000</v>
      </c>
      <c r="R72" s="240">
        <v>627000</v>
      </c>
      <c r="S72" s="241">
        <f t="shared" si="12"/>
        <v>690000</v>
      </c>
    </row>
    <row r="73" spans="1:19" ht="15" x14ac:dyDescent="0.25">
      <c r="A73" s="546"/>
      <c r="B73" s="222" t="s">
        <v>17</v>
      </c>
      <c r="C73" s="244" t="s">
        <v>94</v>
      </c>
      <c r="D73" s="245">
        <f>SUM(D71:D72)</f>
        <v>1317000</v>
      </c>
      <c r="E73" s="245">
        <f t="shared" ref="E73:R73" si="13">SUM(E71:E72)</f>
        <v>0</v>
      </c>
      <c r="F73" s="245">
        <f t="shared" si="13"/>
        <v>0</v>
      </c>
      <c r="G73" s="245">
        <f t="shared" si="13"/>
        <v>0</v>
      </c>
      <c r="H73" s="245">
        <f t="shared" si="13"/>
        <v>0</v>
      </c>
      <c r="I73" s="245">
        <f t="shared" si="13"/>
        <v>0</v>
      </c>
      <c r="J73" s="245">
        <f t="shared" si="13"/>
        <v>1317000</v>
      </c>
      <c r="K73" s="245">
        <f t="shared" si="13"/>
        <v>1871038</v>
      </c>
      <c r="L73" s="245">
        <f t="shared" si="13"/>
        <v>0</v>
      </c>
      <c r="M73" s="245">
        <f t="shared" si="13"/>
        <v>0</v>
      </c>
      <c r="N73" s="245">
        <f t="shared" si="13"/>
        <v>0</v>
      </c>
      <c r="O73" s="245">
        <f t="shared" si="13"/>
        <v>0</v>
      </c>
      <c r="P73" s="245">
        <f t="shared" si="13"/>
        <v>0</v>
      </c>
      <c r="Q73" s="245">
        <f t="shared" si="11"/>
        <v>3188038</v>
      </c>
      <c r="R73" s="245">
        <f t="shared" si="13"/>
        <v>1562519</v>
      </c>
      <c r="S73" s="245">
        <f t="shared" si="12"/>
        <v>1625519</v>
      </c>
    </row>
    <row r="74" spans="1:19" ht="15" x14ac:dyDescent="0.25">
      <c r="A74" s="546"/>
      <c r="B74" s="222" t="s">
        <v>17</v>
      </c>
      <c r="C74" s="244" t="s">
        <v>9</v>
      </c>
      <c r="D74" s="245">
        <v>31500</v>
      </c>
      <c r="E74" s="289"/>
      <c r="F74" s="245"/>
      <c r="G74" s="245"/>
      <c r="H74" s="245"/>
      <c r="I74" s="245"/>
      <c r="J74" s="245">
        <f t="shared" ref="J74:J83" si="14">SUM(D74:I74)</f>
        <v>31500</v>
      </c>
      <c r="K74" s="245">
        <f>145005+145005</f>
        <v>290010</v>
      </c>
      <c r="L74" s="245"/>
      <c r="M74" s="245"/>
      <c r="N74" s="245"/>
      <c r="O74" s="245"/>
      <c r="P74" s="245"/>
      <c r="Q74" s="245">
        <f t="shared" si="11"/>
        <v>321510</v>
      </c>
      <c r="R74" s="290">
        <v>145005</v>
      </c>
      <c r="S74" s="291">
        <f t="shared" si="12"/>
        <v>176505</v>
      </c>
    </row>
    <row r="75" spans="1:19" ht="15" x14ac:dyDescent="0.25">
      <c r="A75" s="546"/>
      <c r="B75" s="222" t="s">
        <v>17</v>
      </c>
      <c r="C75" s="208" t="s">
        <v>22</v>
      </c>
      <c r="D75" s="209">
        <v>230000</v>
      </c>
      <c r="E75" s="210"/>
      <c r="F75" s="209"/>
      <c r="G75" s="209"/>
      <c r="H75" s="209"/>
      <c r="I75" s="209"/>
      <c r="J75" s="211">
        <f t="shared" si="14"/>
        <v>230000</v>
      </c>
      <c r="K75" s="211"/>
      <c r="L75" s="211"/>
      <c r="M75" s="211"/>
      <c r="N75" s="211"/>
      <c r="O75" s="211"/>
      <c r="P75" s="211"/>
      <c r="Q75" s="211">
        <f t="shared" si="11"/>
        <v>230000</v>
      </c>
      <c r="R75" s="240">
        <v>0</v>
      </c>
      <c r="S75" s="241">
        <f t="shared" si="12"/>
        <v>230000</v>
      </c>
    </row>
    <row r="76" spans="1:19" ht="15" x14ac:dyDescent="0.25">
      <c r="A76" s="546"/>
      <c r="B76" s="222" t="s">
        <v>17</v>
      </c>
      <c r="C76" s="208" t="s">
        <v>33</v>
      </c>
      <c r="D76" s="209">
        <v>460000</v>
      </c>
      <c r="E76" s="210"/>
      <c r="F76" s="209"/>
      <c r="G76" s="209"/>
      <c r="H76" s="209"/>
      <c r="I76" s="209"/>
      <c r="J76" s="211">
        <f t="shared" si="14"/>
        <v>460000</v>
      </c>
      <c r="K76" s="211"/>
      <c r="L76" s="211"/>
      <c r="M76" s="211"/>
      <c r="N76" s="211"/>
      <c r="O76" s="211"/>
      <c r="P76" s="211"/>
      <c r="Q76" s="211">
        <f t="shared" si="11"/>
        <v>460000</v>
      </c>
      <c r="R76" s="240">
        <v>172500</v>
      </c>
      <c r="S76" s="241">
        <f t="shared" si="12"/>
        <v>287500</v>
      </c>
    </row>
    <row r="77" spans="1:19" ht="15" x14ac:dyDescent="0.25">
      <c r="A77" s="546"/>
      <c r="B77" s="222" t="s">
        <v>17</v>
      </c>
      <c r="C77" s="208" t="s">
        <v>34</v>
      </c>
      <c r="D77" s="209">
        <v>230000</v>
      </c>
      <c r="E77" s="210"/>
      <c r="F77" s="209"/>
      <c r="G77" s="209"/>
      <c r="H77" s="209"/>
      <c r="I77" s="209"/>
      <c r="J77" s="211">
        <f t="shared" si="14"/>
        <v>230000</v>
      </c>
      <c r="K77" s="211"/>
      <c r="L77" s="211"/>
      <c r="M77" s="211"/>
      <c r="N77" s="211"/>
      <c r="O77" s="211"/>
      <c r="P77" s="211"/>
      <c r="Q77" s="211">
        <f t="shared" si="11"/>
        <v>230000</v>
      </c>
      <c r="R77" s="240">
        <v>0</v>
      </c>
      <c r="S77" s="241">
        <f t="shared" si="12"/>
        <v>230000</v>
      </c>
    </row>
    <row r="78" spans="1:19" ht="15" x14ac:dyDescent="0.25">
      <c r="A78" s="546"/>
      <c r="B78" s="222" t="s">
        <v>17</v>
      </c>
      <c r="C78" s="208" t="s">
        <v>197</v>
      </c>
      <c r="D78" s="209">
        <v>0</v>
      </c>
      <c r="E78" s="210"/>
      <c r="F78" s="209"/>
      <c r="G78" s="209"/>
      <c r="H78" s="209"/>
      <c r="I78" s="209"/>
      <c r="J78" s="211">
        <f t="shared" si="14"/>
        <v>0</v>
      </c>
      <c r="K78" s="211"/>
      <c r="L78" s="211"/>
      <c r="M78" s="211"/>
      <c r="N78" s="211"/>
      <c r="O78" s="211"/>
      <c r="P78" s="211"/>
      <c r="Q78" s="211">
        <f t="shared" si="11"/>
        <v>0</v>
      </c>
      <c r="R78" s="240">
        <v>0</v>
      </c>
      <c r="S78" s="241">
        <f t="shared" si="12"/>
        <v>0</v>
      </c>
    </row>
    <row r="79" spans="1:19" ht="15" x14ac:dyDescent="0.25">
      <c r="A79" s="546"/>
      <c r="B79" s="222" t="s">
        <v>17</v>
      </c>
      <c r="C79" s="208" t="s">
        <v>10</v>
      </c>
      <c r="D79" s="209">
        <v>13152250</v>
      </c>
      <c r="E79" s="210"/>
      <c r="F79" s="209"/>
      <c r="G79" s="209"/>
      <c r="H79" s="209"/>
      <c r="I79" s="209"/>
      <c r="J79" s="211">
        <f t="shared" si="14"/>
        <v>13152250</v>
      </c>
      <c r="K79" s="211"/>
      <c r="L79" s="211"/>
      <c r="M79" s="211"/>
      <c r="N79" s="211"/>
      <c r="O79" s="211"/>
      <c r="P79" s="211"/>
      <c r="Q79" s="211">
        <f t="shared" si="11"/>
        <v>13152250</v>
      </c>
      <c r="R79" s="240">
        <v>3285000</v>
      </c>
      <c r="S79" s="241">
        <f t="shared" si="12"/>
        <v>9867250</v>
      </c>
    </row>
    <row r="80" spans="1:19" ht="15" x14ac:dyDescent="0.25">
      <c r="A80" s="546"/>
      <c r="B80" s="222" t="s">
        <v>17</v>
      </c>
      <c r="C80" s="208" t="s">
        <v>2</v>
      </c>
      <c r="D80" s="209">
        <v>9129015</v>
      </c>
      <c r="E80" s="210">
        <v>-37723</v>
      </c>
      <c r="F80" s="209"/>
      <c r="G80" s="209"/>
      <c r="H80" s="209"/>
      <c r="I80" s="209"/>
      <c r="J80" s="211">
        <f t="shared" si="14"/>
        <v>9091292</v>
      </c>
      <c r="K80" s="211">
        <f>-100000-1080524-1080524</f>
        <v>-2261048</v>
      </c>
      <c r="L80" s="211"/>
      <c r="M80" s="211"/>
      <c r="N80" s="211"/>
      <c r="O80" s="211"/>
      <c r="P80" s="211"/>
      <c r="Q80" s="211">
        <f t="shared" si="11"/>
        <v>6830244</v>
      </c>
      <c r="R80" s="240">
        <v>1974000</v>
      </c>
      <c r="S80" s="241">
        <f t="shared" si="12"/>
        <v>4856244</v>
      </c>
    </row>
    <row r="81" spans="1:20" ht="15" x14ac:dyDescent="0.25">
      <c r="A81" s="546"/>
      <c r="B81" s="222" t="s">
        <v>17</v>
      </c>
      <c r="C81" s="208" t="s">
        <v>35</v>
      </c>
      <c r="D81" s="209">
        <v>230000</v>
      </c>
      <c r="E81" s="210"/>
      <c r="F81" s="209"/>
      <c r="G81" s="209"/>
      <c r="H81" s="209"/>
      <c r="I81" s="209"/>
      <c r="J81" s="211">
        <f t="shared" si="14"/>
        <v>230000</v>
      </c>
      <c r="K81" s="211"/>
      <c r="L81" s="211"/>
      <c r="M81" s="211"/>
      <c r="N81" s="211"/>
      <c r="O81" s="211"/>
      <c r="P81" s="211"/>
      <c r="Q81" s="211">
        <f t="shared" si="11"/>
        <v>230000</v>
      </c>
      <c r="R81" s="240">
        <v>0</v>
      </c>
      <c r="S81" s="241">
        <f t="shared" si="12"/>
        <v>230000</v>
      </c>
    </row>
    <row r="82" spans="1:20" ht="15" x14ac:dyDescent="0.25">
      <c r="A82" s="546"/>
      <c r="B82" s="222" t="s">
        <v>17</v>
      </c>
      <c r="C82" s="208" t="s">
        <v>11</v>
      </c>
      <c r="D82" s="209">
        <v>2979207</v>
      </c>
      <c r="E82" s="210"/>
      <c r="F82" s="209"/>
      <c r="G82" s="209"/>
      <c r="H82" s="209"/>
      <c r="I82" s="209"/>
      <c r="J82" s="211">
        <f t="shared" si="14"/>
        <v>2979207</v>
      </c>
      <c r="K82" s="211"/>
      <c r="L82" s="211"/>
      <c r="M82" s="211"/>
      <c r="N82" s="211"/>
      <c r="O82" s="211"/>
      <c r="P82" s="211"/>
      <c r="Q82" s="211">
        <f t="shared" si="11"/>
        <v>2979207</v>
      </c>
      <c r="R82" s="240">
        <v>579555</v>
      </c>
      <c r="S82" s="241">
        <f t="shared" si="12"/>
        <v>2399652</v>
      </c>
    </row>
    <row r="83" spans="1:20" ht="15" x14ac:dyDescent="0.25">
      <c r="A83" s="546"/>
      <c r="B83" s="222" t="s">
        <v>17</v>
      </c>
      <c r="C83" s="208" t="s">
        <v>12</v>
      </c>
      <c r="D83" s="209">
        <v>62277</v>
      </c>
      <c r="E83" s="210">
        <v>37723</v>
      </c>
      <c r="F83" s="209"/>
      <c r="G83" s="209"/>
      <c r="H83" s="209"/>
      <c r="I83" s="209"/>
      <c r="J83" s="211">
        <f t="shared" si="14"/>
        <v>100000</v>
      </c>
      <c r="K83" s="211">
        <v>100000</v>
      </c>
      <c r="L83" s="211"/>
      <c r="M83" s="211"/>
      <c r="N83" s="211"/>
      <c r="O83" s="211"/>
      <c r="P83" s="211"/>
      <c r="Q83" s="211">
        <f t="shared" si="11"/>
        <v>200000</v>
      </c>
      <c r="R83" s="240">
        <v>200000</v>
      </c>
      <c r="S83" s="241">
        <f t="shared" si="12"/>
        <v>0</v>
      </c>
    </row>
    <row r="84" spans="1:20" s="166" customFormat="1" ht="15" x14ac:dyDescent="0.25">
      <c r="A84" s="546"/>
      <c r="B84" s="222" t="s">
        <v>17</v>
      </c>
      <c r="C84" s="244" t="s">
        <v>95</v>
      </c>
      <c r="D84" s="245">
        <f>SUM(D75:D83)</f>
        <v>26472749</v>
      </c>
      <c r="E84" s="245">
        <f t="shared" ref="E84:R84" si="15">SUM(E75:E83)</f>
        <v>0</v>
      </c>
      <c r="F84" s="245">
        <f t="shared" si="15"/>
        <v>0</v>
      </c>
      <c r="G84" s="245">
        <f t="shared" si="15"/>
        <v>0</v>
      </c>
      <c r="H84" s="245">
        <f t="shared" si="15"/>
        <v>0</v>
      </c>
      <c r="I84" s="245">
        <f t="shared" si="15"/>
        <v>0</v>
      </c>
      <c r="J84" s="245">
        <f t="shared" si="15"/>
        <v>26472749</v>
      </c>
      <c r="K84" s="245">
        <f t="shared" si="15"/>
        <v>-2161048</v>
      </c>
      <c r="L84" s="245">
        <f t="shared" si="15"/>
        <v>0</v>
      </c>
      <c r="M84" s="245">
        <f t="shared" si="15"/>
        <v>0</v>
      </c>
      <c r="N84" s="245">
        <f t="shared" si="15"/>
        <v>0</v>
      </c>
      <c r="O84" s="245">
        <f t="shared" si="15"/>
        <v>0</v>
      </c>
      <c r="P84" s="245">
        <f t="shared" si="15"/>
        <v>0</v>
      </c>
      <c r="Q84" s="245">
        <f t="shared" si="11"/>
        <v>24311701</v>
      </c>
      <c r="R84" s="245">
        <f t="shared" si="15"/>
        <v>6211055</v>
      </c>
      <c r="S84" s="245">
        <f t="shared" si="12"/>
        <v>18100646</v>
      </c>
    </row>
    <row r="85" spans="1:20" ht="15" x14ac:dyDescent="0.25">
      <c r="A85" s="546"/>
      <c r="B85" s="222" t="s">
        <v>17</v>
      </c>
      <c r="C85" s="244" t="s">
        <v>36</v>
      </c>
      <c r="D85" s="245">
        <v>0</v>
      </c>
      <c r="E85" s="289"/>
      <c r="F85" s="245"/>
      <c r="G85" s="245"/>
      <c r="H85" s="245"/>
      <c r="I85" s="245"/>
      <c r="J85" s="245">
        <f>SUM(D85:I85)</f>
        <v>0</v>
      </c>
      <c r="K85" s="245"/>
      <c r="L85" s="245"/>
      <c r="M85" s="245"/>
      <c r="N85" s="245"/>
      <c r="O85" s="245"/>
      <c r="P85" s="245"/>
      <c r="Q85" s="245">
        <f t="shared" si="11"/>
        <v>0</v>
      </c>
      <c r="R85" s="290">
        <v>0</v>
      </c>
      <c r="S85" s="291">
        <f t="shared" si="12"/>
        <v>0</v>
      </c>
    </row>
    <row r="86" spans="1:20" ht="15" x14ac:dyDescent="0.25">
      <c r="A86" s="546"/>
      <c r="B86" s="222" t="s">
        <v>17</v>
      </c>
      <c r="C86" s="208" t="s">
        <v>31</v>
      </c>
      <c r="D86" s="209"/>
      <c r="E86" s="210"/>
      <c r="F86" s="209"/>
      <c r="G86" s="209"/>
      <c r="H86" s="209"/>
      <c r="I86" s="209"/>
      <c r="J86" s="211">
        <f>SUM(D86:I86)</f>
        <v>0</v>
      </c>
      <c r="K86" s="211"/>
      <c r="L86" s="211"/>
      <c r="M86" s="211"/>
      <c r="N86" s="211"/>
      <c r="O86" s="211"/>
      <c r="P86" s="211"/>
      <c r="Q86" s="211">
        <f t="shared" si="11"/>
        <v>0</v>
      </c>
      <c r="R86" s="240">
        <v>0</v>
      </c>
      <c r="S86" s="241">
        <f t="shared" si="12"/>
        <v>0</v>
      </c>
    </row>
    <row r="87" spans="1:20" ht="15" x14ac:dyDescent="0.25">
      <c r="A87" s="546"/>
      <c r="B87" s="222" t="s">
        <v>17</v>
      </c>
      <c r="C87" s="208" t="s">
        <v>32</v>
      </c>
      <c r="D87" s="209">
        <v>0</v>
      </c>
      <c r="E87" s="210"/>
      <c r="F87" s="209"/>
      <c r="G87" s="209"/>
      <c r="H87" s="209"/>
      <c r="I87" s="209"/>
      <c r="J87" s="211">
        <f>SUM(D87:I87)</f>
        <v>0</v>
      </c>
      <c r="K87" s="211"/>
      <c r="L87" s="211"/>
      <c r="M87" s="211"/>
      <c r="N87" s="211"/>
      <c r="O87" s="211"/>
      <c r="P87" s="211"/>
      <c r="Q87" s="211">
        <f t="shared" si="11"/>
        <v>0</v>
      </c>
      <c r="R87" s="240">
        <v>0</v>
      </c>
      <c r="S87" s="241">
        <f t="shared" si="12"/>
        <v>0</v>
      </c>
    </row>
    <row r="88" spans="1:20" ht="15" x14ac:dyDescent="0.25">
      <c r="A88" s="546"/>
      <c r="B88" s="222" t="s">
        <v>17</v>
      </c>
      <c r="C88" s="208" t="s">
        <v>13</v>
      </c>
      <c r="D88" s="209">
        <v>21680</v>
      </c>
      <c r="E88" s="210"/>
      <c r="F88" s="209"/>
      <c r="G88" s="209"/>
      <c r="H88" s="209"/>
      <c r="I88" s="209"/>
      <c r="J88" s="211">
        <f>SUM(D88:I88)</f>
        <v>21680</v>
      </c>
      <c r="K88" s="211"/>
      <c r="L88" s="211"/>
      <c r="M88" s="211"/>
      <c r="N88" s="211"/>
      <c r="O88" s="211"/>
      <c r="P88" s="211"/>
      <c r="Q88" s="211">
        <f t="shared" si="11"/>
        <v>21680</v>
      </c>
      <c r="R88" s="240">
        <v>0</v>
      </c>
      <c r="S88" s="241">
        <f t="shared" si="12"/>
        <v>21680</v>
      </c>
    </row>
    <row r="89" spans="1:20" ht="15" x14ac:dyDescent="0.25">
      <c r="A89" s="546"/>
      <c r="B89" s="222" t="s">
        <v>17</v>
      </c>
      <c r="C89" s="208" t="s">
        <v>14</v>
      </c>
      <c r="D89" s="209">
        <v>5854</v>
      </c>
      <c r="E89" s="210"/>
      <c r="F89" s="209"/>
      <c r="G89" s="209"/>
      <c r="H89" s="209"/>
      <c r="I89" s="209"/>
      <c r="J89" s="211">
        <f>SUM(D89:I89)</f>
        <v>5854</v>
      </c>
      <c r="K89" s="211"/>
      <c r="L89" s="211"/>
      <c r="M89" s="211"/>
      <c r="N89" s="211"/>
      <c r="O89" s="211"/>
      <c r="P89" s="211"/>
      <c r="Q89" s="211">
        <f t="shared" si="11"/>
        <v>5854</v>
      </c>
      <c r="R89" s="240">
        <v>0</v>
      </c>
      <c r="S89" s="241">
        <f t="shared" si="12"/>
        <v>5854</v>
      </c>
    </row>
    <row r="90" spans="1:20" ht="15" x14ac:dyDescent="0.25">
      <c r="A90" s="546"/>
      <c r="B90" s="222" t="s">
        <v>17</v>
      </c>
      <c r="C90" s="244" t="s">
        <v>97</v>
      </c>
      <c r="D90" s="245">
        <f>SUM(D85:D89)</f>
        <v>27534</v>
      </c>
      <c r="E90" s="245">
        <f t="shared" ref="E90:R90" si="16">SUM(E85:E89)</f>
        <v>0</v>
      </c>
      <c r="F90" s="245">
        <f t="shared" si="16"/>
        <v>0</v>
      </c>
      <c r="G90" s="245">
        <f t="shared" si="16"/>
        <v>0</v>
      </c>
      <c r="H90" s="245">
        <f t="shared" si="16"/>
        <v>0</v>
      </c>
      <c r="I90" s="245">
        <f t="shared" si="16"/>
        <v>0</v>
      </c>
      <c r="J90" s="245">
        <f t="shared" si="16"/>
        <v>27534</v>
      </c>
      <c r="K90" s="245">
        <f t="shared" si="16"/>
        <v>0</v>
      </c>
      <c r="L90" s="245">
        <f t="shared" si="16"/>
        <v>0</v>
      </c>
      <c r="M90" s="245">
        <f t="shared" si="16"/>
        <v>0</v>
      </c>
      <c r="N90" s="245">
        <f t="shared" si="16"/>
        <v>0</v>
      </c>
      <c r="O90" s="245">
        <f t="shared" si="16"/>
        <v>0</v>
      </c>
      <c r="P90" s="245">
        <f t="shared" si="16"/>
        <v>0</v>
      </c>
      <c r="Q90" s="245">
        <f t="shared" si="11"/>
        <v>27534</v>
      </c>
      <c r="R90" s="245">
        <f t="shared" si="16"/>
        <v>0</v>
      </c>
      <c r="S90" s="245">
        <f t="shared" si="12"/>
        <v>27534</v>
      </c>
    </row>
    <row r="91" spans="1:20" ht="15" x14ac:dyDescent="0.25">
      <c r="A91" s="546"/>
      <c r="B91" s="222" t="s">
        <v>17</v>
      </c>
      <c r="C91" s="208" t="s">
        <v>15</v>
      </c>
      <c r="D91" s="209">
        <v>1593884</v>
      </c>
      <c r="E91" s="210"/>
      <c r="F91" s="209"/>
      <c r="G91" s="209"/>
      <c r="H91" s="209"/>
      <c r="I91" s="209"/>
      <c r="J91" s="211">
        <f>SUM(D91:I91)</f>
        <v>1593884</v>
      </c>
      <c r="K91" s="211"/>
      <c r="L91" s="211"/>
      <c r="M91" s="211"/>
      <c r="N91" s="211"/>
      <c r="O91" s="211"/>
      <c r="P91" s="211"/>
      <c r="Q91" s="211">
        <f t="shared" si="11"/>
        <v>1593884</v>
      </c>
      <c r="R91" s="240">
        <v>724409</v>
      </c>
      <c r="S91" s="241">
        <f t="shared" si="12"/>
        <v>869475</v>
      </c>
    </row>
    <row r="92" spans="1:20" ht="15" x14ac:dyDescent="0.25">
      <c r="A92" s="546"/>
      <c r="B92" s="222" t="s">
        <v>17</v>
      </c>
      <c r="C92" s="208" t="s">
        <v>16</v>
      </c>
      <c r="D92" s="209">
        <v>430349</v>
      </c>
      <c r="E92" s="210"/>
      <c r="F92" s="209"/>
      <c r="G92" s="209"/>
      <c r="H92" s="209"/>
      <c r="I92" s="209"/>
      <c r="J92" s="211">
        <f>SUM(D92:I92)</f>
        <v>430349</v>
      </c>
      <c r="K92" s="211"/>
      <c r="L92" s="211"/>
      <c r="M92" s="211"/>
      <c r="N92" s="211"/>
      <c r="O92" s="211"/>
      <c r="P92" s="211"/>
      <c r="Q92" s="211">
        <f t="shared" si="11"/>
        <v>430349</v>
      </c>
      <c r="R92" s="240">
        <v>195590</v>
      </c>
      <c r="S92" s="241">
        <f t="shared" si="12"/>
        <v>234759</v>
      </c>
    </row>
    <row r="93" spans="1:20" ht="15.75" thickBot="1" x14ac:dyDescent="0.3">
      <c r="A93" s="567"/>
      <c r="B93" s="309" t="s">
        <v>17</v>
      </c>
      <c r="C93" s="310" t="s">
        <v>98</v>
      </c>
      <c r="D93" s="300">
        <f>SUM(D91:D92)</f>
        <v>2024233</v>
      </c>
      <c r="E93" s="300">
        <f t="shared" ref="E93:R93" si="17">SUM(E91:E92)</f>
        <v>0</v>
      </c>
      <c r="F93" s="300">
        <f t="shared" si="17"/>
        <v>0</v>
      </c>
      <c r="G93" s="300">
        <f t="shared" si="17"/>
        <v>0</v>
      </c>
      <c r="H93" s="300">
        <f t="shared" si="17"/>
        <v>0</v>
      </c>
      <c r="I93" s="300">
        <f t="shared" si="17"/>
        <v>0</v>
      </c>
      <c r="J93" s="300">
        <f t="shared" si="17"/>
        <v>2024233</v>
      </c>
      <c r="K93" s="300">
        <f t="shared" si="17"/>
        <v>0</v>
      </c>
      <c r="L93" s="300">
        <f t="shared" si="17"/>
        <v>0</v>
      </c>
      <c r="M93" s="300">
        <f t="shared" si="17"/>
        <v>0</v>
      </c>
      <c r="N93" s="300">
        <f t="shared" si="17"/>
        <v>0</v>
      </c>
      <c r="O93" s="300">
        <f t="shared" si="17"/>
        <v>0</v>
      </c>
      <c r="P93" s="300">
        <f t="shared" si="17"/>
        <v>0</v>
      </c>
      <c r="Q93" s="300">
        <f t="shared" si="11"/>
        <v>2024233</v>
      </c>
      <c r="R93" s="300">
        <f t="shared" si="17"/>
        <v>919999</v>
      </c>
      <c r="S93" s="300">
        <f t="shared" si="12"/>
        <v>1104234</v>
      </c>
    </row>
    <row r="94" spans="1:20" ht="15.75" thickTop="1" x14ac:dyDescent="0.25">
      <c r="A94" s="568" t="s">
        <v>127</v>
      </c>
      <c r="B94" s="273" t="s">
        <v>128</v>
      </c>
      <c r="C94" s="311" t="s">
        <v>7</v>
      </c>
      <c r="D94" s="283">
        <v>0</v>
      </c>
      <c r="E94" s="284"/>
      <c r="F94" s="283"/>
      <c r="G94" s="283"/>
      <c r="H94" s="283"/>
      <c r="I94" s="283"/>
      <c r="J94" s="245">
        <f t="shared" ref="J94:J100" si="18">SUM(D94:I94)</f>
        <v>0</v>
      </c>
      <c r="K94" s="285"/>
      <c r="L94" s="285"/>
      <c r="M94" s="285"/>
      <c r="N94" s="285"/>
      <c r="O94" s="285"/>
      <c r="P94" s="285"/>
      <c r="Q94" s="285">
        <f t="shared" si="11"/>
        <v>0</v>
      </c>
      <c r="R94" s="286">
        <v>0</v>
      </c>
      <c r="S94" s="287">
        <f t="shared" si="12"/>
        <v>0</v>
      </c>
    </row>
    <row r="95" spans="1:20" ht="15" x14ac:dyDescent="0.25">
      <c r="A95" s="569"/>
      <c r="B95" s="223" t="s">
        <v>128</v>
      </c>
      <c r="C95" s="312" t="s">
        <v>9</v>
      </c>
      <c r="D95" s="245">
        <v>0</v>
      </c>
      <c r="E95" s="289"/>
      <c r="F95" s="245"/>
      <c r="G95" s="245"/>
      <c r="H95" s="245"/>
      <c r="I95" s="245"/>
      <c r="J95" s="245">
        <f t="shared" si="18"/>
        <v>0</v>
      </c>
      <c r="K95" s="245"/>
      <c r="L95" s="245"/>
      <c r="M95" s="245"/>
      <c r="N95" s="245"/>
      <c r="O95" s="245"/>
      <c r="P95" s="245"/>
      <c r="Q95" s="245">
        <f t="shared" si="11"/>
        <v>0</v>
      </c>
      <c r="R95" s="290">
        <v>0</v>
      </c>
      <c r="S95" s="291">
        <f t="shared" si="12"/>
        <v>0</v>
      </c>
    </row>
    <row r="96" spans="1:20" ht="15" x14ac:dyDescent="0.25">
      <c r="A96" s="569"/>
      <c r="B96" s="223" t="s">
        <v>128</v>
      </c>
      <c r="C96" s="313" t="s">
        <v>22</v>
      </c>
      <c r="D96" s="209">
        <v>0</v>
      </c>
      <c r="E96" s="210"/>
      <c r="F96" s="209"/>
      <c r="G96" s="209"/>
      <c r="H96" s="209"/>
      <c r="I96" s="209"/>
      <c r="J96" s="211">
        <f t="shared" si="18"/>
        <v>0</v>
      </c>
      <c r="K96" s="211"/>
      <c r="L96" s="211"/>
      <c r="M96" s="211"/>
      <c r="N96" s="211"/>
      <c r="O96" s="211"/>
      <c r="P96" s="211"/>
      <c r="Q96" s="211">
        <f t="shared" si="11"/>
        <v>0</v>
      </c>
      <c r="R96" s="240">
        <v>0</v>
      </c>
      <c r="S96" s="241">
        <f t="shared" si="12"/>
        <v>0</v>
      </c>
      <c r="T96" s="166"/>
    </row>
    <row r="97" spans="1:20" ht="15" x14ac:dyDescent="0.25">
      <c r="A97" s="569"/>
      <c r="B97" s="223" t="s">
        <v>128</v>
      </c>
      <c r="C97" s="313" t="s">
        <v>33</v>
      </c>
      <c r="D97" s="209">
        <v>0</v>
      </c>
      <c r="E97" s="210"/>
      <c r="F97" s="209"/>
      <c r="G97" s="209"/>
      <c r="H97" s="209"/>
      <c r="I97" s="209"/>
      <c r="J97" s="211">
        <f t="shared" si="18"/>
        <v>0</v>
      </c>
      <c r="K97" s="211"/>
      <c r="L97" s="211"/>
      <c r="M97" s="211"/>
      <c r="N97" s="211"/>
      <c r="O97" s="211"/>
      <c r="P97" s="211"/>
      <c r="Q97" s="211">
        <f t="shared" si="11"/>
        <v>0</v>
      </c>
      <c r="R97" s="240">
        <v>0</v>
      </c>
      <c r="S97" s="241">
        <f t="shared" si="12"/>
        <v>0</v>
      </c>
      <c r="T97" s="166"/>
    </row>
    <row r="98" spans="1:20" ht="15" x14ac:dyDescent="0.25">
      <c r="A98" s="569"/>
      <c r="B98" s="223" t="s">
        <v>128</v>
      </c>
      <c r="C98" s="313" t="s">
        <v>34</v>
      </c>
      <c r="D98" s="209">
        <v>0</v>
      </c>
      <c r="E98" s="210"/>
      <c r="F98" s="209"/>
      <c r="G98" s="209"/>
      <c r="H98" s="209"/>
      <c r="I98" s="209"/>
      <c r="J98" s="211">
        <f t="shared" si="18"/>
        <v>0</v>
      </c>
      <c r="K98" s="211"/>
      <c r="L98" s="211"/>
      <c r="M98" s="211"/>
      <c r="N98" s="211"/>
      <c r="O98" s="211"/>
      <c r="P98" s="211"/>
      <c r="Q98" s="211">
        <f t="shared" si="11"/>
        <v>0</v>
      </c>
      <c r="R98" s="240">
        <v>0</v>
      </c>
      <c r="S98" s="241">
        <f t="shared" si="12"/>
        <v>0</v>
      </c>
      <c r="T98" s="166"/>
    </row>
    <row r="99" spans="1:20" ht="15" x14ac:dyDescent="0.25">
      <c r="A99" s="569"/>
      <c r="B99" s="223" t="s">
        <v>128</v>
      </c>
      <c r="C99" s="313" t="s">
        <v>10</v>
      </c>
      <c r="D99" s="209">
        <v>0</v>
      </c>
      <c r="E99" s="210"/>
      <c r="F99" s="209"/>
      <c r="G99" s="209"/>
      <c r="H99" s="209"/>
      <c r="I99" s="209"/>
      <c r="J99" s="211">
        <f t="shared" si="18"/>
        <v>0</v>
      </c>
      <c r="K99" s="211"/>
      <c r="L99" s="211"/>
      <c r="M99" s="211"/>
      <c r="N99" s="211"/>
      <c r="O99" s="211"/>
      <c r="P99" s="211"/>
      <c r="Q99" s="211">
        <f t="shared" si="11"/>
        <v>0</v>
      </c>
      <c r="R99" s="240">
        <v>0</v>
      </c>
      <c r="S99" s="241">
        <f t="shared" si="12"/>
        <v>0</v>
      </c>
      <c r="T99" s="166"/>
    </row>
    <row r="100" spans="1:20" ht="15" x14ac:dyDescent="0.25">
      <c r="A100" s="569"/>
      <c r="B100" s="223" t="s">
        <v>128</v>
      </c>
      <c r="C100" s="313" t="s">
        <v>2</v>
      </c>
      <c r="D100" s="209">
        <v>0</v>
      </c>
      <c r="E100" s="210"/>
      <c r="F100" s="209"/>
      <c r="G100" s="209"/>
      <c r="H100" s="209"/>
      <c r="I100" s="209"/>
      <c r="J100" s="211">
        <f t="shared" si="18"/>
        <v>0</v>
      </c>
      <c r="K100" s="211"/>
      <c r="L100" s="211"/>
      <c r="M100" s="211"/>
      <c r="N100" s="211"/>
      <c r="O100" s="211"/>
      <c r="P100" s="211"/>
      <c r="Q100" s="211">
        <f t="shared" si="11"/>
        <v>0</v>
      </c>
      <c r="R100" s="240">
        <v>0</v>
      </c>
      <c r="S100" s="241">
        <f t="shared" si="12"/>
        <v>0</v>
      </c>
      <c r="T100" s="166"/>
    </row>
    <row r="101" spans="1:20" ht="15" x14ac:dyDescent="0.25">
      <c r="A101" s="569"/>
      <c r="B101" s="223" t="s">
        <v>128</v>
      </c>
      <c r="C101" s="313" t="s">
        <v>35</v>
      </c>
      <c r="D101" s="209">
        <v>0</v>
      </c>
      <c r="E101" s="210"/>
      <c r="F101" s="209"/>
      <c r="G101" s="209"/>
      <c r="H101" s="209"/>
      <c r="I101" s="209"/>
      <c r="J101" s="211">
        <f>SUM(D101:I101)</f>
        <v>0</v>
      </c>
      <c r="K101" s="211"/>
      <c r="L101" s="211"/>
      <c r="M101" s="211"/>
      <c r="N101" s="211"/>
      <c r="O101" s="211"/>
      <c r="P101" s="211"/>
      <c r="Q101" s="211">
        <f t="shared" si="11"/>
        <v>0</v>
      </c>
      <c r="R101" s="240">
        <v>0</v>
      </c>
      <c r="S101" s="241">
        <f t="shared" si="12"/>
        <v>0</v>
      </c>
      <c r="T101" s="166"/>
    </row>
    <row r="102" spans="1:20" ht="15" x14ac:dyDescent="0.25">
      <c r="A102" s="569"/>
      <c r="B102" s="223" t="s">
        <v>128</v>
      </c>
      <c r="C102" s="313" t="s">
        <v>117</v>
      </c>
      <c r="D102" s="209">
        <v>0</v>
      </c>
      <c r="E102" s="210"/>
      <c r="F102" s="209"/>
      <c r="G102" s="209"/>
      <c r="H102" s="209"/>
      <c r="I102" s="209"/>
      <c r="J102" s="211">
        <f>SUM(D102:I102)</f>
        <v>0</v>
      </c>
      <c r="K102" s="211"/>
      <c r="L102" s="211"/>
      <c r="M102" s="211"/>
      <c r="N102" s="211"/>
      <c r="O102" s="211"/>
      <c r="P102" s="211"/>
      <c r="Q102" s="211">
        <f t="shared" si="11"/>
        <v>0</v>
      </c>
      <c r="R102" s="240">
        <v>0</v>
      </c>
      <c r="S102" s="241">
        <f t="shared" si="12"/>
        <v>0</v>
      </c>
      <c r="T102" s="166"/>
    </row>
    <row r="103" spans="1:20" ht="15" x14ac:dyDescent="0.25">
      <c r="A103" s="569"/>
      <c r="B103" s="223" t="s">
        <v>128</v>
      </c>
      <c r="C103" s="313" t="s">
        <v>11</v>
      </c>
      <c r="D103" s="209">
        <v>0</v>
      </c>
      <c r="E103" s="210"/>
      <c r="F103" s="209"/>
      <c r="G103" s="209"/>
      <c r="H103" s="209"/>
      <c r="I103" s="209"/>
      <c r="J103" s="211">
        <f>SUM(D103:I103)</f>
        <v>0</v>
      </c>
      <c r="K103" s="211"/>
      <c r="L103" s="211"/>
      <c r="M103" s="211"/>
      <c r="N103" s="211"/>
      <c r="O103" s="211"/>
      <c r="P103" s="211"/>
      <c r="Q103" s="211">
        <f t="shared" si="11"/>
        <v>0</v>
      </c>
      <c r="R103" s="240">
        <v>0</v>
      </c>
      <c r="S103" s="242">
        <f t="shared" si="12"/>
        <v>0</v>
      </c>
      <c r="T103" s="166"/>
    </row>
    <row r="104" spans="1:20" ht="15" x14ac:dyDescent="0.25">
      <c r="A104" s="569"/>
      <c r="B104" s="223" t="s">
        <v>128</v>
      </c>
      <c r="C104" s="313" t="s">
        <v>12</v>
      </c>
      <c r="D104" s="209">
        <v>405251</v>
      </c>
      <c r="E104" s="210"/>
      <c r="F104" s="209"/>
      <c r="G104" s="209"/>
      <c r="H104" s="209"/>
      <c r="I104" s="209"/>
      <c r="J104" s="211">
        <f>SUM(D104:I104)</f>
        <v>405251</v>
      </c>
      <c r="K104" s="211"/>
      <c r="L104" s="211"/>
      <c r="M104" s="211"/>
      <c r="N104" s="211"/>
      <c r="O104" s="211"/>
      <c r="P104" s="211"/>
      <c r="Q104" s="211">
        <f t="shared" si="11"/>
        <v>405251</v>
      </c>
      <c r="R104" s="240">
        <v>0</v>
      </c>
      <c r="S104" s="241">
        <f>Q104-R104</f>
        <v>405251</v>
      </c>
      <c r="T104" s="166"/>
    </row>
    <row r="105" spans="1:20" ht="15" x14ac:dyDescent="0.25">
      <c r="A105" s="569"/>
      <c r="B105" s="223" t="s">
        <v>128</v>
      </c>
      <c r="C105" s="312" t="s">
        <v>95</v>
      </c>
      <c r="D105" s="245">
        <f>SUM(D96:D104)</f>
        <v>405251</v>
      </c>
      <c r="E105" s="245">
        <f t="shared" ref="E105:R105" si="19">SUM(E96:E104)</f>
        <v>0</v>
      </c>
      <c r="F105" s="245">
        <f t="shared" si="19"/>
        <v>0</v>
      </c>
      <c r="G105" s="245">
        <f t="shared" si="19"/>
        <v>0</v>
      </c>
      <c r="H105" s="245">
        <f t="shared" si="19"/>
        <v>0</v>
      </c>
      <c r="I105" s="245">
        <f t="shared" si="19"/>
        <v>0</v>
      </c>
      <c r="J105" s="245">
        <f t="shared" si="19"/>
        <v>405251</v>
      </c>
      <c r="K105" s="245">
        <f t="shared" si="19"/>
        <v>0</v>
      </c>
      <c r="L105" s="245">
        <f t="shared" si="19"/>
        <v>0</v>
      </c>
      <c r="M105" s="245">
        <f t="shared" si="19"/>
        <v>0</v>
      </c>
      <c r="N105" s="245">
        <f t="shared" si="19"/>
        <v>0</v>
      </c>
      <c r="O105" s="245">
        <f t="shared" si="19"/>
        <v>0</v>
      </c>
      <c r="P105" s="245">
        <f t="shared" si="19"/>
        <v>0</v>
      </c>
      <c r="Q105" s="245">
        <f t="shared" si="11"/>
        <v>405251</v>
      </c>
      <c r="R105" s="245">
        <f t="shared" si="19"/>
        <v>0</v>
      </c>
      <c r="S105" s="245">
        <f t="shared" si="12"/>
        <v>405251</v>
      </c>
      <c r="T105" s="166"/>
    </row>
    <row r="106" spans="1:20" ht="15" x14ac:dyDescent="0.25">
      <c r="A106" s="569"/>
      <c r="B106" s="223" t="s">
        <v>128</v>
      </c>
      <c r="C106" s="313" t="s">
        <v>31</v>
      </c>
      <c r="D106" s="209">
        <v>0</v>
      </c>
      <c r="E106" s="210"/>
      <c r="F106" s="209"/>
      <c r="G106" s="209"/>
      <c r="H106" s="209"/>
      <c r="I106" s="209"/>
      <c r="J106" s="211">
        <f>SUM(D106:I106)</f>
        <v>0</v>
      </c>
      <c r="K106" s="211"/>
      <c r="L106" s="211"/>
      <c r="M106" s="211"/>
      <c r="N106" s="211"/>
      <c r="O106" s="211"/>
      <c r="P106" s="211"/>
      <c r="Q106" s="211">
        <f t="shared" si="11"/>
        <v>0</v>
      </c>
      <c r="R106" s="240">
        <v>0</v>
      </c>
      <c r="S106" s="241">
        <f t="shared" si="12"/>
        <v>0</v>
      </c>
      <c r="T106" s="166"/>
    </row>
    <row r="107" spans="1:20" ht="15" x14ac:dyDescent="0.25">
      <c r="A107" s="569"/>
      <c r="B107" s="223" t="s">
        <v>128</v>
      </c>
      <c r="C107" s="313" t="s">
        <v>32</v>
      </c>
      <c r="D107" s="209">
        <v>0</v>
      </c>
      <c r="E107" s="210"/>
      <c r="F107" s="209"/>
      <c r="G107" s="209"/>
      <c r="H107" s="209"/>
      <c r="I107" s="209"/>
      <c r="J107" s="211">
        <f>SUM(D107:I107)</f>
        <v>0</v>
      </c>
      <c r="K107" s="211"/>
      <c r="L107" s="211"/>
      <c r="M107" s="211"/>
      <c r="N107" s="211"/>
      <c r="O107" s="211"/>
      <c r="P107" s="211"/>
      <c r="Q107" s="211">
        <f t="shared" si="11"/>
        <v>0</v>
      </c>
      <c r="R107" s="240">
        <v>0</v>
      </c>
      <c r="S107" s="241">
        <f t="shared" si="12"/>
        <v>0</v>
      </c>
      <c r="T107" s="166"/>
    </row>
    <row r="108" spans="1:20" ht="15" x14ac:dyDescent="0.25">
      <c r="A108" s="569"/>
      <c r="B108" s="223" t="s">
        <v>128</v>
      </c>
      <c r="C108" s="313" t="s">
        <v>13</v>
      </c>
      <c r="D108" s="209">
        <v>0</v>
      </c>
      <c r="E108" s="210"/>
      <c r="F108" s="209"/>
      <c r="G108" s="209"/>
      <c r="H108" s="209"/>
      <c r="I108" s="209"/>
      <c r="J108" s="211">
        <f>SUM(D108:I108)</f>
        <v>0</v>
      </c>
      <c r="K108" s="211"/>
      <c r="L108" s="211"/>
      <c r="M108" s="211"/>
      <c r="N108" s="211"/>
      <c r="O108" s="211"/>
      <c r="P108" s="211"/>
      <c r="Q108" s="211">
        <f t="shared" si="11"/>
        <v>0</v>
      </c>
      <c r="R108" s="240">
        <v>0</v>
      </c>
      <c r="S108" s="241">
        <f t="shared" si="12"/>
        <v>0</v>
      </c>
    </row>
    <row r="109" spans="1:20" ht="15" x14ac:dyDescent="0.25">
      <c r="A109" s="569"/>
      <c r="B109" s="223" t="s">
        <v>128</v>
      </c>
      <c r="C109" s="313" t="s">
        <v>14</v>
      </c>
      <c r="D109" s="209">
        <v>0</v>
      </c>
      <c r="E109" s="210"/>
      <c r="F109" s="209"/>
      <c r="G109" s="209"/>
      <c r="H109" s="209"/>
      <c r="I109" s="209"/>
      <c r="J109" s="211">
        <f>SUM(D109:I109)</f>
        <v>0</v>
      </c>
      <c r="K109" s="211"/>
      <c r="L109" s="211"/>
      <c r="M109" s="211"/>
      <c r="N109" s="211"/>
      <c r="O109" s="211"/>
      <c r="P109" s="211"/>
      <c r="Q109" s="211">
        <f t="shared" si="11"/>
        <v>0</v>
      </c>
      <c r="R109" s="240">
        <v>0</v>
      </c>
      <c r="S109" s="241">
        <f t="shared" si="12"/>
        <v>0</v>
      </c>
    </row>
    <row r="110" spans="1:20" ht="15" x14ac:dyDescent="0.25">
      <c r="A110" s="569"/>
      <c r="B110" s="223" t="s">
        <v>128</v>
      </c>
      <c r="C110" s="312" t="s">
        <v>97</v>
      </c>
      <c r="D110" s="245">
        <f>SUM(D106:D109)</f>
        <v>0</v>
      </c>
      <c r="E110" s="245">
        <f t="shared" ref="E110:R110" si="20">SUM(E106:E109)</f>
        <v>0</v>
      </c>
      <c r="F110" s="245">
        <f t="shared" si="20"/>
        <v>0</v>
      </c>
      <c r="G110" s="245">
        <f t="shared" si="20"/>
        <v>0</v>
      </c>
      <c r="H110" s="245">
        <f t="shared" si="20"/>
        <v>0</v>
      </c>
      <c r="I110" s="245">
        <f t="shared" si="20"/>
        <v>0</v>
      </c>
      <c r="J110" s="245">
        <f t="shared" si="20"/>
        <v>0</v>
      </c>
      <c r="K110" s="245">
        <f t="shared" si="20"/>
        <v>0</v>
      </c>
      <c r="L110" s="245">
        <f t="shared" si="20"/>
        <v>0</v>
      </c>
      <c r="M110" s="245">
        <f t="shared" si="20"/>
        <v>0</v>
      </c>
      <c r="N110" s="245">
        <f t="shared" si="20"/>
        <v>0</v>
      </c>
      <c r="O110" s="245">
        <f t="shared" si="20"/>
        <v>0</v>
      </c>
      <c r="P110" s="245">
        <f t="shared" si="20"/>
        <v>0</v>
      </c>
      <c r="Q110" s="245">
        <f t="shared" si="11"/>
        <v>0</v>
      </c>
      <c r="R110" s="245">
        <f t="shared" si="20"/>
        <v>0</v>
      </c>
      <c r="S110" s="291">
        <f t="shared" si="12"/>
        <v>0</v>
      </c>
    </row>
    <row r="111" spans="1:20" ht="15" x14ac:dyDescent="0.25">
      <c r="A111" s="569"/>
      <c r="B111" s="223" t="s">
        <v>128</v>
      </c>
      <c r="C111" s="313" t="s">
        <v>15</v>
      </c>
      <c r="D111" s="209">
        <v>0</v>
      </c>
      <c r="E111" s="210"/>
      <c r="F111" s="209"/>
      <c r="G111" s="209"/>
      <c r="H111" s="209"/>
      <c r="I111" s="209"/>
      <c r="J111" s="211">
        <f>SUM(D111:I111)</f>
        <v>0</v>
      </c>
      <c r="K111" s="211"/>
      <c r="L111" s="211"/>
      <c r="M111" s="211"/>
      <c r="N111" s="211"/>
      <c r="O111" s="211"/>
      <c r="P111" s="211"/>
      <c r="Q111" s="211">
        <f t="shared" si="11"/>
        <v>0</v>
      </c>
      <c r="R111" s="240">
        <v>0</v>
      </c>
      <c r="S111" s="241">
        <f t="shared" si="12"/>
        <v>0</v>
      </c>
    </row>
    <row r="112" spans="1:20" ht="15" x14ac:dyDescent="0.25">
      <c r="A112" s="569"/>
      <c r="B112" s="223" t="s">
        <v>128</v>
      </c>
      <c r="C112" s="313" t="s">
        <v>16</v>
      </c>
      <c r="D112" s="209">
        <v>0</v>
      </c>
      <c r="E112" s="210"/>
      <c r="F112" s="209"/>
      <c r="G112" s="209"/>
      <c r="H112" s="209"/>
      <c r="I112" s="209"/>
      <c r="J112" s="211">
        <f>SUM(D112:I112)</f>
        <v>0</v>
      </c>
      <c r="K112" s="211"/>
      <c r="L112" s="211"/>
      <c r="M112" s="211"/>
      <c r="N112" s="211"/>
      <c r="O112" s="211"/>
      <c r="P112" s="211"/>
      <c r="Q112" s="211">
        <f t="shared" si="11"/>
        <v>0</v>
      </c>
      <c r="R112" s="240">
        <v>0</v>
      </c>
      <c r="S112" s="241">
        <f t="shared" si="12"/>
        <v>0</v>
      </c>
    </row>
    <row r="113" spans="1:19" ht="15.75" thickBot="1" x14ac:dyDescent="0.3">
      <c r="A113" s="547"/>
      <c r="B113" s="266" t="s">
        <v>198</v>
      </c>
      <c r="C113" s="314" t="s">
        <v>98</v>
      </c>
      <c r="D113" s="300">
        <f>SUM(D111:D112)</f>
        <v>0</v>
      </c>
      <c r="E113" s="300">
        <f t="shared" ref="E113:R113" si="21">SUM(E111:E112)</f>
        <v>0</v>
      </c>
      <c r="F113" s="300">
        <f t="shared" si="21"/>
        <v>0</v>
      </c>
      <c r="G113" s="300">
        <f t="shared" si="21"/>
        <v>0</v>
      </c>
      <c r="H113" s="300">
        <f t="shared" si="21"/>
        <v>0</v>
      </c>
      <c r="I113" s="300">
        <f t="shared" si="21"/>
        <v>0</v>
      </c>
      <c r="J113" s="300">
        <f t="shared" si="21"/>
        <v>0</v>
      </c>
      <c r="K113" s="300">
        <f t="shared" si="21"/>
        <v>0</v>
      </c>
      <c r="L113" s="300">
        <f t="shared" si="21"/>
        <v>0</v>
      </c>
      <c r="M113" s="300">
        <f t="shared" si="21"/>
        <v>0</v>
      </c>
      <c r="N113" s="300">
        <f t="shared" si="21"/>
        <v>0</v>
      </c>
      <c r="O113" s="300">
        <f t="shared" ref="O113" si="22">SUM(O111:O112)</f>
        <v>0</v>
      </c>
      <c r="P113" s="300">
        <f t="shared" si="21"/>
        <v>0</v>
      </c>
      <c r="Q113" s="300">
        <f t="shared" si="11"/>
        <v>0</v>
      </c>
      <c r="R113" s="300">
        <f t="shared" si="21"/>
        <v>0</v>
      </c>
      <c r="S113" s="315">
        <f t="shared" si="12"/>
        <v>0</v>
      </c>
    </row>
    <row r="114" spans="1:19" ht="15.75" thickTop="1" x14ac:dyDescent="0.2">
      <c r="A114" s="558" t="s">
        <v>86</v>
      </c>
      <c r="B114" s="559"/>
      <c r="C114" s="560"/>
      <c r="D114" s="316">
        <f>SUM(D113+D110+D95+D94+D93+D90+D85+D84+D74+D73+D70+D69+D66+D61+D56+D55+D54+D53+D52+D51+D50+D49+D48+D47+D46+D43+D105)</f>
        <v>473006849</v>
      </c>
      <c r="E114" s="316">
        <f t="shared" ref="E114:R114" si="23">SUM(E113+E110+E95+E94+E93+E90+E85+E84+E74+E73+E70+E69+E66+E61+E56+E55+E54+E53+E52+E51+E50+E49+E48+E47+E46+E43+E105)</f>
        <v>0</v>
      </c>
      <c r="F114" s="316">
        <f t="shared" si="23"/>
        <v>13843574</v>
      </c>
      <c r="G114" s="316">
        <f t="shared" si="23"/>
        <v>8682782</v>
      </c>
      <c r="H114" s="316">
        <f t="shared" si="23"/>
        <v>0</v>
      </c>
      <c r="I114" s="316">
        <f t="shared" si="23"/>
        <v>0</v>
      </c>
      <c r="J114" s="316">
        <f t="shared" si="23"/>
        <v>495533205</v>
      </c>
      <c r="K114" s="316">
        <f t="shared" si="23"/>
        <v>0</v>
      </c>
      <c r="L114" s="316">
        <f t="shared" si="23"/>
        <v>-1208576</v>
      </c>
      <c r="M114" s="316">
        <f t="shared" si="23"/>
        <v>-2109251</v>
      </c>
      <c r="N114" s="316">
        <f t="shared" si="23"/>
        <v>808</v>
      </c>
      <c r="O114" s="316">
        <f t="shared" ref="O114" si="24">SUM(O113+O110+O95+O94+O93+O90+O85+O84+O74+O73+O70+O69+O66+O61+O56+O55+O54+O53+O52+O51+O50+O49+O48+O47+O46+O43+O105)</f>
        <v>-590436</v>
      </c>
      <c r="P114" s="316">
        <f t="shared" si="23"/>
        <v>9069885</v>
      </c>
      <c r="Q114" s="316">
        <f>SUM(J114:P114)</f>
        <v>500695635</v>
      </c>
      <c r="R114" s="316">
        <f t="shared" si="23"/>
        <v>279387255</v>
      </c>
      <c r="S114" s="316">
        <f t="shared" si="12"/>
        <v>221308380</v>
      </c>
    </row>
    <row r="115" spans="1:19" ht="13.5" customHeight="1" x14ac:dyDescent="0.2">
      <c r="E115" s="2"/>
    </row>
    <row r="116" spans="1:19" x14ac:dyDescent="0.2">
      <c r="E116" s="2"/>
    </row>
    <row r="117" spans="1:19" x14ac:dyDescent="0.2">
      <c r="E117" s="2"/>
    </row>
    <row r="118" spans="1:19" ht="15" x14ac:dyDescent="0.25">
      <c r="A118" s="317" t="s">
        <v>140</v>
      </c>
      <c r="E118" s="2"/>
    </row>
    <row r="119" spans="1:19" x14ac:dyDescent="0.2">
      <c r="F119" s="73"/>
      <c r="S119" s="55"/>
    </row>
    <row r="120" spans="1:19" s="85" customFormat="1" ht="71.25" customHeight="1" x14ac:dyDescent="0.2">
      <c r="A120" s="561" t="s">
        <v>101</v>
      </c>
      <c r="B120" s="562"/>
      <c r="C120" s="191" t="s">
        <v>44</v>
      </c>
      <c r="D120" s="192" t="s">
        <v>21</v>
      </c>
      <c r="E120" s="193" t="s">
        <v>43</v>
      </c>
      <c r="F120" s="192" t="s">
        <v>202</v>
      </c>
      <c r="G120" s="192" t="s">
        <v>203</v>
      </c>
      <c r="H120" s="192"/>
      <c r="I120" s="318"/>
      <c r="J120" s="192" t="s">
        <v>112</v>
      </c>
      <c r="K120" s="192" t="s">
        <v>43</v>
      </c>
      <c r="L120" s="192" t="s">
        <v>206</v>
      </c>
      <c r="M120" s="192" t="s">
        <v>207</v>
      </c>
      <c r="N120" s="192" t="s">
        <v>205</v>
      </c>
      <c r="O120" s="192" t="s">
        <v>216</v>
      </c>
      <c r="P120" s="192" t="s">
        <v>209</v>
      </c>
      <c r="Q120" s="192" t="s">
        <v>142</v>
      </c>
      <c r="R120" s="106" t="s">
        <v>135</v>
      </c>
    </row>
    <row r="121" spans="1:19" ht="15" x14ac:dyDescent="0.25">
      <c r="A121" s="563"/>
      <c r="B121" s="564"/>
      <c r="C121" s="319" t="s">
        <v>25</v>
      </c>
      <c r="D121" s="211">
        <f t="shared" ref="D121:R121" si="25">D32+D31+D30+D20+D15+D13+D11+D14+D9+D26+D23</f>
        <v>443155290</v>
      </c>
      <c r="E121" s="211">
        <f t="shared" si="25"/>
        <v>0</v>
      </c>
      <c r="F121" s="211">
        <f t="shared" si="25"/>
        <v>13843574</v>
      </c>
      <c r="G121" s="211">
        <f t="shared" si="25"/>
        <v>8682782</v>
      </c>
      <c r="H121" s="211">
        <f t="shared" si="25"/>
        <v>0</v>
      </c>
      <c r="I121" s="211">
        <f t="shared" si="25"/>
        <v>0</v>
      </c>
      <c r="J121" s="211">
        <f t="shared" si="25"/>
        <v>465681646</v>
      </c>
      <c r="K121" s="211">
        <f t="shared" ref="K121:Q121" si="26">K32+K31+K30+K20+K15+K13+K11+K14+K9+K26+K23</f>
        <v>0</v>
      </c>
      <c r="L121" s="211">
        <f t="shared" si="26"/>
        <v>-1208576</v>
      </c>
      <c r="M121" s="211">
        <f t="shared" si="26"/>
        <v>-2109251</v>
      </c>
      <c r="N121" s="211">
        <f t="shared" si="26"/>
        <v>0</v>
      </c>
      <c r="O121" s="211">
        <f t="shared" ref="O121" si="27">O32+O31+O30+O20+O15+O13+O11+O14+O9+O26+O23</f>
        <v>-590436</v>
      </c>
      <c r="P121" s="211">
        <f t="shared" si="26"/>
        <v>9069885</v>
      </c>
      <c r="Q121" s="211">
        <f t="shared" si="26"/>
        <v>470843268</v>
      </c>
      <c r="R121" s="211">
        <f t="shared" si="25"/>
        <v>293157363</v>
      </c>
    </row>
    <row r="122" spans="1:19" ht="15" x14ac:dyDescent="0.25">
      <c r="A122" s="563"/>
      <c r="B122" s="564"/>
      <c r="C122" s="319" t="s">
        <v>37</v>
      </c>
      <c r="D122" s="211">
        <f t="shared" ref="D122:R122" si="28">D21+D16+D12+D27</f>
        <v>92917</v>
      </c>
      <c r="E122" s="211">
        <f t="shared" si="28"/>
        <v>0</v>
      </c>
      <c r="F122" s="211">
        <f t="shared" si="28"/>
        <v>0</v>
      </c>
      <c r="G122" s="211">
        <f t="shared" si="28"/>
        <v>0</v>
      </c>
      <c r="H122" s="211">
        <f t="shared" si="28"/>
        <v>0</v>
      </c>
      <c r="I122" s="211">
        <f t="shared" si="28"/>
        <v>0</v>
      </c>
      <c r="J122" s="211">
        <f t="shared" si="28"/>
        <v>92917</v>
      </c>
      <c r="K122" s="211">
        <f t="shared" ref="K122:Q122" si="29">K21+K16+K12+K27</f>
        <v>0</v>
      </c>
      <c r="L122" s="211">
        <f t="shared" si="29"/>
        <v>0</v>
      </c>
      <c r="M122" s="211">
        <f t="shared" si="29"/>
        <v>0</v>
      </c>
      <c r="N122" s="211">
        <f t="shared" si="29"/>
        <v>0</v>
      </c>
      <c r="O122" s="211">
        <f t="shared" ref="O122" si="30">O21+O16+O12+O27</f>
        <v>0</v>
      </c>
      <c r="P122" s="211">
        <f t="shared" si="29"/>
        <v>0</v>
      </c>
      <c r="Q122" s="211">
        <f t="shared" si="29"/>
        <v>92917</v>
      </c>
      <c r="R122" s="211">
        <f t="shared" si="28"/>
        <v>92917</v>
      </c>
    </row>
    <row r="123" spans="1:19" ht="15" x14ac:dyDescent="0.25">
      <c r="A123" s="563"/>
      <c r="B123" s="564"/>
      <c r="C123" s="319" t="s">
        <v>27</v>
      </c>
      <c r="D123" s="211">
        <v>0</v>
      </c>
      <c r="E123" s="211">
        <v>0</v>
      </c>
      <c r="F123" s="211">
        <v>0</v>
      </c>
      <c r="G123" s="211">
        <v>0</v>
      </c>
      <c r="H123" s="211">
        <v>0</v>
      </c>
      <c r="I123" s="211">
        <v>0</v>
      </c>
      <c r="J123" s="211">
        <v>0</v>
      </c>
      <c r="K123" s="211">
        <v>0</v>
      </c>
      <c r="L123" s="211">
        <v>0</v>
      </c>
      <c r="M123" s="211">
        <v>0</v>
      </c>
      <c r="N123" s="211">
        <v>0</v>
      </c>
      <c r="O123" s="211">
        <v>1</v>
      </c>
      <c r="P123" s="211">
        <v>-2</v>
      </c>
      <c r="Q123" s="211">
        <v>0</v>
      </c>
      <c r="R123" s="211">
        <v>0</v>
      </c>
    </row>
    <row r="124" spans="1:19" ht="15" x14ac:dyDescent="0.25">
      <c r="A124" s="563"/>
      <c r="B124" s="564"/>
      <c r="C124" s="319" t="s">
        <v>139</v>
      </c>
      <c r="D124" s="211">
        <f>D7</f>
        <v>0</v>
      </c>
      <c r="E124" s="211">
        <f t="shared" ref="E124:R124" si="31">E7</f>
        <v>0</v>
      </c>
      <c r="F124" s="211">
        <f t="shared" si="31"/>
        <v>0</v>
      </c>
      <c r="G124" s="211">
        <f t="shared" si="31"/>
        <v>0</v>
      </c>
      <c r="H124" s="211">
        <f t="shared" si="31"/>
        <v>0</v>
      </c>
      <c r="I124" s="211">
        <f t="shared" si="31"/>
        <v>0</v>
      </c>
      <c r="J124" s="211">
        <f t="shared" si="31"/>
        <v>0</v>
      </c>
      <c r="K124" s="211">
        <f t="shared" ref="K124:Q124" si="32">K7</f>
        <v>0</v>
      </c>
      <c r="L124" s="211">
        <f t="shared" si="32"/>
        <v>0</v>
      </c>
      <c r="M124" s="211">
        <f t="shared" si="32"/>
        <v>0</v>
      </c>
      <c r="N124" s="211">
        <f t="shared" si="32"/>
        <v>0</v>
      </c>
      <c r="O124" s="211">
        <f t="shared" ref="O124" si="33">O7</f>
        <v>0</v>
      </c>
      <c r="P124" s="211">
        <f t="shared" si="32"/>
        <v>0</v>
      </c>
      <c r="Q124" s="211">
        <f t="shared" si="32"/>
        <v>0</v>
      </c>
      <c r="R124" s="211">
        <f t="shared" si="31"/>
        <v>0</v>
      </c>
    </row>
    <row r="125" spans="1:19" ht="15" x14ac:dyDescent="0.25">
      <c r="A125" s="563"/>
      <c r="B125" s="564"/>
      <c r="C125" s="319" t="s">
        <v>40</v>
      </c>
      <c r="D125" s="211">
        <f t="shared" ref="D125:R125" si="34">D25+D18+D8</f>
        <v>2000</v>
      </c>
      <c r="E125" s="211">
        <f t="shared" si="34"/>
        <v>0</v>
      </c>
      <c r="F125" s="211">
        <f t="shared" si="34"/>
        <v>0</v>
      </c>
      <c r="G125" s="211">
        <f t="shared" si="34"/>
        <v>0</v>
      </c>
      <c r="H125" s="211">
        <f t="shared" si="34"/>
        <v>0</v>
      </c>
      <c r="I125" s="211">
        <f t="shared" si="34"/>
        <v>0</v>
      </c>
      <c r="J125" s="211">
        <f t="shared" si="34"/>
        <v>2000</v>
      </c>
      <c r="K125" s="211">
        <f t="shared" ref="K125:Q125" si="35">K25+K18+K8</f>
        <v>0</v>
      </c>
      <c r="L125" s="211">
        <f t="shared" si="35"/>
        <v>0</v>
      </c>
      <c r="M125" s="211">
        <f t="shared" si="35"/>
        <v>0</v>
      </c>
      <c r="N125" s="211">
        <f t="shared" si="35"/>
        <v>0</v>
      </c>
      <c r="O125" s="211">
        <f t="shared" ref="O125" si="36">O25+O18+O8</f>
        <v>0</v>
      </c>
      <c r="P125" s="211">
        <f t="shared" si="35"/>
        <v>0</v>
      </c>
      <c r="Q125" s="211">
        <f t="shared" si="35"/>
        <v>2000</v>
      </c>
      <c r="R125" s="211">
        <f t="shared" si="34"/>
        <v>1215</v>
      </c>
    </row>
    <row r="126" spans="1:19" ht="15" x14ac:dyDescent="0.25">
      <c r="A126" s="563"/>
      <c r="B126" s="564"/>
      <c r="C126" s="319" t="s">
        <v>41</v>
      </c>
      <c r="D126" s="211">
        <f t="shared" ref="D126:R126" si="37">D19+D24+D6+D29</f>
        <v>0</v>
      </c>
      <c r="E126" s="211">
        <f t="shared" si="37"/>
        <v>0</v>
      </c>
      <c r="F126" s="211">
        <f t="shared" si="37"/>
        <v>0</v>
      </c>
      <c r="G126" s="211">
        <f t="shared" si="37"/>
        <v>0</v>
      </c>
      <c r="H126" s="211">
        <f t="shared" si="37"/>
        <v>0</v>
      </c>
      <c r="I126" s="211">
        <f t="shared" si="37"/>
        <v>0</v>
      </c>
      <c r="J126" s="211">
        <f t="shared" si="37"/>
        <v>0</v>
      </c>
      <c r="K126" s="211">
        <f t="shared" ref="K126:Q126" si="38">K19+K24+K6+K29</f>
        <v>0</v>
      </c>
      <c r="L126" s="211">
        <f t="shared" si="38"/>
        <v>0</v>
      </c>
      <c r="M126" s="211">
        <f t="shared" si="38"/>
        <v>0</v>
      </c>
      <c r="N126" s="211">
        <f t="shared" si="38"/>
        <v>808</v>
      </c>
      <c r="O126" s="211">
        <f t="shared" ref="O126" si="39">O19+O24+O6+O29</f>
        <v>0</v>
      </c>
      <c r="P126" s="211">
        <f t="shared" si="38"/>
        <v>0</v>
      </c>
      <c r="Q126" s="211">
        <f t="shared" si="38"/>
        <v>808</v>
      </c>
      <c r="R126" s="211">
        <f t="shared" si="37"/>
        <v>404</v>
      </c>
    </row>
    <row r="127" spans="1:19" ht="15" x14ac:dyDescent="0.25">
      <c r="A127" s="563"/>
      <c r="B127" s="564"/>
      <c r="C127" s="320" t="s">
        <v>93</v>
      </c>
      <c r="D127" s="321">
        <f t="shared" ref="D127:R127" si="40">D25+D24+D19+D18+D8+D7+D6+D29</f>
        <v>2000</v>
      </c>
      <c r="E127" s="321">
        <f t="shared" si="40"/>
        <v>0</v>
      </c>
      <c r="F127" s="321">
        <f t="shared" si="40"/>
        <v>0</v>
      </c>
      <c r="G127" s="321">
        <f t="shared" si="40"/>
        <v>0</v>
      </c>
      <c r="H127" s="321">
        <f t="shared" si="40"/>
        <v>0</v>
      </c>
      <c r="I127" s="321">
        <f t="shared" si="40"/>
        <v>0</v>
      </c>
      <c r="J127" s="321">
        <f t="shared" si="40"/>
        <v>2000</v>
      </c>
      <c r="K127" s="321">
        <f t="shared" ref="K127:Q127" si="41">K25+K24+K19+K18+K8+K7+K6+K29</f>
        <v>0</v>
      </c>
      <c r="L127" s="321">
        <f t="shared" si="41"/>
        <v>0</v>
      </c>
      <c r="M127" s="321">
        <f t="shared" si="41"/>
        <v>0</v>
      </c>
      <c r="N127" s="321">
        <f t="shared" si="41"/>
        <v>808</v>
      </c>
      <c r="O127" s="321">
        <f t="shared" ref="O127" si="42">O25+O24+O19+O18+O8+O7+O6+O29</f>
        <v>0</v>
      </c>
      <c r="P127" s="321">
        <f t="shared" si="41"/>
        <v>0</v>
      </c>
      <c r="Q127" s="321">
        <f t="shared" si="41"/>
        <v>2808</v>
      </c>
      <c r="R127" s="321">
        <f t="shared" si="40"/>
        <v>1619</v>
      </c>
      <c r="S127" s="1"/>
    </row>
    <row r="128" spans="1:19" ht="15" x14ac:dyDescent="0.25">
      <c r="A128" s="563"/>
      <c r="B128" s="564"/>
      <c r="C128" s="319" t="s">
        <v>28</v>
      </c>
      <c r="D128" s="322">
        <f t="shared" ref="D128:Q128" si="43">D22+D17+D10+D28</f>
        <v>29756642</v>
      </c>
      <c r="E128" s="322">
        <f t="shared" si="43"/>
        <v>0</v>
      </c>
      <c r="F128" s="322">
        <f t="shared" si="43"/>
        <v>0</v>
      </c>
      <c r="G128" s="322">
        <f t="shared" si="43"/>
        <v>0</v>
      </c>
      <c r="H128" s="322">
        <f t="shared" si="43"/>
        <v>0</v>
      </c>
      <c r="I128" s="322">
        <f t="shared" si="43"/>
        <v>0</v>
      </c>
      <c r="J128" s="322">
        <f t="shared" si="43"/>
        <v>29756642</v>
      </c>
      <c r="K128" s="322">
        <f t="shared" si="43"/>
        <v>0</v>
      </c>
      <c r="L128" s="322">
        <f t="shared" si="43"/>
        <v>0</v>
      </c>
      <c r="M128" s="322">
        <f t="shared" si="43"/>
        <v>0</v>
      </c>
      <c r="N128" s="322">
        <f t="shared" si="43"/>
        <v>0</v>
      </c>
      <c r="O128" s="322">
        <f t="shared" ref="O128" si="44">O22+O17+O10+O28</f>
        <v>0</v>
      </c>
      <c r="P128" s="322">
        <f t="shared" si="43"/>
        <v>0</v>
      </c>
      <c r="Q128" s="322">
        <f t="shared" si="43"/>
        <v>29756642</v>
      </c>
      <c r="R128" s="322">
        <f>R22+R17+R10+R28</f>
        <v>29756642</v>
      </c>
    </row>
    <row r="129" spans="1:19" ht="15" x14ac:dyDescent="0.25">
      <c r="A129" s="563"/>
      <c r="B129" s="564"/>
      <c r="C129" s="320" t="s">
        <v>92</v>
      </c>
      <c r="D129" s="323">
        <f t="shared" ref="D129:Q129" si="45">D28+D22+D17+D10</f>
        <v>29756642</v>
      </c>
      <c r="E129" s="323">
        <f t="shared" si="45"/>
        <v>0</v>
      </c>
      <c r="F129" s="323">
        <f t="shared" si="45"/>
        <v>0</v>
      </c>
      <c r="G129" s="323">
        <f t="shared" si="45"/>
        <v>0</v>
      </c>
      <c r="H129" s="323">
        <f t="shared" si="45"/>
        <v>0</v>
      </c>
      <c r="I129" s="323">
        <f t="shared" si="45"/>
        <v>0</v>
      </c>
      <c r="J129" s="323">
        <f t="shared" si="45"/>
        <v>29756642</v>
      </c>
      <c r="K129" s="323">
        <f t="shared" si="45"/>
        <v>0</v>
      </c>
      <c r="L129" s="323">
        <f t="shared" si="45"/>
        <v>0</v>
      </c>
      <c r="M129" s="323">
        <f t="shared" si="45"/>
        <v>0</v>
      </c>
      <c r="N129" s="323">
        <f t="shared" si="45"/>
        <v>0</v>
      </c>
      <c r="O129" s="323">
        <f t="shared" ref="O129" si="46">O28+O22+O17+O10</f>
        <v>0</v>
      </c>
      <c r="P129" s="323">
        <f t="shared" si="45"/>
        <v>0</v>
      </c>
      <c r="Q129" s="323">
        <f t="shared" si="45"/>
        <v>29756642</v>
      </c>
      <c r="R129" s="323">
        <f>R28+R22+R17+R10</f>
        <v>29756642</v>
      </c>
      <c r="S129" s="1"/>
    </row>
    <row r="130" spans="1:19" ht="15" x14ac:dyDescent="0.25">
      <c r="A130" s="563"/>
      <c r="B130" s="564"/>
      <c r="C130" s="320" t="s">
        <v>102</v>
      </c>
      <c r="D130" s="321">
        <f t="shared" ref="D130:R130" si="47">D33</f>
        <v>473006849</v>
      </c>
      <c r="E130" s="321">
        <f t="shared" si="47"/>
        <v>0</v>
      </c>
      <c r="F130" s="321">
        <f t="shared" si="47"/>
        <v>13843574</v>
      </c>
      <c r="G130" s="321">
        <f t="shared" si="47"/>
        <v>8682782</v>
      </c>
      <c r="H130" s="321">
        <f t="shared" si="47"/>
        <v>0</v>
      </c>
      <c r="I130" s="321">
        <f t="shared" si="47"/>
        <v>0</v>
      </c>
      <c r="J130" s="321">
        <f t="shared" si="47"/>
        <v>495533205</v>
      </c>
      <c r="K130" s="321">
        <f t="shared" ref="K130:Q130" si="48">K33</f>
        <v>0</v>
      </c>
      <c r="L130" s="321">
        <f t="shared" si="48"/>
        <v>-1208576</v>
      </c>
      <c r="M130" s="321">
        <f t="shared" si="48"/>
        <v>-2109251</v>
      </c>
      <c r="N130" s="321">
        <f t="shared" si="48"/>
        <v>808</v>
      </c>
      <c r="O130" s="321">
        <f t="shared" ref="O130" si="49">O33</f>
        <v>-590436</v>
      </c>
      <c r="P130" s="321">
        <f t="shared" si="48"/>
        <v>9069885</v>
      </c>
      <c r="Q130" s="321">
        <f t="shared" si="48"/>
        <v>500695635</v>
      </c>
      <c r="R130" s="321">
        <f t="shared" si="47"/>
        <v>323008541</v>
      </c>
      <c r="S130" s="1"/>
    </row>
    <row r="131" spans="1:19" ht="15" x14ac:dyDescent="0.25">
      <c r="A131" s="563"/>
      <c r="B131" s="564"/>
      <c r="C131" s="319" t="s">
        <v>7</v>
      </c>
      <c r="D131" s="211">
        <f t="shared" ref="D131:R131" si="50">D71+D55+D94</f>
        <v>0</v>
      </c>
      <c r="E131" s="211">
        <f t="shared" si="50"/>
        <v>0</v>
      </c>
      <c r="F131" s="211">
        <f t="shared" si="50"/>
        <v>0</v>
      </c>
      <c r="G131" s="211">
        <f t="shared" si="50"/>
        <v>0</v>
      </c>
      <c r="H131" s="211">
        <f t="shared" si="50"/>
        <v>0</v>
      </c>
      <c r="I131" s="211">
        <f t="shared" si="50"/>
        <v>0</v>
      </c>
      <c r="J131" s="211">
        <f t="shared" si="50"/>
        <v>0</v>
      </c>
      <c r="K131" s="215">
        <f t="shared" ref="K131:Q131" si="51">K71+K55+K94</f>
        <v>1871038</v>
      </c>
      <c r="L131" s="215">
        <f t="shared" si="51"/>
        <v>0</v>
      </c>
      <c r="M131" s="215">
        <f t="shared" si="51"/>
        <v>0</v>
      </c>
      <c r="N131" s="215">
        <f t="shared" si="51"/>
        <v>0</v>
      </c>
      <c r="O131" s="215">
        <f t="shared" ref="O131" si="52">O71+O55+O94</f>
        <v>0</v>
      </c>
      <c r="P131" s="215">
        <f t="shared" si="51"/>
        <v>0</v>
      </c>
      <c r="Q131" s="215">
        <f t="shared" si="51"/>
        <v>1871038</v>
      </c>
      <c r="R131" s="215">
        <f t="shared" si="50"/>
        <v>935519</v>
      </c>
    </row>
    <row r="132" spans="1:19" ht="15" x14ac:dyDescent="0.25">
      <c r="A132" s="563"/>
      <c r="B132" s="564"/>
      <c r="C132" s="319" t="s">
        <v>88</v>
      </c>
      <c r="D132" s="211">
        <f t="shared" ref="D132:R132" si="53">D72</f>
        <v>1317000</v>
      </c>
      <c r="E132" s="211">
        <f t="shared" si="53"/>
        <v>0</v>
      </c>
      <c r="F132" s="211">
        <f t="shared" si="53"/>
        <v>0</v>
      </c>
      <c r="G132" s="211">
        <f t="shared" si="53"/>
        <v>0</v>
      </c>
      <c r="H132" s="211">
        <f t="shared" si="53"/>
        <v>0</v>
      </c>
      <c r="I132" s="211">
        <f t="shared" si="53"/>
        <v>0</v>
      </c>
      <c r="J132" s="211">
        <f t="shared" si="53"/>
        <v>1317000</v>
      </c>
      <c r="K132" s="215">
        <f t="shared" ref="K132:Q132" si="54">K72</f>
        <v>0</v>
      </c>
      <c r="L132" s="215">
        <f t="shared" si="54"/>
        <v>0</v>
      </c>
      <c r="M132" s="215">
        <f t="shared" si="54"/>
        <v>0</v>
      </c>
      <c r="N132" s="215">
        <f t="shared" si="54"/>
        <v>0</v>
      </c>
      <c r="O132" s="215">
        <f t="shared" ref="O132" si="55">O72</f>
        <v>0</v>
      </c>
      <c r="P132" s="215">
        <f t="shared" si="54"/>
        <v>0</v>
      </c>
      <c r="Q132" s="215">
        <f t="shared" si="54"/>
        <v>1317000</v>
      </c>
      <c r="R132" s="215">
        <f t="shared" si="53"/>
        <v>627000</v>
      </c>
    </row>
    <row r="133" spans="1:19" ht="15" x14ac:dyDescent="0.25">
      <c r="A133" s="563"/>
      <c r="B133" s="564"/>
      <c r="C133" s="320" t="s">
        <v>94</v>
      </c>
      <c r="D133" s="321">
        <f t="shared" ref="D133:R133" si="56">D72+D71+D55+D94</f>
        <v>1317000</v>
      </c>
      <c r="E133" s="321">
        <f t="shared" si="56"/>
        <v>0</v>
      </c>
      <c r="F133" s="321">
        <f t="shared" si="56"/>
        <v>0</v>
      </c>
      <c r="G133" s="321">
        <f t="shared" si="56"/>
        <v>0</v>
      </c>
      <c r="H133" s="321">
        <f t="shared" si="56"/>
        <v>0</v>
      </c>
      <c r="I133" s="321">
        <f t="shared" si="56"/>
        <v>0</v>
      </c>
      <c r="J133" s="321">
        <f t="shared" si="56"/>
        <v>1317000</v>
      </c>
      <c r="K133" s="321">
        <f t="shared" ref="K133:Q133" si="57">K72+K71+K55+K94</f>
        <v>1871038</v>
      </c>
      <c r="L133" s="321">
        <f t="shared" si="57"/>
        <v>0</v>
      </c>
      <c r="M133" s="321">
        <f t="shared" si="57"/>
        <v>0</v>
      </c>
      <c r="N133" s="321">
        <f t="shared" si="57"/>
        <v>0</v>
      </c>
      <c r="O133" s="321">
        <f t="shared" ref="O133" si="58">O72+O71+O55+O94</f>
        <v>0</v>
      </c>
      <c r="P133" s="321">
        <f t="shared" si="57"/>
        <v>0</v>
      </c>
      <c r="Q133" s="321">
        <f t="shared" si="57"/>
        <v>3188038</v>
      </c>
      <c r="R133" s="321">
        <f t="shared" si="56"/>
        <v>1562519</v>
      </c>
      <c r="S133" s="1"/>
    </row>
    <row r="134" spans="1:19" ht="15" x14ac:dyDescent="0.25">
      <c r="A134" s="563"/>
      <c r="B134" s="564"/>
      <c r="C134" s="320" t="s">
        <v>9</v>
      </c>
      <c r="D134" s="321">
        <f t="shared" ref="D134:R134" si="59">D74+D56+D95</f>
        <v>31500</v>
      </c>
      <c r="E134" s="321">
        <f t="shared" si="59"/>
        <v>0</v>
      </c>
      <c r="F134" s="321">
        <f t="shared" si="59"/>
        <v>0</v>
      </c>
      <c r="G134" s="321">
        <f t="shared" si="59"/>
        <v>0</v>
      </c>
      <c r="H134" s="321">
        <f t="shared" si="59"/>
        <v>0</v>
      </c>
      <c r="I134" s="321">
        <f t="shared" si="59"/>
        <v>0</v>
      </c>
      <c r="J134" s="321">
        <f t="shared" si="59"/>
        <v>31500</v>
      </c>
      <c r="K134" s="321">
        <f t="shared" ref="K134:Q134" si="60">K74+K56+K95</f>
        <v>290010</v>
      </c>
      <c r="L134" s="321">
        <f t="shared" si="60"/>
        <v>0</v>
      </c>
      <c r="M134" s="321">
        <f t="shared" si="60"/>
        <v>0</v>
      </c>
      <c r="N134" s="321">
        <f t="shared" si="60"/>
        <v>0</v>
      </c>
      <c r="O134" s="321">
        <f t="shared" ref="O134" si="61">O74+O56+O95</f>
        <v>0</v>
      </c>
      <c r="P134" s="321">
        <f t="shared" si="60"/>
        <v>0</v>
      </c>
      <c r="Q134" s="321">
        <f t="shared" si="60"/>
        <v>321510</v>
      </c>
      <c r="R134" s="321">
        <f t="shared" si="59"/>
        <v>145005</v>
      </c>
      <c r="S134" s="1"/>
    </row>
    <row r="135" spans="1:19" ht="15" x14ac:dyDescent="0.25">
      <c r="A135" s="563"/>
      <c r="B135" s="564"/>
      <c r="C135" s="319" t="s">
        <v>22</v>
      </c>
      <c r="D135" s="211">
        <f t="shared" ref="D135:I135" si="62">D75+D34</f>
        <v>230000</v>
      </c>
      <c r="E135" s="211">
        <f t="shared" si="62"/>
        <v>0</v>
      </c>
      <c r="F135" s="211">
        <f t="shared" si="62"/>
        <v>0</v>
      </c>
      <c r="G135" s="211">
        <f t="shared" si="62"/>
        <v>0</v>
      </c>
      <c r="H135" s="211">
        <f t="shared" si="62"/>
        <v>0</v>
      </c>
      <c r="I135" s="211">
        <f t="shared" si="62"/>
        <v>0</v>
      </c>
      <c r="J135" s="211">
        <f>J75+J96</f>
        <v>230000</v>
      </c>
      <c r="K135" s="211">
        <f t="shared" ref="K135:R135" si="63">K75+K96</f>
        <v>0</v>
      </c>
      <c r="L135" s="211">
        <f t="shared" si="63"/>
        <v>0</v>
      </c>
      <c r="M135" s="211">
        <f t="shared" si="63"/>
        <v>0</v>
      </c>
      <c r="N135" s="211">
        <f t="shared" si="63"/>
        <v>0</v>
      </c>
      <c r="O135" s="211">
        <f t="shared" ref="O135" si="64">O75+O96</f>
        <v>0</v>
      </c>
      <c r="P135" s="211">
        <f t="shared" si="63"/>
        <v>0</v>
      </c>
      <c r="Q135" s="211">
        <f t="shared" si="63"/>
        <v>230000</v>
      </c>
      <c r="R135" s="211">
        <f t="shared" si="63"/>
        <v>0</v>
      </c>
    </row>
    <row r="136" spans="1:19" ht="15" x14ac:dyDescent="0.25">
      <c r="A136" s="563"/>
      <c r="B136" s="564"/>
      <c r="C136" s="319" t="s">
        <v>33</v>
      </c>
      <c r="D136" s="211">
        <f>D76</f>
        <v>460000</v>
      </c>
      <c r="E136" s="211">
        <f t="shared" ref="E136:I136" si="65">E76+E97</f>
        <v>0</v>
      </c>
      <c r="F136" s="211">
        <f t="shared" si="65"/>
        <v>0</v>
      </c>
      <c r="G136" s="211">
        <f t="shared" si="65"/>
        <v>0</v>
      </c>
      <c r="H136" s="211">
        <f t="shared" si="65"/>
        <v>0</v>
      </c>
      <c r="I136" s="211">
        <f t="shared" si="65"/>
        <v>0</v>
      </c>
      <c r="J136" s="211">
        <f>J76+J97+J34</f>
        <v>460000</v>
      </c>
      <c r="K136" s="211">
        <f t="shared" ref="K136:R136" si="66">K76+K97+K34</f>
        <v>157477</v>
      </c>
      <c r="L136" s="211">
        <f t="shared" si="66"/>
        <v>0</v>
      </c>
      <c r="M136" s="211">
        <f t="shared" si="66"/>
        <v>0</v>
      </c>
      <c r="N136" s="211">
        <f t="shared" si="66"/>
        <v>0</v>
      </c>
      <c r="O136" s="211">
        <f t="shared" ref="O136" si="67">O76+O97+O34</f>
        <v>0</v>
      </c>
      <c r="P136" s="211">
        <f t="shared" si="66"/>
        <v>0</v>
      </c>
      <c r="Q136" s="211">
        <f t="shared" si="66"/>
        <v>617477</v>
      </c>
      <c r="R136" s="211">
        <f t="shared" si="66"/>
        <v>329977</v>
      </c>
    </row>
    <row r="137" spans="1:19" ht="15" x14ac:dyDescent="0.25">
      <c r="A137" s="563"/>
      <c r="B137" s="564"/>
      <c r="C137" s="319" t="s">
        <v>184</v>
      </c>
      <c r="D137" s="211">
        <f t="shared" ref="D137:R138" si="68">D35</f>
        <v>1560000</v>
      </c>
      <c r="E137" s="211">
        <f t="shared" si="68"/>
        <v>0</v>
      </c>
      <c r="F137" s="211">
        <f t="shared" si="68"/>
        <v>0</v>
      </c>
      <c r="G137" s="211">
        <f t="shared" si="68"/>
        <v>0</v>
      </c>
      <c r="H137" s="211">
        <f t="shared" si="68"/>
        <v>0</v>
      </c>
      <c r="I137" s="211">
        <f t="shared" si="68"/>
        <v>0</v>
      </c>
      <c r="J137" s="211">
        <f t="shared" si="68"/>
        <v>1560000</v>
      </c>
      <c r="K137" s="211">
        <f t="shared" ref="K137:Q137" si="69">K35</f>
        <v>0</v>
      </c>
      <c r="L137" s="211">
        <f t="shared" si="69"/>
        <v>0</v>
      </c>
      <c r="M137" s="211">
        <f t="shared" si="69"/>
        <v>0</v>
      </c>
      <c r="N137" s="211">
        <f t="shared" si="69"/>
        <v>0</v>
      </c>
      <c r="O137" s="211">
        <f t="shared" ref="O137" si="70">O35</f>
        <v>0</v>
      </c>
      <c r="P137" s="211">
        <f t="shared" si="69"/>
        <v>0</v>
      </c>
      <c r="Q137" s="211">
        <f t="shared" si="69"/>
        <v>1560000</v>
      </c>
      <c r="R137" s="211">
        <f t="shared" si="68"/>
        <v>1040000</v>
      </c>
    </row>
    <row r="138" spans="1:19" ht="15" x14ac:dyDescent="0.25">
      <c r="A138" s="563"/>
      <c r="B138" s="564"/>
      <c r="C138" s="319" t="s">
        <v>89</v>
      </c>
      <c r="D138" s="211">
        <f t="shared" si="68"/>
        <v>0</v>
      </c>
      <c r="E138" s="211">
        <f t="shared" si="68"/>
        <v>0</v>
      </c>
      <c r="F138" s="211">
        <f t="shared" si="68"/>
        <v>0</v>
      </c>
      <c r="G138" s="211">
        <f t="shared" si="68"/>
        <v>0</v>
      </c>
      <c r="H138" s="211">
        <f t="shared" si="68"/>
        <v>0</v>
      </c>
      <c r="I138" s="211">
        <f t="shared" si="68"/>
        <v>0</v>
      </c>
      <c r="J138" s="211">
        <f t="shared" si="68"/>
        <v>0</v>
      </c>
      <c r="K138" s="322">
        <f t="shared" ref="K138:Q138" si="71">K36</f>
        <v>0</v>
      </c>
      <c r="L138" s="322">
        <f t="shared" si="71"/>
        <v>0</v>
      </c>
      <c r="M138" s="322">
        <f t="shared" si="71"/>
        <v>0</v>
      </c>
      <c r="N138" s="322">
        <f t="shared" si="71"/>
        <v>0</v>
      </c>
      <c r="O138" s="322">
        <f t="shared" ref="O138" si="72">O36</f>
        <v>0</v>
      </c>
      <c r="P138" s="322">
        <f t="shared" si="71"/>
        <v>0</v>
      </c>
      <c r="Q138" s="322">
        <f t="shared" si="71"/>
        <v>0</v>
      </c>
      <c r="R138" s="322">
        <f t="shared" si="68"/>
        <v>0</v>
      </c>
    </row>
    <row r="139" spans="1:19" ht="15" x14ac:dyDescent="0.25">
      <c r="A139" s="563"/>
      <c r="B139" s="564"/>
      <c r="C139" s="319" t="s">
        <v>34</v>
      </c>
      <c r="D139" s="211">
        <f t="shared" ref="D139:R139" si="73">D77+D98</f>
        <v>230000</v>
      </c>
      <c r="E139" s="211">
        <f t="shared" si="73"/>
        <v>0</v>
      </c>
      <c r="F139" s="211">
        <f t="shared" si="73"/>
        <v>0</v>
      </c>
      <c r="G139" s="211">
        <f t="shared" si="73"/>
        <v>0</v>
      </c>
      <c r="H139" s="211">
        <f t="shared" si="73"/>
        <v>0</v>
      </c>
      <c r="I139" s="211">
        <f t="shared" si="73"/>
        <v>0</v>
      </c>
      <c r="J139" s="211">
        <f t="shared" si="73"/>
        <v>230000</v>
      </c>
      <c r="K139" s="211">
        <f t="shared" ref="K139:Q139" si="74">K77+K98</f>
        <v>0</v>
      </c>
      <c r="L139" s="211">
        <f t="shared" si="74"/>
        <v>0</v>
      </c>
      <c r="M139" s="211">
        <f t="shared" si="74"/>
        <v>0</v>
      </c>
      <c r="N139" s="211">
        <f t="shared" si="74"/>
        <v>0</v>
      </c>
      <c r="O139" s="211">
        <f t="shared" ref="O139" si="75">O77+O98</f>
        <v>0</v>
      </c>
      <c r="P139" s="211">
        <f t="shared" si="74"/>
        <v>0</v>
      </c>
      <c r="Q139" s="211">
        <f t="shared" si="74"/>
        <v>230000</v>
      </c>
      <c r="R139" s="211">
        <f t="shared" si="73"/>
        <v>0</v>
      </c>
    </row>
    <row r="140" spans="1:19" ht="15" x14ac:dyDescent="0.25">
      <c r="A140" s="563"/>
      <c r="B140" s="564"/>
      <c r="C140" s="319" t="s">
        <v>10</v>
      </c>
      <c r="D140" s="211">
        <f t="shared" ref="D140:R140" si="76">D79+D57+D37+D99</f>
        <v>14152250</v>
      </c>
      <c r="E140" s="211">
        <f t="shared" si="76"/>
        <v>0</v>
      </c>
      <c r="F140" s="211">
        <f t="shared" si="76"/>
        <v>0</v>
      </c>
      <c r="G140" s="211">
        <f t="shared" si="76"/>
        <v>0</v>
      </c>
      <c r="H140" s="211">
        <f t="shared" si="76"/>
        <v>0</v>
      </c>
      <c r="I140" s="211">
        <f t="shared" si="76"/>
        <v>0</v>
      </c>
      <c r="J140" s="211">
        <f t="shared" si="76"/>
        <v>14152250</v>
      </c>
      <c r="K140" s="211">
        <f t="shared" ref="K140:Q140" si="77">K79+K57+K37+K99</f>
        <v>0</v>
      </c>
      <c r="L140" s="211">
        <f t="shared" si="77"/>
        <v>0</v>
      </c>
      <c r="M140" s="211">
        <f t="shared" si="77"/>
        <v>0</v>
      </c>
      <c r="N140" s="211">
        <f t="shared" si="77"/>
        <v>0</v>
      </c>
      <c r="O140" s="211">
        <f t="shared" ref="O140" si="78">O79+O57+O37+O99</f>
        <v>0</v>
      </c>
      <c r="P140" s="211">
        <f t="shared" si="77"/>
        <v>0</v>
      </c>
      <c r="Q140" s="211">
        <f t="shared" si="77"/>
        <v>14152250</v>
      </c>
      <c r="R140" s="211">
        <f t="shared" si="76"/>
        <v>3285000</v>
      </c>
    </row>
    <row r="141" spans="1:19" ht="15" x14ac:dyDescent="0.25">
      <c r="A141" s="563"/>
      <c r="B141" s="564"/>
      <c r="C141" s="319" t="s">
        <v>2</v>
      </c>
      <c r="D141" s="211">
        <f t="shared" ref="D141:R141" si="79">D80+D58+D38+D70+D100</f>
        <v>24203400</v>
      </c>
      <c r="E141" s="211">
        <f t="shared" si="79"/>
        <v>-4957723</v>
      </c>
      <c r="F141" s="211">
        <f t="shared" si="79"/>
        <v>0</v>
      </c>
      <c r="G141" s="211">
        <f t="shared" si="79"/>
        <v>0</v>
      </c>
      <c r="H141" s="211">
        <f t="shared" si="79"/>
        <v>0</v>
      </c>
      <c r="I141" s="211">
        <f t="shared" si="79"/>
        <v>0</v>
      </c>
      <c r="J141" s="211">
        <f t="shared" si="79"/>
        <v>19245677</v>
      </c>
      <c r="K141" s="211">
        <f t="shared" ref="K141:Q141" si="80">K80+K58+K38+K70+K100</f>
        <v>-2418525</v>
      </c>
      <c r="L141" s="211">
        <f t="shared" si="80"/>
        <v>0</v>
      </c>
      <c r="M141" s="211">
        <f t="shared" si="80"/>
        <v>0</v>
      </c>
      <c r="N141" s="211">
        <f t="shared" si="80"/>
        <v>0</v>
      </c>
      <c r="O141" s="211">
        <f t="shared" ref="O141" si="81">O80+O58+O38+O70+O100</f>
        <v>0</v>
      </c>
      <c r="P141" s="211">
        <f t="shared" si="80"/>
        <v>6676731</v>
      </c>
      <c r="Q141" s="211">
        <f t="shared" si="80"/>
        <v>23503883</v>
      </c>
      <c r="R141" s="211">
        <f t="shared" si="79"/>
        <v>4935926</v>
      </c>
    </row>
    <row r="142" spans="1:19" ht="15" x14ac:dyDescent="0.25">
      <c r="A142" s="563"/>
      <c r="B142" s="564"/>
      <c r="C142" s="319" t="s">
        <v>35</v>
      </c>
      <c r="D142" s="211">
        <f>D81+D101</f>
        <v>230000</v>
      </c>
      <c r="E142" s="211">
        <f t="shared" ref="E142:R142" si="82">E81+E101</f>
        <v>0</v>
      </c>
      <c r="F142" s="211">
        <f t="shared" si="82"/>
        <v>0</v>
      </c>
      <c r="G142" s="211">
        <f t="shared" si="82"/>
        <v>0</v>
      </c>
      <c r="H142" s="211">
        <f t="shared" si="82"/>
        <v>0</v>
      </c>
      <c r="I142" s="211">
        <f t="shared" si="82"/>
        <v>0</v>
      </c>
      <c r="J142" s="211">
        <f t="shared" si="82"/>
        <v>230000</v>
      </c>
      <c r="K142" s="211">
        <f t="shared" ref="K142:Q142" si="83">K81+K101</f>
        <v>0</v>
      </c>
      <c r="L142" s="211">
        <f t="shared" si="83"/>
        <v>0</v>
      </c>
      <c r="M142" s="211">
        <f t="shared" si="83"/>
        <v>0</v>
      </c>
      <c r="N142" s="211">
        <f t="shared" si="83"/>
        <v>0</v>
      </c>
      <c r="O142" s="211">
        <f t="shared" ref="O142" si="84">O81+O101</f>
        <v>0</v>
      </c>
      <c r="P142" s="211">
        <f t="shared" si="83"/>
        <v>0</v>
      </c>
      <c r="Q142" s="211">
        <f t="shared" si="83"/>
        <v>230000</v>
      </c>
      <c r="R142" s="211">
        <f t="shared" si="82"/>
        <v>0</v>
      </c>
    </row>
    <row r="143" spans="1:19" ht="15" x14ac:dyDescent="0.25">
      <c r="A143" s="563"/>
      <c r="B143" s="564"/>
      <c r="C143" s="319" t="s">
        <v>117</v>
      </c>
      <c r="D143" s="324">
        <f t="shared" ref="D143:R143" si="85">D39+D102</f>
        <v>200000</v>
      </c>
      <c r="E143" s="324">
        <f t="shared" si="85"/>
        <v>0</v>
      </c>
      <c r="F143" s="324">
        <f t="shared" si="85"/>
        <v>0</v>
      </c>
      <c r="G143" s="324">
        <f t="shared" si="85"/>
        <v>0</v>
      </c>
      <c r="H143" s="324">
        <f t="shared" si="85"/>
        <v>0</v>
      </c>
      <c r="I143" s="324">
        <f t="shared" si="85"/>
        <v>0</v>
      </c>
      <c r="J143" s="324">
        <f t="shared" si="85"/>
        <v>200000</v>
      </c>
      <c r="K143" s="324">
        <f t="shared" ref="K143:Q143" si="86">K39+K102</f>
        <v>0</v>
      </c>
      <c r="L143" s="324">
        <f t="shared" si="86"/>
        <v>0</v>
      </c>
      <c r="M143" s="324">
        <f t="shared" si="86"/>
        <v>0</v>
      </c>
      <c r="N143" s="324">
        <f t="shared" si="86"/>
        <v>0</v>
      </c>
      <c r="O143" s="324">
        <f t="shared" ref="O143" si="87">O39+O102</f>
        <v>0</v>
      </c>
      <c r="P143" s="324">
        <f t="shared" si="86"/>
        <v>0</v>
      </c>
      <c r="Q143" s="324">
        <f t="shared" si="86"/>
        <v>200000</v>
      </c>
      <c r="R143" s="324">
        <f t="shared" si="85"/>
        <v>42180</v>
      </c>
    </row>
    <row r="144" spans="1:19" ht="15" x14ac:dyDescent="0.25">
      <c r="A144" s="563"/>
      <c r="B144" s="564"/>
      <c r="C144" s="319" t="s">
        <v>11</v>
      </c>
      <c r="D144" s="211">
        <f>D82+D59+D40+D103</f>
        <v>5006450</v>
      </c>
      <c r="E144" s="211">
        <f t="shared" ref="E144:R144" si="88">E82+E59+E40+E103</f>
        <v>0</v>
      </c>
      <c r="F144" s="211">
        <f t="shared" si="88"/>
        <v>0</v>
      </c>
      <c r="G144" s="211">
        <f t="shared" si="88"/>
        <v>0</v>
      </c>
      <c r="H144" s="211">
        <f t="shared" si="88"/>
        <v>0</v>
      </c>
      <c r="I144" s="211">
        <f t="shared" si="88"/>
        <v>0</v>
      </c>
      <c r="J144" s="211">
        <f t="shared" si="88"/>
        <v>5006450</v>
      </c>
      <c r="K144" s="211">
        <f t="shared" ref="K144:Q144" si="89">K82+K59+K40+K103</f>
        <v>0</v>
      </c>
      <c r="L144" s="211">
        <f t="shared" si="89"/>
        <v>0</v>
      </c>
      <c r="M144" s="211">
        <f t="shared" si="89"/>
        <v>0</v>
      </c>
      <c r="N144" s="211">
        <f t="shared" si="89"/>
        <v>0</v>
      </c>
      <c r="O144" s="211">
        <f t="shared" ref="O144" si="90">O82+O59+O40+O103</f>
        <v>0</v>
      </c>
      <c r="P144" s="211">
        <f t="shared" si="89"/>
        <v>1802718</v>
      </c>
      <c r="Q144" s="211">
        <f t="shared" si="89"/>
        <v>6809168</v>
      </c>
      <c r="R144" s="211">
        <f t="shared" si="88"/>
        <v>655063</v>
      </c>
    </row>
    <row r="145" spans="1:19" ht="15" x14ac:dyDescent="0.25">
      <c r="A145" s="563"/>
      <c r="B145" s="564"/>
      <c r="C145" s="319" t="s">
        <v>91</v>
      </c>
      <c r="D145" s="211">
        <f t="shared" ref="D145:R145" si="91">D41</f>
        <v>0</v>
      </c>
      <c r="E145" s="211">
        <f t="shared" si="91"/>
        <v>0</v>
      </c>
      <c r="F145" s="211">
        <f t="shared" si="91"/>
        <v>0</v>
      </c>
      <c r="G145" s="211">
        <f t="shared" si="91"/>
        <v>0</v>
      </c>
      <c r="H145" s="211">
        <f t="shared" si="91"/>
        <v>0</v>
      </c>
      <c r="I145" s="211">
        <f t="shared" si="91"/>
        <v>0</v>
      </c>
      <c r="J145" s="211">
        <f t="shared" si="91"/>
        <v>0</v>
      </c>
      <c r="K145" s="322">
        <f t="shared" ref="K145:Q145" si="92">K41</f>
        <v>0</v>
      </c>
      <c r="L145" s="322">
        <f t="shared" si="92"/>
        <v>0</v>
      </c>
      <c r="M145" s="322">
        <f t="shared" si="92"/>
        <v>0</v>
      </c>
      <c r="N145" s="322">
        <f t="shared" si="92"/>
        <v>0</v>
      </c>
      <c r="O145" s="322">
        <f t="shared" ref="O145" si="93">O41</f>
        <v>0</v>
      </c>
      <c r="P145" s="322">
        <f t="shared" si="92"/>
        <v>0</v>
      </c>
      <c r="Q145" s="322">
        <f t="shared" si="92"/>
        <v>0</v>
      </c>
      <c r="R145" s="322">
        <f t="shared" si="91"/>
        <v>0</v>
      </c>
    </row>
    <row r="146" spans="1:19" ht="15" x14ac:dyDescent="0.25">
      <c r="A146" s="563"/>
      <c r="B146" s="564"/>
      <c r="C146" s="319" t="s">
        <v>12</v>
      </c>
      <c r="D146" s="211">
        <f t="shared" ref="D146:R146" si="94">D83+D60+D104+D42+D48</f>
        <v>567528</v>
      </c>
      <c r="E146" s="211">
        <f t="shared" si="94"/>
        <v>37723</v>
      </c>
      <c r="F146" s="211">
        <f t="shared" si="94"/>
        <v>0</v>
      </c>
      <c r="G146" s="211">
        <f t="shared" si="94"/>
        <v>0</v>
      </c>
      <c r="H146" s="211">
        <f t="shared" si="94"/>
        <v>0</v>
      </c>
      <c r="I146" s="211">
        <f t="shared" si="94"/>
        <v>0</v>
      </c>
      <c r="J146" s="211">
        <f t="shared" si="94"/>
        <v>605251</v>
      </c>
      <c r="K146" s="211">
        <f t="shared" ref="K146:Q146" si="95">K83+K60+K104+K42+K48</f>
        <v>100000</v>
      </c>
      <c r="L146" s="211">
        <f t="shared" si="95"/>
        <v>0</v>
      </c>
      <c r="M146" s="211">
        <f t="shared" si="95"/>
        <v>0</v>
      </c>
      <c r="N146" s="211">
        <f t="shared" si="95"/>
        <v>808</v>
      </c>
      <c r="O146" s="211">
        <f t="shared" ref="O146" si="96">O83+O60+O104+O42+O48</f>
        <v>0</v>
      </c>
      <c r="P146" s="211">
        <f t="shared" si="95"/>
        <v>0</v>
      </c>
      <c r="Q146" s="211">
        <f t="shared" si="95"/>
        <v>706059</v>
      </c>
      <c r="R146" s="211">
        <f t="shared" si="94"/>
        <v>200000</v>
      </c>
    </row>
    <row r="147" spans="1:19" ht="15" x14ac:dyDescent="0.25">
      <c r="A147" s="563"/>
      <c r="B147" s="564"/>
      <c r="C147" s="320" t="s">
        <v>95</v>
      </c>
      <c r="D147" s="321">
        <f>D105+D84+D70+D61+D48+D43</f>
        <v>46839628</v>
      </c>
      <c r="E147" s="321">
        <f t="shared" ref="E147:R147" si="97">E105+E84+E70+E61+E48+E43</f>
        <v>-4920000</v>
      </c>
      <c r="F147" s="321">
        <f t="shared" si="97"/>
        <v>0</v>
      </c>
      <c r="G147" s="321">
        <f t="shared" si="97"/>
        <v>0</v>
      </c>
      <c r="H147" s="321">
        <f t="shared" si="97"/>
        <v>0</v>
      </c>
      <c r="I147" s="321">
        <f t="shared" si="97"/>
        <v>0</v>
      </c>
      <c r="J147" s="321">
        <f t="shared" si="97"/>
        <v>41919628</v>
      </c>
      <c r="K147" s="321">
        <f t="shared" ref="K147:Q147" si="98">K105+K84+K70+K61+K48+K43</f>
        <v>-2161048</v>
      </c>
      <c r="L147" s="321">
        <f t="shared" si="98"/>
        <v>0</v>
      </c>
      <c r="M147" s="321">
        <f t="shared" si="98"/>
        <v>0</v>
      </c>
      <c r="N147" s="321">
        <f t="shared" si="98"/>
        <v>808</v>
      </c>
      <c r="O147" s="321">
        <f t="shared" ref="O147" si="99">O105+O84+O70+O61+O48+O43</f>
        <v>0</v>
      </c>
      <c r="P147" s="321">
        <f t="shared" si="98"/>
        <v>8479449</v>
      </c>
      <c r="Q147" s="321">
        <f t="shared" si="98"/>
        <v>48238837</v>
      </c>
      <c r="R147" s="321">
        <f t="shared" si="97"/>
        <v>10488146</v>
      </c>
      <c r="S147" s="1"/>
    </row>
    <row r="148" spans="1:19" ht="15" x14ac:dyDescent="0.25">
      <c r="A148" s="563"/>
      <c r="B148" s="564"/>
      <c r="C148" s="319" t="s">
        <v>36</v>
      </c>
      <c r="D148" s="211">
        <f t="shared" ref="D148:R148" si="100">D85</f>
        <v>0</v>
      </c>
      <c r="E148" s="211">
        <f t="shared" si="100"/>
        <v>0</v>
      </c>
      <c r="F148" s="211">
        <f t="shared" si="100"/>
        <v>0</v>
      </c>
      <c r="G148" s="211">
        <f t="shared" si="100"/>
        <v>0</v>
      </c>
      <c r="H148" s="211">
        <f t="shared" si="100"/>
        <v>0</v>
      </c>
      <c r="I148" s="211">
        <f t="shared" si="100"/>
        <v>0</v>
      </c>
      <c r="J148" s="211">
        <f t="shared" si="100"/>
        <v>0</v>
      </c>
      <c r="K148" s="322">
        <f t="shared" ref="K148:Q148" si="101">K85</f>
        <v>0</v>
      </c>
      <c r="L148" s="322">
        <f t="shared" si="101"/>
        <v>0</v>
      </c>
      <c r="M148" s="322">
        <f t="shared" si="101"/>
        <v>0</v>
      </c>
      <c r="N148" s="322">
        <f t="shared" si="101"/>
        <v>0</v>
      </c>
      <c r="O148" s="322">
        <f t="shared" ref="O148" si="102">O85</f>
        <v>0</v>
      </c>
      <c r="P148" s="322">
        <f t="shared" si="101"/>
        <v>0</v>
      </c>
      <c r="Q148" s="322">
        <f t="shared" si="101"/>
        <v>0</v>
      </c>
      <c r="R148" s="322">
        <f t="shared" si="100"/>
        <v>0</v>
      </c>
    </row>
    <row r="149" spans="1:19" ht="15" x14ac:dyDescent="0.25">
      <c r="A149" s="563"/>
      <c r="B149" s="564"/>
      <c r="C149" s="319" t="s">
        <v>23</v>
      </c>
      <c r="D149" s="211">
        <f t="shared" ref="D149:R149" si="103">D51+D49+D53+D44</f>
        <v>19513369</v>
      </c>
      <c r="E149" s="211">
        <f t="shared" si="103"/>
        <v>4920000</v>
      </c>
      <c r="F149" s="211">
        <f t="shared" si="103"/>
        <v>0</v>
      </c>
      <c r="G149" s="211">
        <f t="shared" si="103"/>
        <v>0</v>
      </c>
      <c r="H149" s="211">
        <f t="shared" si="103"/>
        <v>0</v>
      </c>
      <c r="I149" s="211">
        <f t="shared" si="103"/>
        <v>0</v>
      </c>
      <c r="J149" s="211">
        <f t="shared" si="103"/>
        <v>24433369</v>
      </c>
      <c r="K149" s="325">
        <f t="shared" ref="K149:Q149" si="104">K51+K49+K53+K44</f>
        <v>0</v>
      </c>
      <c r="L149" s="325">
        <f t="shared" si="104"/>
        <v>0</v>
      </c>
      <c r="M149" s="325">
        <f t="shared" si="104"/>
        <v>0</v>
      </c>
      <c r="N149" s="325">
        <f t="shared" si="104"/>
        <v>0</v>
      </c>
      <c r="O149" s="325">
        <f t="shared" ref="O149" si="105">O51+O49+O53+O44</f>
        <v>-590436</v>
      </c>
      <c r="P149" s="325">
        <f t="shared" si="104"/>
        <v>590436</v>
      </c>
      <c r="Q149" s="325">
        <f t="shared" si="104"/>
        <v>24433369</v>
      </c>
      <c r="R149" s="325">
        <f t="shared" si="103"/>
        <v>13474754</v>
      </c>
    </row>
    <row r="150" spans="1:19" ht="15" x14ac:dyDescent="0.25">
      <c r="A150" s="563"/>
      <c r="B150" s="564"/>
      <c r="C150" s="319" t="s">
        <v>5</v>
      </c>
      <c r="D150" s="211">
        <f t="shared" ref="D150:R150" si="106">D52+D54+D45</f>
        <v>33742196</v>
      </c>
      <c r="E150" s="211">
        <f t="shared" si="106"/>
        <v>0</v>
      </c>
      <c r="F150" s="211">
        <f t="shared" si="106"/>
        <v>0</v>
      </c>
      <c r="G150" s="211">
        <f t="shared" si="106"/>
        <v>0</v>
      </c>
      <c r="H150" s="211">
        <f t="shared" si="106"/>
        <v>0</v>
      </c>
      <c r="I150" s="211">
        <f t="shared" si="106"/>
        <v>0</v>
      </c>
      <c r="J150" s="211">
        <f t="shared" si="106"/>
        <v>33742196</v>
      </c>
      <c r="K150" s="322">
        <f t="shared" ref="K150:Q150" si="107">K52+K54+K45</f>
        <v>0</v>
      </c>
      <c r="L150" s="322">
        <f t="shared" si="107"/>
        <v>0</v>
      </c>
      <c r="M150" s="322">
        <f t="shared" si="107"/>
        <v>0</v>
      </c>
      <c r="N150" s="322">
        <f t="shared" si="107"/>
        <v>0</v>
      </c>
      <c r="O150" s="322">
        <f t="shared" ref="O150" si="108">O52+O54+O45</f>
        <v>0</v>
      </c>
      <c r="P150" s="322">
        <f t="shared" si="107"/>
        <v>0</v>
      </c>
      <c r="Q150" s="322">
        <f t="shared" si="107"/>
        <v>33742196</v>
      </c>
      <c r="R150" s="322">
        <f t="shared" si="106"/>
        <v>8473049</v>
      </c>
    </row>
    <row r="151" spans="1:19" ht="15" x14ac:dyDescent="0.25">
      <c r="A151" s="563"/>
      <c r="B151" s="564"/>
      <c r="C151" s="320" t="s">
        <v>96</v>
      </c>
      <c r="D151" s="321">
        <f t="shared" ref="D151:R151" si="109">D52+D51+D49+D54+D53+D45+D44</f>
        <v>53255565</v>
      </c>
      <c r="E151" s="321">
        <f t="shared" si="109"/>
        <v>4920000</v>
      </c>
      <c r="F151" s="321">
        <f t="shared" si="109"/>
        <v>0</v>
      </c>
      <c r="G151" s="321">
        <f t="shared" si="109"/>
        <v>0</v>
      </c>
      <c r="H151" s="321">
        <f t="shared" si="109"/>
        <v>0</v>
      </c>
      <c r="I151" s="321">
        <f t="shared" si="109"/>
        <v>0</v>
      </c>
      <c r="J151" s="321">
        <f t="shared" si="109"/>
        <v>58175565</v>
      </c>
      <c r="K151" s="323">
        <f t="shared" ref="K151:Q151" si="110">K52+K51+K49+K54+K53+K45+K44</f>
        <v>0</v>
      </c>
      <c r="L151" s="323">
        <f t="shared" si="110"/>
        <v>0</v>
      </c>
      <c r="M151" s="323">
        <f t="shared" si="110"/>
        <v>0</v>
      </c>
      <c r="N151" s="323">
        <f t="shared" si="110"/>
        <v>0</v>
      </c>
      <c r="O151" s="323">
        <f t="shared" ref="O151" si="111">O52+O51+O49+O54+O53+O45+O44</f>
        <v>-590436</v>
      </c>
      <c r="P151" s="323">
        <f t="shared" si="110"/>
        <v>590436</v>
      </c>
      <c r="Q151" s="323">
        <f t="shared" si="110"/>
        <v>58175565</v>
      </c>
      <c r="R151" s="323">
        <f t="shared" si="109"/>
        <v>21947803</v>
      </c>
      <c r="S151" s="1"/>
    </row>
    <row r="152" spans="1:19" ht="15" x14ac:dyDescent="0.25">
      <c r="A152" s="563"/>
      <c r="B152" s="564"/>
      <c r="C152" s="319" t="s">
        <v>31</v>
      </c>
      <c r="D152" s="211">
        <f t="shared" ref="D152:R152" si="112">D86+D62+D106</f>
        <v>0</v>
      </c>
      <c r="E152" s="211">
        <f t="shared" si="112"/>
        <v>0</v>
      </c>
      <c r="F152" s="211">
        <f t="shared" si="112"/>
        <v>0</v>
      </c>
      <c r="G152" s="211">
        <f t="shared" si="112"/>
        <v>0</v>
      </c>
      <c r="H152" s="211">
        <f t="shared" si="112"/>
        <v>0</v>
      </c>
      <c r="I152" s="211">
        <f t="shared" si="112"/>
        <v>0</v>
      </c>
      <c r="J152" s="211">
        <f t="shared" si="112"/>
        <v>0</v>
      </c>
      <c r="K152" s="211">
        <f t="shared" ref="K152:Q152" si="113">K86+K62+K106</f>
        <v>0</v>
      </c>
      <c r="L152" s="211">
        <f t="shared" si="113"/>
        <v>0</v>
      </c>
      <c r="M152" s="211">
        <f t="shared" si="113"/>
        <v>0</v>
      </c>
      <c r="N152" s="211">
        <f t="shared" si="113"/>
        <v>0</v>
      </c>
      <c r="O152" s="211">
        <f t="shared" ref="O152" si="114">O86+O62+O106</f>
        <v>0</v>
      </c>
      <c r="P152" s="211">
        <f t="shared" si="113"/>
        <v>0</v>
      </c>
      <c r="Q152" s="211">
        <f t="shared" si="113"/>
        <v>0</v>
      </c>
      <c r="R152" s="211">
        <f t="shared" si="112"/>
        <v>0</v>
      </c>
    </row>
    <row r="153" spans="1:19" ht="15" x14ac:dyDescent="0.25">
      <c r="A153" s="563"/>
      <c r="B153" s="564"/>
      <c r="C153" s="319" t="s">
        <v>32</v>
      </c>
      <c r="D153" s="211">
        <f t="shared" ref="D153:R153" si="115">D63+D87+D107</f>
        <v>0</v>
      </c>
      <c r="E153" s="211">
        <f t="shared" si="115"/>
        <v>0</v>
      </c>
      <c r="F153" s="211">
        <f t="shared" si="115"/>
        <v>0</v>
      </c>
      <c r="G153" s="211">
        <f t="shared" si="115"/>
        <v>0</v>
      </c>
      <c r="H153" s="211">
        <f t="shared" si="115"/>
        <v>0</v>
      </c>
      <c r="I153" s="211">
        <f t="shared" si="115"/>
        <v>0</v>
      </c>
      <c r="J153" s="211">
        <f t="shared" si="115"/>
        <v>0</v>
      </c>
      <c r="K153" s="211">
        <f t="shared" ref="K153:Q153" si="116">K63+K87+K107</f>
        <v>0</v>
      </c>
      <c r="L153" s="211">
        <f t="shared" si="116"/>
        <v>0</v>
      </c>
      <c r="M153" s="211">
        <f t="shared" si="116"/>
        <v>0</v>
      </c>
      <c r="N153" s="211">
        <f t="shared" si="116"/>
        <v>0</v>
      </c>
      <c r="O153" s="211">
        <f t="shared" ref="O153" si="117">O63+O87+O107</f>
        <v>0</v>
      </c>
      <c r="P153" s="211">
        <f t="shared" si="116"/>
        <v>0</v>
      </c>
      <c r="Q153" s="211">
        <f t="shared" si="116"/>
        <v>0</v>
      </c>
      <c r="R153" s="211">
        <f t="shared" si="115"/>
        <v>0</v>
      </c>
    </row>
    <row r="154" spans="1:19" ht="15" x14ac:dyDescent="0.25">
      <c r="A154" s="563"/>
      <c r="B154" s="564"/>
      <c r="C154" s="319" t="s">
        <v>13</v>
      </c>
      <c r="D154" s="211">
        <f t="shared" ref="D154:R155" si="118">D88+D64+D108</f>
        <v>21680</v>
      </c>
      <c r="E154" s="211">
        <f t="shared" si="118"/>
        <v>0</v>
      </c>
      <c r="F154" s="211">
        <f t="shared" si="118"/>
        <v>0</v>
      </c>
      <c r="G154" s="211">
        <f t="shared" si="118"/>
        <v>0</v>
      </c>
      <c r="H154" s="211">
        <f t="shared" si="118"/>
        <v>0</v>
      </c>
      <c r="I154" s="211">
        <f t="shared" si="118"/>
        <v>0</v>
      </c>
      <c r="J154" s="211">
        <f t="shared" si="118"/>
        <v>21680</v>
      </c>
      <c r="K154" s="211">
        <f t="shared" ref="K154:Q154" si="119">K88+K64+K108</f>
        <v>0</v>
      </c>
      <c r="L154" s="211">
        <f t="shared" si="119"/>
        <v>0</v>
      </c>
      <c r="M154" s="211">
        <f t="shared" si="119"/>
        <v>0</v>
      </c>
      <c r="N154" s="211">
        <f t="shared" si="119"/>
        <v>0</v>
      </c>
      <c r="O154" s="211">
        <f t="shared" ref="O154" si="120">O88+O64+O108</f>
        <v>0</v>
      </c>
      <c r="P154" s="211">
        <f t="shared" si="119"/>
        <v>0</v>
      </c>
      <c r="Q154" s="211">
        <f t="shared" si="119"/>
        <v>21680</v>
      </c>
      <c r="R154" s="211">
        <f t="shared" si="118"/>
        <v>0</v>
      </c>
    </row>
    <row r="155" spans="1:19" ht="15" x14ac:dyDescent="0.25">
      <c r="A155" s="563"/>
      <c r="B155" s="564"/>
      <c r="C155" s="319" t="s">
        <v>14</v>
      </c>
      <c r="D155" s="211">
        <f t="shared" si="118"/>
        <v>5854</v>
      </c>
      <c r="E155" s="211">
        <f t="shared" si="118"/>
        <v>0</v>
      </c>
      <c r="F155" s="211">
        <f t="shared" si="118"/>
        <v>0</v>
      </c>
      <c r="G155" s="211">
        <f t="shared" si="118"/>
        <v>0</v>
      </c>
      <c r="H155" s="211">
        <f t="shared" si="118"/>
        <v>0</v>
      </c>
      <c r="I155" s="211">
        <f t="shared" si="118"/>
        <v>0</v>
      </c>
      <c r="J155" s="211">
        <f t="shared" si="118"/>
        <v>5854</v>
      </c>
      <c r="K155" s="211">
        <f t="shared" ref="K155:Q155" si="121">K89+K65+K109</f>
        <v>0</v>
      </c>
      <c r="L155" s="211">
        <f t="shared" si="121"/>
        <v>0</v>
      </c>
      <c r="M155" s="211">
        <f t="shared" si="121"/>
        <v>0</v>
      </c>
      <c r="N155" s="211">
        <f t="shared" si="121"/>
        <v>0</v>
      </c>
      <c r="O155" s="211">
        <f t="shared" ref="O155" si="122">O89+O65+O109</f>
        <v>0</v>
      </c>
      <c r="P155" s="211">
        <f t="shared" si="121"/>
        <v>0</v>
      </c>
      <c r="Q155" s="211">
        <f t="shared" si="121"/>
        <v>5854</v>
      </c>
      <c r="R155" s="211">
        <f t="shared" si="118"/>
        <v>0</v>
      </c>
    </row>
    <row r="156" spans="1:19" ht="15" x14ac:dyDescent="0.25">
      <c r="A156" s="563"/>
      <c r="B156" s="564"/>
      <c r="C156" s="320" t="s">
        <v>97</v>
      </c>
      <c r="D156" s="321">
        <f t="shared" ref="D156:R156" si="123">D89+D88+D86+D65+D64+D63+D62+D87+D106+D108+D109+D107</f>
        <v>27534</v>
      </c>
      <c r="E156" s="321">
        <f t="shared" si="123"/>
        <v>0</v>
      </c>
      <c r="F156" s="321">
        <f t="shared" si="123"/>
        <v>0</v>
      </c>
      <c r="G156" s="321">
        <f t="shared" si="123"/>
        <v>0</v>
      </c>
      <c r="H156" s="321">
        <f t="shared" si="123"/>
        <v>0</v>
      </c>
      <c r="I156" s="321">
        <f t="shared" si="123"/>
        <v>0</v>
      </c>
      <c r="J156" s="321">
        <f t="shared" si="123"/>
        <v>27534</v>
      </c>
      <c r="K156" s="321">
        <f t="shared" ref="K156:Q156" si="124">K89+K88+K86+K65+K64+K63+K62+K87+K106+K108+K109+K107</f>
        <v>0</v>
      </c>
      <c r="L156" s="321">
        <f t="shared" si="124"/>
        <v>0</v>
      </c>
      <c r="M156" s="321">
        <f t="shared" si="124"/>
        <v>0</v>
      </c>
      <c r="N156" s="321">
        <f t="shared" si="124"/>
        <v>0</v>
      </c>
      <c r="O156" s="321">
        <f t="shared" ref="O156" si="125">O89+O88+O86+O65+O64+O63+O62+O87+O106+O108+O109+O107</f>
        <v>0</v>
      </c>
      <c r="P156" s="321">
        <f t="shared" si="124"/>
        <v>0</v>
      </c>
      <c r="Q156" s="321">
        <f t="shared" si="124"/>
        <v>27534</v>
      </c>
      <c r="R156" s="321">
        <f t="shared" si="123"/>
        <v>0</v>
      </c>
      <c r="S156" s="1"/>
    </row>
    <row r="157" spans="1:19" ht="15" x14ac:dyDescent="0.25">
      <c r="A157" s="563"/>
      <c r="B157" s="564"/>
      <c r="C157" s="319" t="s">
        <v>15</v>
      </c>
      <c r="D157" s="211">
        <f t="shared" ref="D157:R158" si="126">D91+D67+D111</f>
        <v>1593884</v>
      </c>
      <c r="E157" s="211">
        <f t="shared" si="126"/>
        <v>0</v>
      </c>
      <c r="F157" s="211">
        <f t="shared" si="126"/>
        <v>0</v>
      </c>
      <c r="G157" s="211">
        <f t="shared" si="126"/>
        <v>0</v>
      </c>
      <c r="H157" s="211">
        <f t="shared" si="126"/>
        <v>0</v>
      </c>
      <c r="I157" s="211">
        <f t="shared" si="126"/>
        <v>0</v>
      </c>
      <c r="J157" s="211">
        <f t="shared" si="126"/>
        <v>1593884</v>
      </c>
      <c r="K157" s="211">
        <f t="shared" ref="K157:Q157" si="127">K91+K67+K111</f>
        <v>0</v>
      </c>
      <c r="L157" s="211">
        <f t="shared" si="127"/>
        <v>0</v>
      </c>
      <c r="M157" s="211">
        <f t="shared" si="127"/>
        <v>0</v>
      </c>
      <c r="N157" s="211">
        <f t="shared" si="127"/>
        <v>0</v>
      </c>
      <c r="O157" s="211">
        <f t="shared" ref="O157" si="128">O91+O67+O111</f>
        <v>0</v>
      </c>
      <c r="P157" s="211">
        <f t="shared" si="127"/>
        <v>0</v>
      </c>
      <c r="Q157" s="211">
        <f t="shared" si="127"/>
        <v>1593884</v>
      </c>
      <c r="R157" s="211">
        <f t="shared" si="126"/>
        <v>724409</v>
      </c>
    </row>
    <row r="158" spans="1:19" ht="15" x14ac:dyDescent="0.25">
      <c r="A158" s="563"/>
      <c r="B158" s="564"/>
      <c r="C158" s="319" t="s">
        <v>16</v>
      </c>
      <c r="D158" s="211">
        <f t="shared" si="126"/>
        <v>430349</v>
      </c>
      <c r="E158" s="211">
        <f t="shared" si="126"/>
        <v>0</v>
      </c>
      <c r="F158" s="211">
        <f t="shared" si="126"/>
        <v>0</v>
      </c>
      <c r="G158" s="211">
        <f t="shared" si="126"/>
        <v>0</v>
      </c>
      <c r="H158" s="211">
        <f t="shared" si="126"/>
        <v>0</v>
      </c>
      <c r="I158" s="211">
        <f t="shared" si="126"/>
        <v>0</v>
      </c>
      <c r="J158" s="211">
        <f t="shared" si="126"/>
        <v>430349</v>
      </c>
      <c r="K158" s="211">
        <f t="shared" ref="K158:Q158" si="129">K92+K68+K112</f>
        <v>0</v>
      </c>
      <c r="L158" s="211">
        <f t="shared" si="129"/>
        <v>0</v>
      </c>
      <c r="M158" s="211">
        <f t="shared" si="129"/>
        <v>0</v>
      </c>
      <c r="N158" s="211">
        <f t="shared" si="129"/>
        <v>0</v>
      </c>
      <c r="O158" s="211">
        <f t="shared" ref="O158" si="130">O92+O68+O112</f>
        <v>0</v>
      </c>
      <c r="P158" s="211">
        <f t="shared" si="129"/>
        <v>0</v>
      </c>
      <c r="Q158" s="211">
        <f t="shared" si="129"/>
        <v>430349</v>
      </c>
      <c r="R158" s="211">
        <f t="shared" si="126"/>
        <v>195590</v>
      </c>
    </row>
    <row r="159" spans="1:19" ht="15" x14ac:dyDescent="0.25">
      <c r="A159" s="563"/>
      <c r="B159" s="564"/>
      <c r="C159" s="320" t="s">
        <v>98</v>
      </c>
      <c r="D159" s="321">
        <f t="shared" ref="D159:R159" si="131">D92+D91+D68+D67+D111+D112</f>
        <v>2024233</v>
      </c>
      <c r="E159" s="321">
        <f t="shared" si="131"/>
        <v>0</v>
      </c>
      <c r="F159" s="321">
        <f t="shared" si="131"/>
        <v>0</v>
      </c>
      <c r="G159" s="321">
        <f t="shared" si="131"/>
        <v>0</v>
      </c>
      <c r="H159" s="321">
        <f t="shared" si="131"/>
        <v>0</v>
      </c>
      <c r="I159" s="321">
        <f t="shared" si="131"/>
        <v>0</v>
      </c>
      <c r="J159" s="321">
        <f t="shared" si="131"/>
        <v>2024233</v>
      </c>
      <c r="K159" s="321">
        <f t="shared" ref="K159:Q159" si="132">K92+K91+K68+K67+K111+K112</f>
        <v>0</v>
      </c>
      <c r="L159" s="321">
        <f t="shared" si="132"/>
        <v>0</v>
      </c>
      <c r="M159" s="321">
        <f t="shared" si="132"/>
        <v>0</v>
      </c>
      <c r="N159" s="321">
        <f t="shared" si="132"/>
        <v>0</v>
      </c>
      <c r="O159" s="321">
        <f t="shared" ref="O159" si="133">O92+O91+O68+O67+O111+O112</f>
        <v>0</v>
      </c>
      <c r="P159" s="321">
        <f t="shared" si="132"/>
        <v>0</v>
      </c>
      <c r="Q159" s="321">
        <f t="shared" si="132"/>
        <v>2024233</v>
      </c>
      <c r="R159" s="321">
        <f t="shared" si="131"/>
        <v>919999</v>
      </c>
      <c r="S159" s="1"/>
    </row>
    <row r="160" spans="1:19" ht="15" x14ac:dyDescent="0.25">
      <c r="A160" s="563"/>
      <c r="B160" s="564"/>
      <c r="C160" s="320" t="s">
        <v>110</v>
      </c>
      <c r="D160" s="321">
        <f t="shared" ref="D160:R160" si="134">D50</f>
        <v>900000</v>
      </c>
      <c r="E160" s="321">
        <f t="shared" si="134"/>
        <v>0</v>
      </c>
      <c r="F160" s="321">
        <f t="shared" si="134"/>
        <v>0</v>
      </c>
      <c r="G160" s="321">
        <f t="shared" si="134"/>
        <v>0</v>
      </c>
      <c r="H160" s="321">
        <f t="shared" si="134"/>
        <v>0</v>
      </c>
      <c r="I160" s="321">
        <f t="shared" si="134"/>
        <v>0</v>
      </c>
      <c r="J160" s="321">
        <f t="shared" si="134"/>
        <v>900000</v>
      </c>
      <c r="K160" s="326">
        <f t="shared" ref="K160:Q160" si="135">K50</f>
        <v>0</v>
      </c>
      <c r="L160" s="326">
        <f t="shared" si="135"/>
        <v>0</v>
      </c>
      <c r="M160" s="326">
        <f t="shared" si="135"/>
        <v>0</v>
      </c>
      <c r="N160" s="326">
        <f t="shared" si="135"/>
        <v>0</v>
      </c>
      <c r="O160" s="326">
        <f t="shared" ref="O160" si="136">O50</f>
        <v>0</v>
      </c>
      <c r="P160" s="326">
        <f t="shared" si="135"/>
        <v>0</v>
      </c>
      <c r="Q160" s="326">
        <f t="shared" si="135"/>
        <v>900000</v>
      </c>
      <c r="R160" s="326">
        <f t="shared" si="134"/>
        <v>0</v>
      </c>
      <c r="S160" s="1"/>
    </row>
    <row r="161" spans="1:19" ht="15" x14ac:dyDescent="0.25">
      <c r="A161" s="563"/>
      <c r="B161" s="564"/>
      <c r="C161" s="319" t="s">
        <v>3</v>
      </c>
      <c r="D161" s="327">
        <f t="shared" ref="D161:R161" si="137">D47</f>
        <v>368611389</v>
      </c>
      <c r="E161" s="327">
        <f t="shared" si="137"/>
        <v>0</v>
      </c>
      <c r="F161" s="327">
        <f t="shared" si="137"/>
        <v>13843574</v>
      </c>
      <c r="G161" s="327">
        <f t="shared" si="137"/>
        <v>8682782</v>
      </c>
      <c r="H161" s="327">
        <f t="shared" si="137"/>
        <v>0</v>
      </c>
      <c r="I161" s="327">
        <f t="shared" si="137"/>
        <v>0</v>
      </c>
      <c r="J161" s="327">
        <f t="shared" si="137"/>
        <v>391137745</v>
      </c>
      <c r="K161" s="328">
        <f t="shared" ref="K161:Q161" si="138">K47</f>
        <v>0</v>
      </c>
      <c r="L161" s="328">
        <f t="shared" si="138"/>
        <v>-1208576</v>
      </c>
      <c r="M161" s="328">
        <f t="shared" si="138"/>
        <v>-2109251</v>
      </c>
      <c r="N161" s="328">
        <f t="shared" si="138"/>
        <v>0</v>
      </c>
      <c r="O161" s="328">
        <f t="shared" ref="O161" si="139">O47</f>
        <v>0</v>
      </c>
      <c r="P161" s="328">
        <f t="shared" si="138"/>
        <v>0</v>
      </c>
      <c r="Q161" s="328">
        <f t="shared" si="138"/>
        <v>387819918</v>
      </c>
      <c r="R161" s="328">
        <f t="shared" si="137"/>
        <v>244323783</v>
      </c>
      <c r="S161" s="1"/>
    </row>
    <row r="162" spans="1:19" ht="15" x14ac:dyDescent="0.25">
      <c r="A162" s="565"/>
      <c r="B162" s="566"/>
      <c r="C162" s="320" t="s">
        <v>99</v>
      </c>
      <c r="D162" s="321">
        <f>D114</f>
        <v>473006849</v>
      </c>
      <c r="E162" s="321">
        <f t="shared" ref="E162:R162" si="140">E114</f>
        <v>0</v>
      </c>
      <c r="F162" s="321">
        <f t="shared" si="140"/>
        <v>13843574</v>
      </c>
      <c r="G162" s="321">
        <f t="shared" si="140"/>
        <v>8682782</v>
      </c>
      <c r="H162" s="321">
        <f t="shared" si="140"/>
        <v>0</v>
      </c>
      <c r="I162" s="321">
        <f t="shared" si="140"/>
        <v>0</v>
      </c>
      <c r="J162" s="321">
        <f t="shared" si="140"/>
        <v>495533205</v>
      </c>
      <c r="K162" s="321">
        <f t="shared" ref="K162:Q162" si="141">K114</f>
        <v>0</v>
      </c>
      <c r="L162" s="321">
        <f t="shared" si="141"/>
        <v>-1208576</v>
      </c>
      <c r="M162" s="321">
        <f t="shared" si="141"/>
        <v>-2109251</v>
      </c>
      <c r="N162" s="321">
        <f t="shared" si="141"/>
        <v>808</v>
      </c>
      <c r="O162" s="321">
        <f t="shared" ref="O162" si="142">O114</f>
        <v>-590436</v>
      </c>
      <c r="P162" s="321">
        <f t="shared" si="141"/>
        <v>9069885</v>
      </c>
      <c r="Q162" s="321">
        <f t="shared" si="141"/>
        <v>500695635</v>
      </c>
      <c r="R162" s="321">
        <f t="shared" si="140"/>
        <v>279387255</v>
      </c>
      <c r="S162" s="1"/>
    </row>
    <row r="163" spans="1:19" ht="15" x14ac:dyDescent="0.25">
      <c r="A163" s="1"/>
      <c r="B163" s="98"/>
      <c r="C163" s="329"/>
      <c r="D163" s="329"/>
      <c r="E163" s="330"/>
      <c r="F163" s="329"/>
      <c r="G163" s="329"/>
      <c r="H163" s="329"/>
      <c r="I163" s="329"/>
      <c r="J163" s="329"/>
      <c r="K163" s="329"/>
      <c r="L163" s="329"/>
      <c r="M163" s="329"/>
      <c r="N163" s="329"/>
      <c r="O163" s="329"/>
      <c r="P163" s="329"/>
      <c r="Q163" s="329"/>
      <c r="R163" s="331"/>
      <c r="S163" s="1"/>
    </row>
    <row r="165" spans="1:19" x14ac:dyDescent="0.2">
      <c r="J165" t="s">
        <v>52</v>
      </c>
    </row>
    <row r="167" spans="1:19" x14ac:dyDescent="0.2">
      <c r="J167" t="s">
        <v>210</v>
      </c>
      <c r="N167" s="337">
        <v>0</v>
      </c>
      <c r="O167" s="337"/>
    </row>
    <row r="168" spans="1:19" x14ac:dyDescent="0.2">
      <c r="J168" t="s">
        <v>211</v>
      </c>
      <c r="N168" s="337">
        <v>0</v>
      </c>
      <c r="O168" s="337"/>
    </row>
    <row r="169" spans="1:19" x14ac:dyDescent="0.2">
      <c r="J169" s="5" t="s">
        <v>192</v>
      </c>
      <c r="N169" s="337">
        <f>SUM(L30,M30)</f>
        <v>-3317827</v>
      </c>
      <c r="O169" s="337"/>
    </row>
    <row r="170" spans="1:19" x14ac:dyDescent="0.2">
      <c r="J170" s="5" t="s">
        <v>215</v>
      </c>
      <c r="N170" s="337">
        <f>SUM(P9,O9)</f>
        <v>8479449</v>
      </c>
      <c r="O170" s="337"/>
    </row>
    <row r="171" spans="1:19" x14ac:dyDescent="0.2">
      <c r="J171" t="s">
        <v>212</v>
      </c>
      <c r="N171" s="337">
        <v>0</v>
      </c>
      <c r="O171" s="337"/>
    </row>
    <row r="172" spans="1:19" x14ac:dyDescent="0.2">
      <c r="J172" t="s">
        <v>58</v>
      </c>
      <c r="N172" s="337">
        <v>0</v>
      </c>
      <c r="O172" s="337"/>
    </row>
    <row r="173" spans="1:19" x14ac:dyDescent="0.2">
      <c r="J173" t="s">
        <v>213</v>
      </c>
      <c r="N173" s="337">
        <v>0</v>
      </c>
      <c r="O173" s="337"/>
    </row>
    <row r="174" spans="1:19" x14ac:dyDescent="0.2">
      <c r="J174" t="s">
        <v>61</v>
      </c>
      <c r="N174" s="337">
        <v>0</v>
      </c>
      <c r="O174" s="337"/>
    </row>
    <row r="175" spans="1:19" x14ac:dyDescent="0.2">
      <c r="J175" t="s">
        <v>62</v>
      </c>
      <c r="N175" s="337">
        <f>SUM(N6)</f>
        <v>808</v>
      </c>
      <c r="O175" s="337"/>
    </row>
    <row r="176" spans="1:19" x14ac:dyDescent="0.2">
      <c r="J176" t="s">
        <v>149</v>
      </c>
      <c r="N176" s="337">
        <v>0</v>
      </c>
      <c r="O176" s="337"/>
    </row>
    <row r="177" spans="10:15" x14ac:dyDescent="0.2">
      <c r="J177" t="s">
        <v>63</v>
      </c>
      <c r="N177" s="337">
        <f>SUM(N167:N176)</f>
        <v>5162430</v>
      </c>
      <c r="O177" s="337"/>
    </row>
    <row r="181" spans="10:15" x14ac:dyDescent="0.2">
      <c r="J181" t="s">
        <v>64</v>
      </c>
    </row>
    <row r="183" spans="10:15" x14ac:dyDescent="0.2">
      <c r="J183" t="s">
        <v>65</v>
      </c>
      <c r="N183" s="337">
        <f>SUM(L47,M47)</f>
        <v>-3317827</v>
      </c>
      <c r="O183" s="337"/>
    </row>
    <row r="184" spans="10:15" x14ac:dyDescent="0.2">
      <c r="J184" t="s">
        <v>150</v>
      </c>
      <c r="N184" s="337">
        <v>0</v>
      </c>
      <c r="O184" s="337"/>
    </row>
    <row r="185" spans="10:15" x14ac:dyDescent="0.2">
      <c r="J185" t="s">
        <v>66</v>
      </c>
      <c r="N185" s="337">
        <v>0</v>
      </c>
      <c r="O185" s="337"/>
    </row>
    <row r="186" spans="10:15" x14ac:dyDescent="0.2">
      <c r="J186" t="s">
        <v>67</v>
      </c>
      <c r="N186" s="337">
        <v>0</v>
      </c>
      <c r="O186" s="337"/>
    </row>
    <row r="187" spans="10:15" x14ac:dyDescent="0.2">
      <c r="J187" t="s">
        <v>68</v>
      </c>
      <c r="N187" s="337">
        <f>SUM(N43,P43)</f>
        <v>8480257</v>
      </c>
      <c r="O187" s="337"/>
    </row>
    <row r="188" spans="10:15" x14ac:dyDescent="0.2">
      <c r="J188" t="s">
        <v>151</v>
      </c>
      <c r="N188" s="337">
        <v>0</v>
      </c>
      <c r="O188" s="337"/>
    </row>
    <row r="189" spans="10:15" x14ac:dyDescent="0.2">
      <c r="J189" t="s">
        <v>69</v>
      </c>
      <c r="N189" s="337">
        <v>0</v>
      </c>
      <c r="O189" s="337"/>
    </row>
    <row r="190" spans="10:15" x14ac:dyDescent="0.2">
      <c r="J190" t="s">
        <v>152</v>
      </c>
      <c r="N190" s="337">
        <v>0</v>
      </c>
      <c r="O190" s="337"/>
    </row>
    <row r="191" spans="10:15" x14ac:dyDescent="0.2">
      <c r="J191" t="s">
        <v>63</v>
      </c>
      <c r="N191" s="337">
        <f>SUM(N183:N190)</f>
        <v>5162430</v>
      </c>
      <c r="O191" s="337"/>
    </row>
    <row r="193" spans="10:15" x14ac:dyDescent="0.2">
      <c r="J193" t="s">
        <v>70</v>
      </c>
    </row>
    <row r="195" spans="10:15" x14ac:dyDescent="0.2">
      <c r="J195" t="s">
        <v>210</v>
      </c>
      <c r="N195" s="337">
        <v>0</v>
      </c>
      <c r="O195" s="337"/>
    </row>
    <row r="196" spans="10:15" x14ac:dyDescent="0.2">
      <c r="J196" t="s">
        <v>146</v>
      </c>
      <c r="N196" s="337">
        <v>0</v>
      </c>
      <c r="O196" s="337"/>
    </row>
    <row r="197" spans="10:15" x14ac:dyDescent="0.2">
      <c r="J197" t="s">
        <v>214</v>
      </c>
      <c r="N197" s="337">
        <v>0</v>
      </c>
      <c r="O197" s="337"/>
    </row>
    <row r="198" spans="10:15" x14ac:dyDescent="0.2">
      <c r="J198" t="s">
        <v>148</v>
      </c>
      <c r="N198" s="337">
        <v>0</v>
      </c>
      <c r="O198" s="337"/>
    </row>
    <row r="199" spans="10:15" x14ac:dyDescent="0.2">
      <c r="J199" t="s">
        <v>153</v>
      </c>
      <c r="N199" s="337">
        <v>0</v>
      </c>
      <c r="O199" s="337"/>
    </row>
    <row r="200" spans="10:15" x14ac:dyDescent="0.2">
      <c r="J200" t="s">
        <v>154</v>
      </c>
      <c r="N200" s="337">
        <v>0</v>
      </c>
      <c r="O200" s="337"/>
    </row>
    <row r="201" spans="10:15" x14ac:dyDescent="0.2">
      <c r="J201" t="s">
        <v>61</v>
      </c>
      <c r="N201" s="337">
        <v>0</v>
      </c>
      <c r="O201" s="337"/>
    </row>
    <row r="202" spans="10:15" x14ac:dyDescent="0.2">
      <c r="J202" t="s">
        <v>62</v>
      </c>
      <c r="N202" s="337">
        <v>0</v>
      </c>
      <c r="O202" s="337"/>
    </row>
    <row r="203" spans="10:15" x14ac:dyDescent="0.2">
      <c r="J203" t="s">
        <v>63</v>
      </c>
      <c r="N203" s="337">
        <v>0</v>
      </c>
      <c r="O203" s="337"/>
    </row>
    <row r="207" spans="10:15" x14ac:dyDescent="0.2">
      <c r="J207" t="s">
        <v>71</v>
      </c>
    </row>
    <row r="209" spans="10:15" x14ac:dyDescent="0.2">
      <c r="J209" t="s">
        <v>65</v>
      </c>
      <c r="N209" s="337">
        <v>0</v>
      </c>
      <c r="O209" s="337"/>
    </row>
    <row r="210" spans="10:15" x14ac:dyDescent="0.2">
      <c r="J210" t="s">
        <v>78</v>
      </c>
      <c r="N210" s="337">
        <v>0</v>
      </c>
      <c r="O210" s="337"/>
    </row>
    <row r="211" spans="10:15" x14ac:dyDescent="0.2">
      <c r="J211" t="s">
        <v>66</v>
      </c>
      <c r="N211" s="337">
        <f>SUM(K73)</f>
        <v>1871038</v>
      </c>
      <c r="O211" s="337"/>
    </row>
    <row r="212" spans="10:15" x14ac:dyDescent="0.2">
      <c r="J212" t="s">
        <v>67</v>
      </c>
      <c r="N212" s="337">
        <f>SUM(K134)</f>
        <v>290010</v>
      </c>
      <c r="O212" s="337"/>
    </row>
    <row r="213" spans="10:15" x14ac:dyDescent="0.2">
      <c r="J213" t="s">
        <v>68</v>
      </c>
      <c r="N213" s="338">
        <f>SUM(K84)</f>
        <v>-2161048</v>
      </c>
      <c r="O213" s="338"/>
    </row>
    <row r="214" spans="10:15" x14ac:dyDescent="0.2">
      <c r="J214" t="s">
        <v>72</v>
      </c>
      <c r="N214" s="337">
        <v>0</v>
      </c>
      <c r="O214" s="337"/>
    </row>
    <row r="215" spans="10:15" x14ac:dyDescent="0.2">
      <c r="J215" t="s">
        <v>73</v>
      </c>
      <c r="N215" s="337">
        <v>0</v>
      </c>
      <c r="O215" s="337"/>
    </row>
    <row r="216" spans="10:15" x14ac:dyDescent="0.2">
      <c r="J216" t="s">
        <v>152</v>
      </c>
      <c r="N216" s="337">
        <v>0</v>
      </c>
      <c r="O216" s="337"/>
    </row>
    <row r="217" spans="10:15" x14ac:dyDescent="0.2">
      <c r="J217" t="s">
        <v>63</v>
      </c>
      <c r="N217" s="337">
        <f>SUM(N209:N216)</f>
        <v>0</v>
      </c>
      <c r="O217" s="337"/>
    </row>
    <row r="220" spans="10:15" x14ac:dyDescent="0.2">
      <c r="J220" t="s">
        <v>74</v>
      </c>
    </row>
    <row r="223" spans="10:15" x14ac:dyDescent="0.2">
      <c r="J223" t="s">
        <v>210</v>
      </c>
      <c r="N223" s="337">
        <v>0</v>
      </c>
      <c r="O223" s="337"/>
    </row>
    <row r="224" spans="10:15" x14ac:dyDescent="0.2">
      <c r="J224" t="s">
        <v>211</v>
      </c>
      <c r="N224" s="337">
        <v>0</v>
      </c>
      <c r="O224" s="337"/>
    </row>
    <row r="225" spans="10:15" x14ac:dyDescent="0.2">
      <c r="J225" s="5" t="s">
        <v>192</v>
      </c>
      <c r="N225" s="337">
        <f>SUM(N169)</f>
        <v>-3317827</v>
      </c>
      <c r="O225" s="337"/>
    </row>
    <row r="226" spans="10:15" x14ac:dyDescent="0.2">
      <c r="J226" t="s">
        <v>155</v>
      </c>
      <c r="N226" s="337">
        <v>0</v>
      </c>
      <c r="O226" s="337"/>
    </row>
    <row r="227" spans="10:15" x14ac:dyDescent="0.2">
      <c r="J227" s="5" t="s">
        <v>215</v>
      </c>
      <c r="N227" s="337">
        <f>SUM(N170)</f>
        <v>8479449</v>
      </c>
      <c r="O227" s="337"/>
    </row>
    <row r="228" spans="10:15" x14ac:dyDescent="0.2">
      <c r="J228" t="s">
        <v>156</v>
      </c>
      <c r="N228" s="337">
        <v>0</v>
      </c>
      <c r="O228" s="337"/>
    </row>
    <row r="229" spans="10:15" x14ac:dyDescent="0.2">
      <c r="J229" t="s">
        <v>154</v>
      </c>
      <c r="N229" s="337">
        <v>0</v>
      </c>
      <c r="O229" s="337"/>
    </row>
    <row r="230" spans="10:15" x14ac:dyDescent="0.2">
      <c r="J230" t="s">
        <v>61</v>
      </c>
      <c r="N230" s="337">
        <v>0</v>
      </c>
      <c r="O230" s="337"/>
    </row>
    <row r="231" spans="10:15" x14ac:dyDescent="0.2">
      <c r="J231" t="s">
        <v>62</v>
      </c>
      <c r="N231" s="337">
        <f>SUM(N175)</f>
        <v>808</v>
      </c>
      <c r="O231" s="337"/>
    </row>
    <row r="232" spans="10:15" x14ac:dyDescent="0.2">
      <c r="J232" t="s">
        <v>149</v>
      </c>
      <c r="N232" s="337">
        <v>0</v>
      </c>
      <c r="O232" s="337"/>
    </row>
    <row r="233" spans="10:15" x14ac:dyDescent="0.2">
      <c r="J233" t="s">
        <v>63</v>
      </c>
      <c r="N233" s="337">
        <f>SUM(N223:N232)</f>
        <v>5162430</v>
      </c>
      <c r="O233" s="337"/>
    </row>
    <row r="236" spans="10:15" x14ac:dyDescent="0.2">
      <c r="J236" t="s">
        <v>76</v>
      </c>
    </row>
    <row r="238" spans="10:15" x14ac:dyDescent="0.2">
      <c r="J238" t="s">
        <v>65</v>
      </c>
      <c r="N238" s="337">
        <f>SUM(N183)</f>
        <v>-3317827</v>
      </c>
      <c r="O238" s="337"/>
    </row>
    <row r="239" spans="10:15" x14ac:dyDescent="0.2">
      <c r="J239" t="s">
        <v>78</v>
      </c>
      <c r="N239" s="337">
        <v>0</v>
      </c>
      <c r="O239" s="337"/>
    </row>
    <row r="240" spans="10:15" x14ac:dyDescent="0.2">
      <c r="J240" t="s">
        <v>66</v>
      </c>
      <c r="N240" s="337">
        <f>SUM(N211)</f>
        <v>1871038</v>
      </c>
      <c r="O240" s="337"/>
    </row>
    <row r="241" spans="10:15" x14ac:dyDescent="0.2">
      <c r="J241" t="s">
        <v>67</v>
      </c>
      <c r="N241" s="337">
        <f>SUM(N212)</f>
        <v>290010</v>
      </c>
      <c r="O241" s="337"/>
    </row>
    <row r="242" spans="10:15" x14ac:dyDescent="0.2">
      <c r="J242" t="s">
        <v>68</v>
      </c>
      <c r="N242" s="337">
        <f>SUM(N213,N187)</f>
        <v>6319209</v>
      </c>
      <c r="O242" s="337"/>
    </row>
    <row r="243" spans="10:15" x14ac:dyDescent="0.2">
      <c r="J243" t="s">
        <v>72</v>
      </c>
      <c r="N243" s="337">
        <v>0</v>
      </c>
      <c r="O243" s="337"/>
    </row>
    <row r="244" spans="10:15" x14ac:dyDescent="0.2">
      <c r="J244" t="s">
        <v>73</v>
      </c>
      <c r="N244" s="337">
        <v>0</v>
      </c>
      <c r="O244" s="337"/>
    </row>
    <row r="245" spans="10:15" x14ac:dyDescent="0.2">
      <c r="J245" t="s">
        <v>152</v>
      </c>
      <c r="N245" s="337">
        <v>0</v>
      </c>
      <c r="O245" s="337"/>
    </row>
    <row r="246" spans="10:15" x14ac:dyDescent="0.2">
      <c r="J246" t="s">
        <v>63</v>
      </c>
      <c r="N246" s="337">
        <f>SUM(N238:N245)</f>
        <v>5162430</v>
      </c>
      <c r="O246" s="337"/>
    </row>
  </sheetData>
  <mergeCells count="26">
    <mergeCell ref="A114:C114"/>
    <mergeCell ref="A120:B162"/>
    <mergeCell ref="A70:A93"/>
    <mergeCell ref="A94:A113"/>
    <mergeCell ref="A53:A54"/>
    <mergeCell ref="A34:A48"/>
    <mergeCell ref="A49:A50"/>
    <mergeCell ref="A51:A52"/>
    <mergeCell ref="A55:A69"/>
    <mergeCell ref="A33:C33"/>
    <mergeCell ref="A6:A10"/>
    <mergeCell ref="A11:A12"/>
    <mergeCell ref="A15:A19"/>
    <mergeCell ref="A20:A25"/>
    <mergeCell ref="A26:A29"/>
    <mergeCell ref="A1:S1"/>
    <mergeCell ref="A4:A5"/>
    <mergeCell ref="B4:B5"/>
    <mergeCell ref="C4:C5"/>
    <mergeCell ref="D4:D5"/>
    <mergeCell ref="E4:I4"/>
    <mergeCell ref="J4:J5"/>
    <mergeCell ref="R4:R5"/>
    <mergeCell ref="S4:S5"/>
    <mergeCell ref="K4:P4"/>
    <mergeCell ref="Q4:Q5"/>
  </mergeCells>
  <phoneticPr fontId="9" type="noConversion"/>
  <pageMargins left="0" right="0" top="0" bottom="0" header="0.31496062992125984" footer="0.31496062992125984"/>
  <pageSetup paperSize="9" scale="48" orientation="portrait" r:id="rId1"/>
  <rowBreaks count="2" manualBreakCount="2">
    <brk id="93" max="17" man="1"/>
    <brk id="16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21"/>
  <sheetViews>
    <sheetView workbookViewId="0">
      <pane xSplit="2" ySplit="5" topLeftCell="C3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55" customWidth="1"/>
    <col min="12" max="12" width="18" customWidth="1"/>
  </cols>
  <sheetData>
    <row r="1" spans="1:12" x14ac:dyDescent="0.2">
      <c r="A1" s="396" t="s">
        <v>82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</row>
    <row r="2" spans="1:12" x14ac:dyDescent="0.2">
      <c r="F2" s="2"/>
    </row>
    <row r="3" spans="1:12" x14ac:dyDescent="0.2">
      <c r="E3" s="5"/>
      <c r="F3" s="3"/>
    </row>
    <row r="4" spans="1:12" x14ac:dyDescent="0.2">
      <c r="A4" s="398" t="s">
        <v>19</v>
      </c>
      <c r="B4" s="398" t="s">
        <v>0</v>
      </c>
      <c r="C4" s="398" t="s">
        <v>44</v>
      </c>
      <c r="D4" s="398" t="s">
        <v>21</v>
      </c>
      <c r="E4" s="400" t="s">
        <v>106</v>
      </c>
      <c r="F4" s="402" t="s">
        <v>109</v>
      </c>
      <c r="G4" s="403"/>
      <c r="H4" s="403"/>
      <c r="I4" s="404"/>
      <c r="J4" s="400" t="s">
        <v>103</v>
      </c>
      <c r="K4" s="405" t="s">
        <v>104</v>
      </c>
      <c r="L4" s="406" t="s">
        <v>108</v>
      </c>
    </row>
    <row r="5" spans="1:12" ht="21.75" customHeight="1" x14ac:dyDescent="0.2">
      <c r="A5" s="399"/>
      <c r="B5" s="399"/>
      <c r="C5" s="399"/>
      <c r="D5" s="399"/>
      <c r="E5" s="401"/>
      <c r="F5" s="75" t="s">
        <v>43</v>
      </c>
      <c r="G5" s="76" t="s">
        <v>83</v>
      </c>
      <c r="H5" s="76" t="s">
        <v>83</v>
      </c>
      <c r="I5" s="76" t="s">
        <v>83</v>
      </c>
      <c r="J5" s="401"/>
      <c r="K5" s="405"/>
      <c r="L5" s="406"/>
    </row>
    <row r="6" spans="1:12" x14ac:dyDescent="0.2">
      <c r="A6" s="370" t="s">
        <v>38</v>
      </c>
      <c r="B6" s="378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79">
        <v>0</v>
      </c>
      <c r="L6" s="4">
        <f>J6-K6</f>
        <v>0</v>
      </c>
    </row>
    <row r="7" spans="1:12" x14ac:dyDescent="0.2">
      <c r="A7" s="370"/>
      <c r="B7" s="378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6" si="0">SUM(E7:I7)</f>
        <v>0</v>
      </c>
      <c r="K7" s="79">
        <v>0</v>
      </c>
      <c r="L7" s="4">
        <f t="shared" ref="L7:L26" si="1">J7-K7</f>
        <v>0</v>
      </c>
    </row>
    <row r="8" spans="1:12" x14ac:dyDescent="0.2">
      <c r="A8" s="370"/>
      <c r="B8" s="378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79">
        <v>703</v>
      </c>
      <c r="L8" s="4">
        <f t="shared" si="1"/>
        <v>797</v>
      </c>
    </row>
    <row r="9" spans="1:12" x14ac:dyDescent="0.2">
      <c r="A9" s="370"/>
      <c r="B9" s="379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79">
        <v>0</v>
      </c>
      <c r="L9" s="4">
        <f t="shared" si="1"/>
        <v>2468000</v>
      </c>
    </row>
    <row r="10" spans="1:12" x14ac:dyDescent="0.2">
      <c r="A10" s="370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79">
        <v>10810958</v>
      </c>
      <c r="L10" s="4">
        <f t="shared" si="1"/>
        <v>0</v>
      </c>
    </row>
    <row r="11" spans="1:12" x14ac:dyDescent="0.2">
      <c r="A11" s="70" t="s">
        <v>45</v>
      </c>
      <c r="B11" s="6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79">
        <v>4998903</v>
      </c>
      <c r="L11" s="4">
        <f t="shared" si="1"/>
        <v>11260047</v>
      </c>
    </row>
    <row r="12" spans="1:12" x14ac:dyDescent="0.2">
      <c r="A12" s="339" t="s">
        <v>50</v>
      </c>
      <c r="B12" s="341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79">
        <v>2186085</v>
      </c>
      <c r="L12" s="4">
        <f t="shared" si="1"/>
        <v>4819178</v>
      </c>
    </row>
    <row r="13" spans="1:12" x14ac:dyDescent="0.2">
      <c r="A13" s="340"/>
      <c r="B13" s="342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79">
        <v>2200239</v>
      </c>
      <c r="L13" s="4">
        <f t="shared" si="1"/>
        <v>2299761</v>
      </c>
    </row>
    <row r="14" spans="1:12" x14ac:dyDescent="0.2">
      <c r="A14" s="72" t="s">
        <v>26</v>
      </c>
      <c r="B14" s="6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79">
        <v>6129334</v>
      </c>
      <c r="L14" s="4">
        <f t="shared" si="1"/>
        <v>13617166</v>
      </c>
    </row>
    <row r="15" spans="1:12" x14ac:dyDescent="0.2">
      <c r="A15" s="339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79">
        <v>0</v>
      </c>
      <c r="L15" s="4">
        <f t="shared" si="1"/>
        <v>0</v>
      </c>
    </row>
    <row r="16" spans="1:12" x14ac:dyDescent="0.2">
      <c r="A16" s="367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79">
        <v>0</v>
      </c>
      <c r="L16" s="4">
        <f t="shared" si="1"/>
        <v>0</v>
      </c>
    </row>
    <row r="17" spans="1:12" x14ac:dyDescent="0.2">
      <c r="A17" s="367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79">
        <v>199713</v>
      </c>
      <c r="L17" s="4">
        <f t="shared" si="1"/>
        <v>0</v>
      </c>
    </row>
    <row r="18" spans="1:12" x14ac:dyDescent="0.2">
      <c r="A18" s="367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79">
        <v>0</v>
      </c>
      <c r="L18" s="4">
        <f t="shared" si="1"/>
        <v>0</v>
      </c>
    </row>
    <row r="19" spans="1:12" x14ac:dyDescent="0.2">
      <c r="A19" s="367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79">
        <v>0</v>
      </c>
      <c r="L19" s="4">
        <f t="shared" si="1"/>
        <v>0</v>
      </c>
    </row>
    <row r="20" spans="1:12" x14ac:dyDescent="0.2">
      <c r="A20" s="348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79">
        <v>396817</v>
      </c>
      <c r="L20" s="4">
        <f t="shared" si="1"/>
        <v>36817995</v>
      </c>
    </row>
    <row r="21" spans="1:12" x14ac:dyDescent="0.2">
      <c r="A21" s="349"/>
      <c r="B21" s="382"/>
      <c r="C21" s="41" t="s">
        <v>37</v>
      </c>
      <c r="D21" s="42">
        <v>0</v>
      </c>
      <c r="E21" s="42">
        <v>0</v>
      </c>
      <c r="F21" s="43"/>
      <c r="G21" s="38"/>
      <c r="H21" s="38"/>
      <c r="I21" s="38"/>
      <c r="J21" s="4">
        <f t="shared" si="0"/>
        <v>0</v>
      </c>
      <c r="K21" s="79">
        <v>0</v>
      </c>
      <c r="L21" s="4">
        <f t="shared" si="1"/>
        <v>0</v>
      </c>
    </row>
    <row r="22" spans="1:12" x14ac:dyDescent="0.2">
      <c r="A22" s="349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79">
        <v>17033910</v>
      </c>
      <c r="L22" s="4">
        <f t="shared" si="1"/>
        <v>0</v>
      </c>
    </row>
    <row r="23" spans="1:12" x14ac:dyDescent="0.2">
      <c r="A23" s="350"/>
      <c r="B23" s="71" t="s">
        <v>17</v>
      </c>
      <c r="C23" s="41" t="s">
        <v>40</v>
      </c>
      <c r="D23" s="42">
        <v>800</v>
      </c>
      <c r="E23" s="42">
        <v>800</v>
      </c>
      <c r="F23" s="43"/>
      <c r="G23" s="38"/>
      <c r="H23" s="38"/>
      <c r="I23" s="38"/>
      <c r="J23" s="4">
        <f t="shared" si="0"/>
        <v>800</v>
      </c>
      <c r="K23" s="79">
        <v>0</v>
      </c>
      <c r="L23" s="4">
        <f t="shared" si="1"/>
        <v>800</v>
      </c>
    </row>
    <row r="24" spans="1:12" x14ac:dyDescent="0.2">
      <c r="A24" s="9" t="s">
        <v>29</v>
      </c>
      <c r="B24" s="6" t="s">
        <v>4</v>
      </c>
      <c r="C24" s="41" t="s">
        <v>25</v>
      </c>
      <c r="D24" s="51">
        <v>260269918</v>
      </c>
      <c r="E24" s="51">
        <v>260269918</v>
      </c>
      <c r="F24" s="43"/>
      <c r="G24" s="38"/>
      <c r="H24" s="38"/>
      <c r="I24" s="38"/>
      <c r="J24" s="4">
        <f t="shared" si="0"/>
        <v>260269918</v>
      </c>
      <c r="K24" s="79">
        <v>86032192</v>
      </c>
      <c r="L24" s="4">
        <f t="shared" si="1"/>
        <v>174237726</v>
      </c>
    </row>
    <row r="25" spans="1:12" x14ac:dyDescent="0.2">
      <c r="A25" s="9" t="s">
        <v>87</v>
      </c>
      <c r="B25" s="6" t="s">
        <v>4</v>
      </c>
      <c r="C25" s="41" t="s">
        <v>25</v>
      </c>
      <c r="D25" s="51">
        <v>3196558</v>
      </c>
      <c r="E25" s="51">
        <v>3196558</v>
      </c>
      <c r="F25" s="43"/>
      <c r="G25" s="38"/>
      <c r="H25" s="38"/>
      <c r="I25" s="38"/>
      <c r="J25" s="4">
        <f t="shared" si="0"/>
        <v>3196558</v>
      </c>
      <c r="K25" s="79">
        <v>632844</v>
      </c>
      <c r="L25" s="4">
        <f t="shared" si="1"/>
        <v>2563714</v>
      </c>
    </row>
    <row r="26" spans="1:12" x14ac:dyDescent="0.2">
      <c r="A26" s="10" t="s">
        <v>42</v>
      </c>
      <c r="B26" s="6" t="s">
        <v>4</v>
      </c>
      <c r="C26" s="41" t="s">
        <v>25</v>
      </c>
      <c r="D26" s="42">
        <v>47502672</v>
      </c>
      <c r="E26" s="42">
        <v>47502672</v>
      </c>
      <c r="F26" s="43"/>
      <c r="G26" s="38"/>
      <c r="H26" s="38"/>
      <c r="I26" s="38"/>
      <c r="J26" s="4">
        <f t="shared" si="0"/>
        <v>47502672</v>
      </c>
      <c r="K26" s="79">
        <v>14684296</v>
      </c>
      <c r="L26" s="4">
        <f t="shared" si="1"/>
        <v>32818376</v>
      </c>
    </row>
    <row r="27" spans="1:12" ht="34.5" customHeight="1" x14ac:dyDescent="0.2">
      <c r="A27" s="345" t="s">
        <v>85</v>
      </c>
      <c r="B27" s="346"/>
      <c r="C27" s="347"/>
      <c r="D27" s="52">
        <f>SUM(D6:D26)</f>
        <v>426209554</v>
      </c>
      <c r="E27" s="52">
        <f>SUM(E6:E26)</f>
        <v>426209554</v>
      </c>
      <c r="F27" s="52">
        <f t="shared" ref="F27:L27" si="2">SUM(F6:F26)</f>
        <v>0</v>
      </c>
      <c r="G27" s="52">
        <f t="shared" si="2"/>
        <v>0</v>
      </c>
      <c r="H27" s="52">
        <f t="shared" si="2"/>
        <v>0</v>
      </c>
      <c r="I27" s="52">
        <f t="shared" si="2"/>
        <v>0</v>
      </c>
      <c r="J27" s="52">
        <f t="shared" si="2"/>
        <v>426209554</v>
      </c>
      <c r="K27" s="56">
        <f t="shared" si="2"/>
        <v>145305994</v>
      </c>
      <c r="L27" s="52">
        <f t="shared" si="2"/>
        <v>280903560</v>
      </c>
    </row>
    <row r="28" spans="1:12" x14ac:dyDescent="0.2">
      <c r="A28" s="339" t="s">
        <v>18</v>
      </c>
      <c r="B28" s="384" t="s">
        <v>1</v>
      </c>
      <c r="C28" s="41" t="s">
        <v>22</v>
      </c>
      <c r="D28" s="44">
        <v>24000</v>
      </c>
      <c r="E28" s="44">
        <v>24000</v>
      </c>
      <c r="F28" s="45"/>
      <c r="G28" s="38"/>
      <c r="H28" s="38"/>
      <c r="I28" s="38"/>
      <c r="J28" s="4">
        <f t="shared" ref="J28:J71" si="3">SUM(E28:I28)</f>
        <v>24000</v>
      </c>
      <c r="K28" s="80">
        <v>0</v>
      </c>
      <c r="L28" s="4">
        <f t="shared" ref="L28:L71" si="4">J28-K28</f>
        <v>24000</v>
      </c>
    </row>
    <row r="29" spans="1:12" x14ac:dyDescent="0.2">
      <c r="A29" s="367"/>
      <c r="B29" s="385"/>
      <c r="C29" s="41" t="s">
        <v>89</v>
      </c>
      <c r="D29" s="38">
        <v>1870</v>
      </c>
      <c r="E29" s="38">
        <v>1870</v>
      </c>
      <c r="F29" s="40"/>
      <c r="G29" s="38"/>
      <c r="H29" s="38"/>
      <c r="I29" s="38"/>
      <c r="J29" s="4">
        <f t="shared" si="3"/>
        <v>1870</v>
      </c>
      <c r="K29" s="80">
        <v>0</v>
      </c>
      <c r="L29" s="4">
        <f t="shared" si="4"/>
        <v>1870</v>
      </c>
    </row>
    <row r="30" spans="1:12" x14ac:dyDescent="0.2">
      <c r="A30" s="367"/>
      <c r="B30" s="385"/>
      <c r="C30" s="39" t="s">
        <v>2</v>
      </c>
      <c r="D30" s="38">
        <v>17684057</v>
      </c>
      <c r="E30" s="38">
        <v>17601057</v>
      </c>
      <c r="F30" s="40"/>
      <c r="G30" s="38"/>
      <c r="H30" s="38"/>
      <c r="I30" s="38"/>
      <c r="J30" s="4">
        <f t="shared" si="3"/>
        <v>17601057</v>
      </c>
      <c r="K30" s="80">
        <v>2732442</v>
      </c>
      <c r="L30" s="4">
        <f t="shared" si="4"/>
        <v>14868615</v>
      </c>
    </row>
    <row r="31" spans="1:12" x14ac:dyDescent="0.2">
      <c r="A31" s="367"/>
      <c r="B31" s="385"/>
      <c r="C31" s="41" t="s">
        <v>11</v>
      </c>
      <c r="D31" s="38">
        <v>60264</v>
      </c>
      <c r="E31" s="38">
        <v>60264</v>
      </c>
      <c r="F31" s="40"/>
      <c r="G31" s="38"/>
      <c r="H31" s="38"/>
      <c r="I31" s="38"/>
      <c r="J31" s="4">
        <f t="shared" si="3"/>
        <v>60264</v>
      </c>
      <c r="K31" s="80">
        <v>42660</v>
      </c>
      <c r="L31" s="4">
        <f t="shared" si="4"/>
        <v>17604</v>
      </c>
    </row>
    <row r="32" spans="1:12" x14ac:dyDescent="0.2">
      <c r="A32" s="367"/>
      <c r="B32" s="386"/>
      <c r="C32" s="41" t="s">
        <v>91</v>
      </c>
      <c r="D32" s="38">
        <v>0</v>
      </c>
      <c r="E32" s="38">
        <v>83000</v>
      </c>
      <c r="F32" s="40"/>
      <c r="G32" s="38"/>
      <c r="H32" s="38"/>
      <c r="I32" s="38"/>
      <c r="J32" s="4">
        <f t="shared" si="3"/>
        <v>83000</v>
      </c>
      <c r="K32" s="80">
        <v>83000</v>
      </c>
      <c r="L32" s="4">
        <f t="shared" si="4"/>
        <v>0</v>
      </c>
    </row>
    <row r="33" spans="1:12" x14ac:dyDescent="0.2">
      <c r="A33" s="367"/>
      <c r="B33" s="341" t="s">
        <v>4</v>
      </c>
      <c r="C33" s="41" t="s">
        <v>23</v>
      </c>
      <c r="D33" s="38">
        <v>2267</v>
      </c>
      <c r="E33" s="38">
        <v>2267</v>
      </c>
      <c r="F33" s="40"/>
      <c r="G33" s="38"/>
      <c r="H33" s="38"/>
      <c r="I33" s="38"/>
      <c r="J33" s="4">
        <f t="shared" si="3"/>
        <v>2267</v>
      </c>
      <c r="K33" s="80">
        <v>2267</v>
      </c>
      <c r="L33" s="4">
        <f t="shared" si="4"/>
        <v>0</v>
      </c>
    </row>
    <row r="34" spans="1:12" x14ac:dyDescent="0.2">
      <c r="A34" s="367"/>
      <c r="B34" s="383"/>
      <c r="C34" s="41" t="s">
        <v>5</v>
      </c>
      <c r="D34" s="42">
        <v>0</v>
      </c>
      <c r="E34" s="42">
        <v>0</v>
      </c>
      <c r="F34" s="45"/>
      <c r="G34" s="38"/>
      <c r="H34" s="38"/>
      <c r="I34" s="38"/>
      <c r="J34" s="4">
        <f t="shared" si="3"/>
        <v>0</v>
      </c>
      <c r="K34" s="80">
        <v>0</v>
      </c>
      <c r="L34" s="4">
        <f t="shared" si="4"/>
        <v>0</v>
      </c>
    </row>
    <row r="35" spans="1:12" x14ac:dyDescent="0.2">
      <c r="A35" s="367"/>
      <c r="B35" s="383"/>
      <c r="C35" s="39" t="s">
        <v>3</v>
      </c>
      <c r="D35" s="38">
        <v>313437148</v>
      </c>
      <c r="E35" s="38">
        <v>313437148</v>
      </c>
      <c r="F35" s="43"/>
      <c r="G35" s="38"/>
      <c r="H35" s="38"/>
      <c r="I35" s="38"/>
      <c r="J35" s="4">
        <f t="shared" si="3"/>
        <v>313437148</v>
      </c>
      <c r="K35" s="80">
        <v>101349332</v>
      </c>
      <c r="L35" s="4">
        <f t="shared" si="4"/>
        <v>212087816</v>
      </c>
    </row>
    <row r="36" spans="1:12" x14ac:dyDescent="0.2">
      <c r="A36" s="339" t="s">
        <v>20</v>
      </c>
      <c r="B36" s="368" t="s">
        <v>6</v>
      </c>
      <c r="C36" s="41" t="s">
        <v>23</v>
      </c>
      <c r="D36" s="42">
        <v>0</v>
      </c>
      <c r="E36" s="42">
        <v>0</v>
      </c>
      <c r="F36" s="45"/>
      <c r="G36" s="38"/>
      <c r="H36" s="38"/>
      <c r="I36" s="38"/>
      <c r="J36" s="4">
        <f t="shared" si="3"/>
        <v>0</v>
      </c>
      <c r="K36" s="80">
        <v>0</v>
      </c>
      <c r="L36" s="4">
        <f t="shared" si="4"/>
        <v>0</v>
      </c>
    </row>
    <row r="37" spans="1:12" x14ac:dyDescent="0.2">
      <c r="A37" s="358"/>
      <c r="B37" s="369"/>
      <c r="C37" s="39" t="s">
        <v>5</v>
      </c>
      <c r="D37" s="38">
        <v>16258950</v>
      </c>
      <c r="E37" s="38">
        <v>16258950</v>
      </c>
      <c r="F37" s="43"/>
      <c r="G37" s="38"/>
      <c r="H37" s="38"/>
      <c r="I37" s="38"/>
      <c r="J37" s="4">
        <f t="shared" si="3"/>
        <v>16258950</v>
      </c>
      <c r="K37" s="80">
        <v>4064738</v>
      </c>
      <c r="L37" s="4">
        <f t="shared" si="4"/>
        <v>12194212</v>
      </c>
    </row>
    <row r="38" spans="1:12" x14ac:dyDescent="0.2">
      <c r="A38" s="339" t="s">
        <v>24</v>
      </c>
      <c r="B38" s="341" t="s">
        <v>4</v>
      </c>
      <c r="C38" s="41" t="s">
        <v>23</v>
      </c>
      <c r="D38" s="38">
        <v>7005263</v>
      </c>
      <c r="E38" s="38">
        <v>7005263</v>
      </c>
      <c r="F38" s="40"/>
      <c r="G38" s="38"/>
      <c r="H38" s="38"/>
      <c r="I38" s="38"/>
      <c r="J38" s="4">
        <f t="shared" si="3"/>
        <v>7005263</v>
      </c>
      <c r="K38" s="80">
        <v>1842527</v>
      </c>
      <c r="L38" s="4">
        <f t="shared" si="4"/>
        <v>5162736</v>
      </c>
    </row>
    <row r="39" spans="1:12" x14ac:dyDescent="0.2">
      <c r="A39" s="340"/>
      <c r="B39" s="342"/>
      <c r="C39" s="41" t="s">
        <v>90</v>
      </c>
      <c r="D39" s="38">
        <v>4500000</v>
      </c>
      <c r="E39" s="38">
        <v>4500000</v>
      </c>
      <c r="F39" s="40"/>
      <c r="G39" s="38"/>
      <c r="H39" s="38"/>
      <c r="I39" s="38"/>
      <c r="J39" s="4">
        <f t="shared" si="3"/>
        <v>4500000</v>
      </c>
      <c r="K39" s="80">
        <v>2200239</v>
      </c>
      <c r="L39" s="4">
        <f t="shared" si="4"/>
        <v>2299761</v>
      </c>
    </row>
    <row r="40" spans="1:12" x14ac:dyDescent="0.2">
      <c r="A40" s="339" t="s">
        <v>30</v>
      </c>
      <c r="B40" s="341" t="s">
        <v>4</v>
      </c>
      <c r="C40" s="41" t="s">
        <v>23</v>
      </c>
      <c r="D40" s="38">
        <v>12736500</v>
      </c>
      <c r="E40" s="38">
        <v>12736500</v>
      </c>
      <c r="F40" s="40"/>
      <c r="G40" s="38"/>
      <c r="H40" s="38"/>
      <c r="I40" s="38"/>
      <c r="J40" s="4">
        <f t="shared" si="3"/>
        <v>12736500</v>
      </c>
      <c r="K40" s="80">
        <v>5085209</v>
      </c>
      <c r="L40" s="4">
        <f t="shared" si="4"/>
        <v>7651291</v>
      </c>
    </row>
    <row r="41" spans="1:12" x14ac:dyDescent="0.2">
      <c r="A41" s="340"/>
      <c r="B41" s="342"/>
      <c r="C41" s="41" t="s">
        <v>5</v>
      </c>
      <c r="D41" s="38">
        <v>50000</v>
      </c>
      <c r="E41" s="38">
        <v>50000</v>
      </c>
      <c r="F41" s="40"/>
      <c r="G41" s="38"/>
      <c r="H41" s="38"/>
      <c r="I41" s="38"/>
      <c r="J41" s="4">
        <f t="shared" si="3"/>
        <v>50000</v>
      </c>
      <c r="K41" s="80">
        <v>50000</v>
      </c>
      <c r="L41" s="4">
        <f t="shared" si="4"/>
        <v>0</v>
      </c>
    </row>
    <row r="42" spans="1:12" x14ac:dyDescent="0.2">
      <c r="A42" s="339" t="s">
        <v>48</v>
      </c>
      <c r="B42" s="368" t="s">
        <v>8</v>
      </c>
      <c r="C42" s="39" t="s">
        <v>7</v>
      </c>
      <c r="D42" s="38">
        <v>0</v>
      </c>
      <c r="E42" s="38">
        <v>0</v>
      </c>
      <c r="F42" s="43"/>
      <c r="G42" s="38"/>
      <c r="H42" s="38"/>
      <c r="I42" s="38"/>
      <c r="J42" s="4">
        <f t="shared" si="3"/>
        <v>0</v>
      </c>
      <c r="K42" s="80">
        <v>0</v>
      </c>
      <c r="L42" s="4">
        <f t="shared" si="4"/>
        <v>0</v>
      </c>
    </row>
    <row r="43" spans="1:12" x14ac:dyDescent="0.2">
      <c r="A43" s="367"/>
      <c r="B43" s="369"/>
      <c r="C43" s="39" t="s">
        <v>9</v>
      </c>
      <c r="D43" s="38">
        <v>0</v>
      </c>
      <c r="E43" s="38">
        <v>0</v>
      </c>
      <c r="F43" s="43"/>
      <c r="G43" s="38"/>
      <c r="H43" s="38"/>
      <c r="I43" s="38"/>
      <c r="J43" s="4">
        <f t="shared" si="3"/>
        <v>0</v>
      </c>
      <c r="K43" s="80">
        <v>0</v>
      </c>
      <c r="L43" s="4">
        <f t="shared" si="4"/>
        <v>0</v>
      </c>
    </row>
    <row r="44" spans="1:12" x14ac:dyDescent="0.2">
      <c r="A44" s="367"/>
      <c r="B44" s="369"/>
      <c r="C44" s="39" t="s">
        <v>10</v>
      </c>
      <c r="D44" s="38">
        <v>0</v>
      </c>
      <c r="E44" s="38">
        <v>0</v>
      </c>
      <c r="F44" s="40"/>
      <c r="G44" s="38"/>
      <c r="H44" s="38"/>
      <c r="I44" s="38"/>
      <c r="J44" s="4">
        <f t="shared" si="3"/>
        <v>0</v>
      </c>
      <c r="K44" s="80">
        <v>0</v>
      </c>
      <c r="L44" s="4">
        <f t="shared" si="4"/>
        <v>0</v>
      </c>
    </row>
    <row r="45" spans="1:12" x14ac:dyDescent="0.2">
      <c r="A45" s="367"/>
      <c r="B45" s="369"/>
      <c r="C45" s="39" t="s">
        <v>2</v>
      </c>
      <c r="D45" s="38">
        <v>199713</v>
      </c>
      <c r="E45" s="38">
        <v>199713</v>
      </c>
      <c r="F45" s="43"/>
      <c r="G45" s="38"/>
      <c r="H45" s="38"/>
      <c r="I45" s="38"/>
      <c r="J45" s="4">
        <f t="shared" si="3"/>
        <v>199713</v>
      </c>
      <c r="K45" s="80">
        <v>0</v>
      </c>
      <c r="L45" s="4">
        <f t="shared" si="4"/>
        <v>199713</v>
      </c>
    </row>
    <row r="46" spans="1:12" x14ac:dyDescent="0.2">
      <c r="A46" s="367"/>
      <c r="B46" s="369"/>
      <c r="C46" s="39" t="s">
        <v>11</v>
      </c>
      <c r="D46" s="38">
        <v>0</v>
      </c>
      <c r="E46" s="38">
        <v>0</v>
      </c>
      <c r="F46" s="40"/>
      <c r="G46" s="38"/>
      <c r="H46" s="38"/>
      <c r="I46" s="38"/>
      <c r="J46" s="4">
        <f t="shared" si="3"/>
        <v>0</v>
      </c>
      <c r="K46" s="80">
        <v>0</v>
      </c>
      <c r="L46" s="4">
        <f t="shared" si="4"/>
        <v>0</v>
      </c>
    </row>
    <row r="47" spans="1:12" x14ac:dyDescent="0.2">
      <c r="A47" s="367"/>
      <c r="B47" s="369"/>
      <c r="C47" s="39" t="s">
        <v>12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80">
        <v>0</v>
      </c>
      <c r="L47" s="4">
        <f t="shared" si="4"/>
        <v>0</v>
      </c>
    </row>
    <row r="48" spans="1:12" x14ac:dyDescent="0.2">
      <c r="A48" s="367"/>
      <c r="B48" s="369"/>
      <c r="C48" s="41" t="s">
        <v>31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80">
        <v>0</v>
      </c>
      <c r="L48" s="4">
        <f t="shared" si="4"/>
        <v>0</v>
      </c>
    </row>
    <row r="49" spans="1:12" x14ac:dyDescent="0.2">
      <c r="A49" s="367"/>
      <c r="B49" s="369"/>
      <c r="C49" s="41" t="s">
        <v>32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80">
        <v>0</v>
      </c>
      <c r="L49" s="4">
        <f t="shared" si="4"/>
        <v>0</v>
      </c>
    </row>
    <row r="50" spans="1:12" x14ac:dyDescent="0.2">
      <c r="A50" s="367"/>
      <c r="B50" s="369"/>
      <c r="C50" s="39" t="s">
        <v>13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80">
        <v>0</v>
      </c>
      <c r="L50" s="4">
        <f t="shared" si="4"/>
        <v>0</v>
      </c>
    </row>
    <row r="51" spans="1:12" x14ac:dyDescent="0.2">
      <c r="A51" s="367"/>
      <c r="B51" s="369"/>
      <c r="C51" s="39" t="s">
        <v>14</v>
      </c>
      <c r="D51" s="38">
        <v>0</v>
      </c>
      <c r="E51" s="38">
        <v>0</v>
      </c>
      <c r="F51" s="43"/>
      <c r="G51" s="38"/>
      <c r="H51" s="38"/>
      <c r="I51" s="38"/>
      <c r="J51" s="4">
        <f t="shared" si="3"/>
        <v>0</v>
      </c>
      <c r="K51" s="80">
        <v>0</v>
      </c>
      <c r="L51" s="4">
        <f t="shared" si="4"/>
        <v>0</v>
      </c>
    </row>
    <row r="52" spans="1:12" x14ac:dyDescent="0.2">
      <c r="A52" s="367"/>
      <c r="B52" s="369"/>
      <c r="C52" s="39" t="s">
        <v>15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80">
        <v>0</v>
      </c>
      <c r="L52" s="4">
        <f t="shared" si="4"/>
        <v>0</v>
      </c>
    </row>
    <row r="53" spans="1:12" x14ac:dyDescent="0.2">
      <c r="A53" s="367"/>
      <c r="B53" s="369"/>
      <c r="C53" s="39" t="s">
        <v>16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80">
        <v>0</v>
      </c>
      <c r="L53" s="4">
        <f t="shared" si="4"/>
        <v>0</v>
      </c>
    </row>
    <row r="54" spans="1:12" x14ac:dyDescent="0.2">
      <c r="A54" s="393" t="s">
        <v>49</v>
      </c>
      <c r="B54" s="81" t="s">
        <v>1</v>
      </c>
      <c r="C54" s="39" t="s">
        <v>2</v>
      </c>
      <c r="D54" s="39">
        <v>0</v>
      </c>
      <c r="E54" s="38">
        <v>0</v>
      </c>
      <c r="F54" s="43">
        <v>8</v>
      </c>
      <c r="G54" s="38"/>
      <c r="H54" s="38"/>
      <c r="I54" s="38"/>
      <c r="J54" s="4">
        <f t="shared" si="3"/>
        <v>8</v>
      </c>
      <c r="K54" s="80">
        <v>8</v>
      </c>
      <c r="L54" s="4">
        <f t="shared" si="4"/>
        <v>0</v>
      </c>
    </row>
    <row r="55" spans="1:12" ht="12.75" customHeight="1" x14ac:dyDescent="0.2">
      <c r="A55" s="394"/>
      <c r="B55" s="392" t="s">
        <v>17</v>
      </c>
      <c r="C55" s="39" t="s">
        <v>7</v>
      </c>
      <c r="D55" s="38">
        <v>970000</v>
      </c>
      <c r="E55" s="38">
        <v>970000</v>
      </c>
      <c r="F55" s="40"/>
      <c r="G55" s="38"/>
      <c r="H55" s="38"/>
      <c r="I55" s="38"/>
      <c r="J55" s="4">
        <f t="shared" si="3"/>
        <v>970000</v>
      </c>
      <c r="K55" s="80">
        <v>280000</v>
      </c>
      <c r="L55" s="4">
        <f t="shared" si="4"/>
        <v>690000</v>
      </c>
    </row>
    <row r="56" spans="1:12" x14ac:dyDescent="0.2">
      <c r="A56" s="394"/>
      <c r="B56" s="392"/>
      <c r="C56" s="41" t="s">
        <v>88</v>
      </c>
      <c r="D56" s="38">
        <v>10791000</v>
      </c>
      <c r="E56" s="38">
        <v>10791000</v>
      </c>
      <c r="F56" s="40"/>
      <c r="G56" s="38"/>
      <c r="H56" s="38"/>
      <c r="I56" s="38"/>
      <c r="J56" s="4">
        <f t="shared" si="3"/>
        <v>10791000</v>
      </c>
      <c r="K56" s="80">
        <v>430000</v>
      </c>
      <c r="L56" s="4">
        <f t="shared" si="4"/>
        <v>10361000</v>
      </c>
    </row>
    <row r="57" spans="1:12" x14ac:dyDescent="0.2">
      <c r="A57" s="394"/>
      <c r="B57" s="392"/>
      <c r="C57" s="39" t="s">
        <v>9</v>
      </c>
      <c r="D57" s="38">
        <v>3112282</v>
      </c>
      <c r="E57" s="38">
        <v>3112282</v>
      </c>
      <c r="F57" s="40"/>
      <c r="G57" s="38"/>
      <c r="H57" s="38"/>
      <c r="I57" s="38"/>
      <c r="J57" s="4">
        <f t="shared" si="3"/>
        <v>3112282</v>
      </c>
      <c r="K57" s="80">
        <v>54600</v>
      </c>
      <c r="L57" s="4">
        <f t="shared" si="4"/>
        <v>3057682</v>
      </c>
    </row>
    <row r="58" spans="1:12" x14ac:dyDescent="0.2">
      <c r="A58" s="394"/>
      <c r="B58" s="392"/>
      <c r="C58" s="41" t="s">
        <v>22</v>
      </c>
      <c r="D58" s="38">
        <v>230000</v>
      </c>
      <c r="E58" s="38">
        <v>230000</v>
      </c>
      <c r="F58" s="40"/>
      <c r="G58" s="38"/>
      <c r="H58" s="38"/>
      <c r="I58" s="38"/>
      <c r="J58" s="4">
        <f t="shared" si="3"/>
        <v>230000</v>
      </c>
      <c r="K58" s="80">
        <v>0</v>
      </c>
      <c r="L58" s="4">
        <f t="shared" si="4"/>
        <v>230000</v>
      </c>
    </row>
    <row r="59" spans="1:12" x14ac:dyDescent="0.2">
      <c r="A59" s="394"/>
      <c r="B59" s="392"/>
      <c r="C59" s="41" t="s">
        <v>33</v>
      </c>
      <c r="D59" s="38">
        <v>72000</v>
      </c>
      <c r="E59" s="38">
        <v>72000</v>
      </c>
      <c r="F59" s="40"/>
      <c r="G59" s="38"/>
      <c r="H59" s="38"/>
      <c r="I59" s="38"/>
      <c r="J59" s="4">
        <f t="shared" si="3"/>
        <v>72000</v>
      </c>
      <c r="K59" s="80">
        <v>0</v>
      </c>
      <c r="L59" s="4">
        <f t="shared" si="4"/>
        <v>72000</v>
      </c>
    </row>
    <row r="60" spans="1:12" x14ac:dyDescent="0.2">
      <c r="A60" s="394"/>
      <c r="B60" s="392"/>
      <c r="C60" s="41" t="s">
        <v>34</v>
      </c>
      <c r="D60" s="38">
        <v>230000</v>
      </c>
      <c r="E60" s="38">
        <v>230000</v>
      </c>
      <c r="F60" s="40"/>
      <c r="G60" s="38"/>
      <c r="H60" s="38"/>
      <c r="I60" s="38"/>
      <c r="J60" s="4">
        <f t="shared" si="3"/>
        <v>230000</v>
      </c>
      <c r="K60" s="80">
        <v>0</v>
      </c>
      <c r="L60" s="4">
        <f t="shared" si="4"/>
        <v>230000</v>
      </c>
    </row>
    <row r="61" spans="1:12" x14ac:dyDescent="0.2">
      <c r="A61" s="394"/>
      <c r="B61" s="392"/>
      <c r="C61" s="41" t="s">
        <v>10</v>
      </c>
      <c r="D61" s="38">
        <v>8009100</v>
      </c>
      <c r="E61" s="38">
        <v>8009100</v>
      </c>
      <c r="F61" s="40"/>
      <c r="G61" s="38"/>
      <c r="H61" s="38"/>
      <c r="I61" s="38"/>
      <c r="J61" s="4">
        <f t="shared" si="3"/>
        <v>8009100</v>
      </c>
      <c r="K61" s="80">
        <v>750000</v>
      </c>
      <c r="L61" s="4">
        <f t="shared" si="4"/>
        <v>7259100</v>
      </c>
    </row>
    <row r="62" spans="1:12" x14ac:dyDescent="0.2">
      <c r="A62" s="394"/>
      <c r="B62" s="392"/>
      <c r="C62" s="41" t="s">
        <v>2</v>
      </c>
      <c r="D62" s="38">
        <v>14000000</v>
      </c>
      <c r="E62" s="38">
        <v>14000000</v>
      </c>
      <c r="F62" s="40">
        <v>-8</v>
      </c>
      <c r="G62" s="38"/>
      <c r="H62" s="38"/>
      <c r="I62" s="38"/>
      <c r="J62" s="4">
        <f t="shared" si="3"/>
        <v>13999992</v>
      </c>
      <c r="K62" s="80">
        <v>210000</v>
      </c>
      <c r="L62" s="4">
        <f t="shared" si="4"/>
        <v>13789992</v>
      </c>
    </row>
    <row r="63" spans="1:12" x14ac:dyDescent="0.2">
      <c r="A63" s="394"/>
      <c r="B63" s="392"/>
      <c r="C63" s="41" t="s">
        <v>35</v>
      </c>
      <c r="D63" s="38">
        <v>292100</v>
      </c>
      <c r="E63" s="38">
        <v>292100</v>
      </c>
      <c r="F63" s="40"/>
      <c r="G63" s="38"/>
      <c r="H63" s="38"/>
      <c r="I63" s="38"/>
      <c r="J63" s="4">
        <f t="shared" si="3"/>
        <v>292100</v>
      </c>
      <c r="K63" s="80">
        <v>6370</v>
      </c>
      <c r="L63" s="4">
        <f t="shared" si="4"/>
        <v>285730</v>
      </c>
    </row>
    <row r="64" spans="1:12" x14ac:dyDescent="0.2">
      <c r="A64" s="394"/>
      <c r="B64" s="392"/>
      <c r="C64" s="41" t="s">
        <v>11</v>
      </c>
      <c r="D64" s="38">
        <v>5127921</v>
      </c>
      <c r="E64" s="38">
        <v>5127921</v>
      </c>
      <c r="F64" s="40"/>
      <c r="G64" s="38"/>
      <c r="H64" s="38"/>
      <c r="I64" s="38"/>
      <c r="J64" s="4">
        <f t="shared" si="3"/>
        <v>5127921</v>
      </c>
      <c r="K64" s="80">
        <v>56700</v>
      </c>
      <c r="L64" s="4">
        <f t="shared" si="4"/>
        <v>5071221</v>
      </c>
    </row>
    <row r="65" spans="1:12" x14ac:dyDescent="0.2">
      <c r="A65" s="394"/>
      <c r="B65" s="392"/>
      <c r="C65" s="41" t="s">
        <v>12</v>
      </c>
      <c r="D65" s="38">
        <v>229492</v>
      </c>
      <c r="E65" s="38">
        <v>229492</v>
      </c>
      <c r="F65" s="40"/>
      <c r="G65" s="38"/>
      <c r="H65" s="38"/>
      <c r="I65" s="38"/>
      <c r="J65" s="4">
        <f t="shared" si="3"/>
        <v>229492</v>
      </c>
      <c r="K65" s="80">
        <v>1600</v>
      </c>
      <c r="L65" s="4">
        <f t="shared" si="4"/>
        <v>227892</v>
      </c>
    </row>
    <row r="66" spans="1:12" x14ac:dyDescent="0.2">
      <c r="A66" s="394"/>
      <c r="B66" s="392"/>
      <c r="C66" s="41" t="s">
        <v>36</v>
      </c>
      <c r="D66" s="38">
        <v>0</v>
      </c>
      <c r="E66" s="38">
        <v>0</v>
      </c>
      <c r="F66" s="40"/>
      <c r="G66" s="38"/>
      <c r="H66" s="38"/>
      <c r="I66" s="38"/>
      <c r="J66" s="4">
        <f t="shared" si="3"/>
        <v>0</v>
      </c>
      <c r="K66" s="80">
        <v>0</v>
      </c>
      <c r="L66" s="4">
        <f t="shared" si="4"/>
        <v>0</v>
      </c>
    </row>
    <row r="67" spans="1:12" x14ac:dyDescent="0.2">
      <c r="A67" s="394"/>
      <c r="B67" s="392"/>
      <c r="C67" s="41" t="s">
        <v>31</v>
      </c>
      <c r="D67" s="38">
        <v>388897</v>
      </c>
      <c r="E67" s="38">
        <v>388897</v>
      </c>
      <c r="F67" s="40"/>
      <c r="G67" s="38"/>
      <c r="H67" s="38"/>
      <c r="I67" s="38"/>
      <c r="J67" s="4">
        <f t="shared" si="3"/>
        <v>388897</v>
      </c>
      <c r="K67" s="80">
        <v>0</v>
      </c>
      <c r="L67" s="4">
        <f t="shared" si="4"/>
        <v>388897</v>
      </c>
    </row>
    <row r="68" spans="1:12" x14ac:dyDescent="0.2">
      <c r="A68" s="394"/>
      <c r="B68" s="392"/>
      <c r="C68" s="41" t="s">
        <v>13</v>
      </c>
      <c r="D68" s="38">
        <v>4296741</v>
      </c>
      <c r="E68" s="38">
        <v>4296741</v>
      </c>
      <c r="F68" s="40"/>
      <c r="G68" s="38"/>
      <c r="H68" s="38"/>
      <c r="I68" s="38"/>
      <c r="J68" s="4">
        <f t="shared" si="3"/>
        <v>4296741</v>
      </c>
      <c r="K68" s="80">
        <v>0</v>
      </c>
      <c r="L68" s="4">
        <f t="shared" si="4"/>
        <v>4296741</v>
      </c>
    </row>
    <row r="69" spans="1:12" x14ac:dyDescent="0.2">
      <c r="A69" s="394"/>
      <c r="B69" s="392"/>
      <c r="C69" s="41" t="s">
        <v>14</v>
      </c>
      <c r="D69" s="38">
        <v>1265122</v>
      </c>
      <c r="E69" s="38">
        <v>1265122</v>
      </c>
      <c r="F69" s="40"/>
      <c r="G69" s="38"/>
      <c r="H69" s="38"/>
      <c r="I69" s="38"/>
      <c r="J69" s="4">
        <f t="shared" si="3"/>
        <v>1265122</v>
      </c>
      <c r="K69" s="80">
        <v>0</v>
      </c>
      <c r="L69" s="4">
        <f t="shared" si="4"/>
        <v>1265122</v>
      </c>
    </row>
    <row r="70" spans="1:12" x14ac:dyDescent="0.2">
      <c r="A70" s="394"/>
      <c r="B70" s="392"/>
      <c r="C70" s="41" t="s">
        <v>15</v>
      </c>
      <c r="D70" s="38">
        <v>4121943</v>
      </c>
      <c r="E70" s="38">
        <v>4121943</v>
      </c>
      <c r="F70" s="40"/>
      <c r="G70" s="38"/>
      <c r="H70" s="38"/>
      <c r="I70" s="38"/>
      <c r="J70" s="4">
        <f t="shared" si="3"/>
        <v>4121943</v>
      </c>
      <c r="K70" s="80">
        <v>2302859</v>
      </c>
      <c r="L70" s="4">
        <f t="shared" si="4"/>
        <v>1819084</v>
      </c>
    </row>
    <row r="71" spans="1:12" x14ac:dyDescent="0.2">
      <c r="A71" s="395"/>
      <c r="B71" s="392"/>
      <c r="C71" s="41" t="s">
        <v>16</v>
      </c>
      <c r="D71" s="38">
        <v>1112924</v>
      </c>
      <c r="E71" s="38">
        <v>1112924</v>
      </c>
      <c r="F71" s="40"/>
      <c r="G71" s="38"/>
      <c r="H71" s="38"/>
      <c r="I71" s="38"/>
      <c r="J71" s="4">
        <f t="shared" si="3"/>
        <v>1112924</v>
      </c>
      <c r="K71" s="80">
        <v>351957</v>
      </c>
      <c r="L71" s="4">
        <f t="shared" si="4"/>
        <v>760967</v>
      </c>
    </row>
    <row r="72" spans="1:12" x14ac:dyDescent="0.2">
      <c r="A72" s="345" t="s">
        <v>86</v>
      </c>
      <c r="B72" s="346"/>
      <c r="C72" s="347"/>
      <c r="D72" s="52">
        <f>SUM(D28:D71)</f>
        <v>426209554</v>
      </c>
      <c r="E72" s="52">
        <f>SUM(E28:E71)</f>
        <v>426209554</v>
      </c>
      <c r="F72" s="52">
        <f t="shared" ref="F72:L72" si="5">SUM(F28:F71)</f>
        <v>0</v>
      </c>
      <c r="G72" s="52">
        <f t="shared" si="5"/>
        <v>0</v>
      </c>
      <c r="H72" s="52">
        <f t="shared" si="5"/>
        <v>0</v>
      </c>
      <c r="I72" s="52">
        <f t="shared" si="5"/>
        <v>0</v>
      </c>
      <c r="J72" s="52">
        <f t="shared" si="5"/>
        <v>426209554</v>
      </c>
      <c r="K72" s="56">
        <f t="shared" si="5"/>
        <v>121896508</v>
      </c>
      <c r="L72" s="52">
        <f t="shared" si="5"/>
        <v>304313046</v>
      </c>
    </row>
    <row r="73" spans="1:12" x14ac:dyDescent="0.2">
      <c r="F73" s="2"/>
    </row>
    <row r="74" spans="1:12" x14ac:dyDescent="0.2">
      <c r="F74" s="2"/>
    </row>
    <row r="75" spans="1:12" x14ac:dyDescent="0.2">
      <c r="F75" s="2"/>
    </row>
    <row r="76" spans="1:12" ht="15.75" x14ac:dyDescent="0.25">
      <c r="A76" s="64" t="s">
        <v>100</v>
      </c>
      <c r="F76" s="2"/>
    </row>
    <row r="77" spans="1:12" x14ac:dyDescent="0.2">
      <c r="G77" s="73">
        <v>43585</v>
      </c>
      <c r="L77" s="55"/>
    </row>
    <row r="78" spans="1:12" s="85" customFormat="1" ht="25.5" x14ac:dyDescent="0.2">
      <c r="A78" s="387" t="s">
        <v>101</v>
      </c>
      <c r="B78" s="388"/>
      <c r="C78" s="84" t="s">
        <v>44</v>
      </c>
      <c r="D78" s="86" t="s">
        <v>21</v>
      </c>
      <c r="E78" s="86" t="s">
        <v>106</v>
      </c>
      <c r="F78" s="87" t="s">
        <v>43</v>
      </c>
      <c r="G78" s="86"/>
      <c r="H78" s="86"/>
      <c r="I78" s="86"/>
      <c r="J78" s="86" t="s">
        <v>103</v>
      </c>
      <c r="K78" s="88" t="s">
        <v>104</v>
      </c>
    </row>
    <row r="79" spans="1:12" x14ac:dyDescent="0.2">
      <c r="A79" s="389"/>
      <c r="B79" s="376"/>
      <c r="C79" s="63" t="s">
        <v>25</v>
      </c>
      <c r="D79" s="4">
        <f>D26+D25+D24+D20+D15+D14+D12+D11+D9</f>
        <v>393662673</v>
      </c>
      <c r="E79" s="4">
        <f>E26+E25+E24+E20+E15+E14+E12+E11+E9</f>
        <v>393662673</v>
      </c>
      <c r="F79" s="4">
        <f t="shared" ref="F79:K79" si="6">F26+F25+F24+F20+F15+F14+F12+F11+F9</f>
        <v>0</v>
      </c>
      <c r="G79" s="4">
        <f t="shared" si="6"/>
        <v>0</v>
      </c>
      <c r="H79" s="4">
        <f t="shared" si="6"/>
        <v>0</v>
      </c>
      <c r="I79" s="4">
        <f t="shared" si="6"/>
        <v>0</v>
      </c>
      <c r="J79" s="4">
        <f t="shared" si="6"/>
        <v>393662673</v>
      </c>
      <c r="K79" s="54">
        <f t="shared" si="6"/>
        <v>115060471</v>
      </c>
    </row>
    <row r="80" spans="1:12" x14ac:dyDescent="0.2">
      <c r="A80" s="389"/>
      <c r="B80" s="376"/>
      <c r="C80" s="63" t="s">
        <v>37</v>
      </c>
      <c r="D80" s="4">
        <f>D21+D16+D13</f>
        <v>4500000</v>
      </c>
      <c r="E80" s="4">
        <f>E21+E16+E13</f>
        <v>4500000</v>
      </c>
      <c r="F80" s="4">
        <f t="shared" ref="F80:K80" si="7">F21+F16+F13</f>
        <v>0</v>
      </c>
      <c r="G80" s="4">
        <f t="shared" si="7"/>
        <v>0</v>
      </c>
      <c r="H80" s="4">
        <f t="shared" si="7"/>
        <v>0</v>
      </c>
      <c r="I80" s="4">
        <f t="shared" si="7"/>
        <v>0</v>
      </c>
      <c r="J80" s="4">
        <f t="shared" si="7"/>
        <v>4500000</v>
      </c>
      <c r="K80" s="54">
        <f t="shared" si="7"/>
        <v>2200239</v>
      </c>
    </row>
    <row r="81" spans="1:12" x14ac:dyDescent="0.2">
      <c r="A81" s="389"/>
      <c r="B81" s="376"/>
      <c r="C81" s="63" t="s">
        <v>27</v>
      </c>
      <c r="D81" s="4">
        <f t="shared" ref="D81" si="8">D6</f>
        <v>0</v>
      </c>
      <c r="E81" s="4">
        <f t="shared" ref="E81:K82" si="9">E6</f>
        <v>0</v>
      </c>
      <c r="F81" s="4">
        <f t="shared" si="9"/>
        <v>0</v>
      </c>
      <c r="G81" s="4">
        <f t="shared" si="9"/>
        <v>0</v>
      </c>
      <c r="H81" s="4">
        <f t="shared" si="9"/>
        <v>0</v>
      </c>
      <c r="I81" s="4">
        <f t="shared" si="9"/>
        <v>0</v>
      </c>
      <c r="J81" s="4">
        <f t="shared" si="9"/>
        <v>0</v>
      </c>
      <c r="K81" s="54">
        <f t="shared" si="9"/>
        <v>0</v>
      </c>
    </row>
    <row r="82" spans="1:12" x14ac:dyDescent="0.2">
      <c r="A82" s="389"/>
      <c r="B82" s="376"/>
      <c r="C82" s="63" t="s">
        <v>39</v>
      </c>
      <c r="D82" s="4">
        <f t="shared" ref="D82" si="10">D7</f>
        <v>0</v>
      </c>
      <c r="E82" s="4">
        <f t="shared" si="9"/>
        <v>0</v>
      </c>
      <c r="F82" s="4">
        <f t="shared" si="9"/>
        <v>0</v>
      </c>
      <c r="G82" s="4">
        <f t="shared" si="9"/>
        <v>0</v>
      </c>
      <c r="H82" s="4">
        <f t="shared" si="9"/>
        <v>0</v>
      </c>
      <c r="I82" s="4">
        <f t="shared" si="9"/>
        <v>0</v>
      </c>
      <c r="J82" s="4">
        <f t="shared" si="9"/>
        <v>0</v>
      </c>
      <c r="K82" s="54">
        <f t="shared" si="9"/>
        <v>0</v>
      </c>
    </row>
    <row r="83" spans="1:12" x14ac:dyDescent="0.2">
      <c r="A83" s="389"/>
      <c r="B83" s="376"/>
      <c r="C83" s="63" t="s">
        <v>40</v>
      </c>
      <c r="D83" s="4">
        <f>D23+D18+D8</f>
        <v>2300</v>
      </c>
      <c r="E83" s="4">
        <f>E23+E18+E8</f>
        <v>2300</v>
      </c>
      <c r="F83" s="4">
        <f t="shared" ref="F83:K83" si="11">F23+F18+F8</f>
        <v>0</v>
      </c>
      <c r="G83" s="4">
        <f t="shared" si="11"/>
        <v>0</v>
      </c>
      <c r="H83" s="4">
        <f t="shared" si="11"/>
        <v>0</v>
      </c>
      <c r="I83" s="4">
        <f t="shared" si="11"/>
        <v>0</v>
      </c>
      <c r="J83" s="4">
        <f t="shared" si="11"/>
        <v>2300</v>
      </c>
      <c r="K83" s="54">
        <f t="shared" si="11"/>
        <v>703</v>
      </c>
    </row>
    <row r="84" spans="1:12" x14ac:dyDescent="0.2">
      <c r="A84" s="389"/>
      <c r="B84" s="376"/>
      <c r="C84" s="63" t="s">
        <v>41</v>
      </c>
      <c r="D84" s="4">
        <f>D19</f>
        <v>0</v>
      </c>
      <c r="E84" s="4">
        <f>E19</f>
        <v>0</v>
      </c>
      <c r="F84" s="4">
        <f t="shared" ref="F84:K84" si="12">F19</f>
        <v>0</v>
      </c>
      <c r="G84" s="4">
        <f t="shared" si="12"/>
        <v>0</v>
      </c>
      <c r="H84" s="4">
        <f t="shared" si="12"/>
        <v>0</v>
      </c>
      <c r="I84" s="4">
        <f t="shared" si="12"/>
        <v>0</v>
      </c>
      <c r="J84" s="4">
        <f t="shared" si="12"/>
        <v>0</v>
      </c>
      <c r="K84" s="54">
        <f t="shared" si="12"/>
        <v>0</v>
      </c>
    </row>
    <row r="85" spans="1:12" x14ac:dyDescent="0.2">
      <c r="A85" s="389"/>
      <c r="B85" s="376"/>
      <c r="C85" s="65" t="s">
        <v>93</v>
      </c>
      <c r="D85" s="66">
        <f>D26+D25+D24+D23+D21+D20+D19+D18+D16+D15+D14+D13+D12+D11+D9+D8+D7+D6</f>
        <v>398164973</v>
      </c>
      <c r="E85" s="66">
        <f>E26+E25+E24+E23+E21+E20+E19+E18+E16+E15+E14+E13+E12+E11+E9+E8+E7+E6</f>
        <v>398164973</v>
      </c>
      <c r="F85" s="66">
        <f t="shared" ref="F85:K85" si="13">F26+F25+F24+F23+F21+F20+F19+F18+F16+F15+F14+F13+F12+F11+F9+F8+F7+F6</f>
        <v>0</v>
      </c>
      <c r="G85" s="66">
        <f t="shared" si="13"/>
        <v>0</v>
      </c>
      <c r="H85" s="66">
        <f t="shared" si="13"/>
        <v>0</v>
      </c>
      <c r="I85" s="66">
        <f t="shared" si="13"/>
        <v>0</v>
      </c>
      <c r="J85" s="66">
        <f t="shared" si="13"/>
        <v>398164973</v>
      </c>
      <c r="K85" s="77">
        <f t="shared" si="13"/>
        <v>117261413</v>
      </c>
      <c r="L85" s="1"/>
    </row>
    <row r="86" spans="1:12" x14ac:dyDescent="0.2">
      <c r="A86" s="389"/>
      <c r="B86" s="376"/>
      <c r="C86" s="63" t="s">
        <v>28</v>
      </c>
      <c r="D86" s="4">
        <f>D22+D17+D10</f>
        <v>28044581</v>
      </c>
      <c r="E86" s="4">
        <f>E22+E17+E10</f>
        <v>28044581</v>
      </c>
      <c r="F86" s="4">
        <f t="shared" ref="F86:K86" si="14">F22+F17+F10</f>
        <v>0</v>
      </c>
      <c r="G86" s="4">
        <f t="shared" si="14"/>
        <v>0</v>
      </c>
      <c r="H86" s="4">
        <f t="shared" si="14"/>
        <v>0</v>
      </c>
      <c r="I86" s="4">
        <f t="shared" si="14"/>
        <v>0</v>
      </c>
      <c r="J86" s="4">
        <f t="shared" si="14"/>
        <v>28044581</v>
      </c>
      <c r="K86" s="54">
        <f t="shared" si="14"/>
        <v>28044581</v>
      </c>
    </row>
    <row r="87" spans="1:12" x14ac:dyDescent="0.2">
      <c r="A87" s="389"/>
      <c r="B87" s="376"/>
      <c r="C87" s="65" t="s">
        <v>92</v>
      </c>
      <c r="D87" s="66">
        <f>D22+D17+D10</f>
        <v>28044581</v>
      </c>
      <c r="E87" s="66">
        <f>E22+E17+E10</f>
        <v>28044581</v>
      </c>
      <c r="F87" s="66">
        <f t="shared" ref="F87:K87" si="15">F22+F17+F10</f>
        <v>0</v>
      </c>
      <c r="G87" s="66">
        <f t="shared" si="15"/>
        <v>0</v>
      </c>
      <c r="H87" s="66">
        <f t="shared" si="15"/>
        <v>0</v>
      </c>
      <c r="I87" s="66">
        <f t="shared" si="15"/>
        <v>0</v>
      </c>
      <c r="J87" s="66">
        <f t="shared" si="15"/>
        <v>28044581</v>
      </c>
      <c r="K87" s="77">
        <f t="shared" si="15"/>
        <v>28044581</v>
      </c>
      <c r="L87" s="1"/>
    </row>
    <row r="88" spans="1:12" x14ac:dyDescent="0.2">
      <c r="A88" s="389"/>
      <c r="B88" s="376"/>
      <c r="C88" s="65" t="s">
        <v>102</v>
      </c>
      <c r="D88" s="66">
        <f>SUM(D6:D26)</f>
        <v>426209554</v>
      </c>
      <c r="E88" s="66">
        <f>SUM(E6:E26)</f>
        <v>426209554</v>
      </c>
      <c r="F88" s="66">
        <f t="shared" ref="F88:K88" si="16">SUM(F6:F26)</f>
        <v>0</v>
      </c>
      <c r="G88" s="66">
        <f t="shared" si="16"/>
        <v>0</v>
      </c>
      <c r="H88" s="66">
        <f t="shared" si="16"/>
        <v>0</v>
      </c>
      <c r="I88" s="66">
        <f t="shared" si="16"/>
        <v>0</v>
      </c>
      <c r="J88" s="66">
        <f t="shared" si="16"/>
        <v>426209554</v>
      </c>
      <c r="K88" s="77">
        <f t="shared" si="16"/>
        <v>145305994</v>
      </c>
      <c r="L88" s="1"/>
    </row>
    <row r="89" spans="1:12" x14ac:dyDescent="0.2">
      <c r="A89" s="389"/>
      <c r="B89" s="376"/>
      <c r="C89" s="63" t="s">
        <v>7</v>
      </c>
      <c r="D89" s="4">
        <f>D55+D42</f>
        <v>970000</v>
      </c>
      <c r="E89" s="4">
        <f>E55+E42</f>
        <v>970000</v>
      </c>
      <c r="F89" s="4">
        <f t="shared" ref="F89:K89" si="17">F55+F42</f>
        <v>0</v>
      </c>
      <c r="G89" s="4">
        <f t="shared" si="17"/>
        <v>0</v>
      </c>
      <c r="H89" s="4">
        <f t="shared" si="17"/>
        <v>0</v>
      </c>
      <c r="I89" s="4">
        <f t="shared" si="17"/>
        <v>0</v>
      </c>
      <c r="J89" s="4">
        <f t="shared" si="17"/>
        <v>970000</v>
      </c>
      <c r="K89" s="54">
        <f t="shared" si="17"/>
        <v>280000</v>
      </c>
    </row>
    <row r="90" spans="1:12" x14ac:dyDescent="0.2">
      <c r="A90" s="389"/>
      <c r="B90" s="376"/>
      <c r="C90" s="63" t="s">
        <v>88</v>
      </c>
      <c r="D90" s="4">
        <f>D56</f>
        <v>10791000</v>
      </c>
      <c r="E90" s="4">
        <f>E56</f>
        <v>10791000</v>
      </c>
      <c r="F90" s="4">
        <f t="shared" ref="F90:K90" si="18">F56</f>
        <v>0</v>
      </c>
      <c r="G90" s="4">
        <f t="shared" si="18"/>
        <v>0</v>
      </c>
      <c r="H90" s="4">
        <f t="shared" si="18"/>
        <v>0</v>
      </c>
      <c r="I90" s="4">
        <f t="shared" si="18"/>
        <v>0</v>
      </c>
      <c r="J90" s="4">
        <f t="shared" si="18"/>
        <v>10791000</v>
      </c>
      <c r="K90" s="54">
        <f t="shared" si="18"/>
        <v>430000</v>
      </c>
    </row>
    <row r="91" spans="1:12" x14ac:dyDescent="0.2">
      <c r="A91" s="389"/>
      <c r="B91" s="376"/>
      <c r="C91" s="65" t="s">
        <v>94</v>
      </c>
      <c r="D91" s="66">
        <f>D56+D55</f>
        <v>11761000</v>
      </c>
      <c r="E91" s="66">
        <f>E56+E55</f>
        <v>11761000</v>
      </c>
      <c r="F91" s="66">
        <f t="shared" ref="F91:K91" si="19">F56+F55</f>
        <v>0</v>
      </c>
      <c r="G91" s="66">
        <f t="shared" si="19"/>
        <v>0</v>
      </c>
      <c r="H91" s="66">
        <f t="shared" si="19"/>
        <v>0</v>
      </c>
      <c r="I91" s="66">
        <f t="shared" si="19"/>
        <v>0</v>
      </c>
      <c r="J91" s="66">
        <f t="shared" si="19"/>
        <v>11761000</v>
      </c>
      <c r="K91" s="77">
        <f t="shared" si="19"/>
        <v>710000</v>
      </c>
      <c r="L91" s="1"/>
    </row>
    <row r="92" spans="1:12" x14ac:dyDescent="0.2">
      <c r="A92" s="389"/>
      <c r="B92" s="376"/>
      <c r="C92" s="65" t="s">
        <v>9</v>
      </c>
      <c r="D92" s="66">
        <f>D57+D43</f>
        <v>3112282</v>
      </c>
      <c r="E92" s="66">
        <f>E57+E43</f>
        <v>3112282</v>
      </c>
      <c r="F92" s="66">
        <f t="shared" ref="F92:K92" si="20">F57+F43</f>
        <v>0</v>
      </c>
      <c r="G92" s="66">
        <f t="shared" si="20"/>
        <v>0</v>
      </c>
      <c r="H92" s="66">
        <f t="shared" si="20"/>
        <v>0</v>
      </c>
      <c r="I92" s="66">
        <f t="shared" si="20"/>
        <v>0</v>
      </c>
      <c r="J92" s="66">
        <f t="shared" si="20"/>
        <v>3112282</v>
      </c>
      <c r="K92" s="77">
        <f t="shared" si="20"/>
        <v>54600</v>
      </c>
      <c r="L92" s="1"/>
    </row>
    <row r="93" spans="1:12" x14ac:dyDescent="0.2">
      <c r="A93" s="389"/>
      <c r="B93" s="376"/>
      <c r="C93" s="63" t="s">
        <v>22</v>
      </c>
      <c r="D93" s="4">
        <f>D58+D28</f>
        <v>254000</v>
      </c>
      <c r="E93" s="4">
        <f>E58+E28</f>
        <v>254000</v>
      </c>
      <c r="F93" s="4">
        <f t="shared" ref="F93:K93" si="21">F58+F28</f>
        <v>0</v>
      </c>
      <c r="G93" s="4">
        <f t="shared" si="21"/>
        <v>0</v>
      </c>
      <c r="H93" s="4">
        <f t="shared" si="21"/>
        <v>0</v>
      </c>
      <c r="I93" s="4">
        <f t="shared" si="21"/>
        <v>0</v>
      </c>
      <c r="J93" s="4">
        <f t="shared" si="21"/>
        <v>254000</v>
      </c>
      <c r="K93" s="54">
        <f t="shared" si="21"/>
        <v>0</v>
      </c>
    </row>
    <row r="94" spans="1:12" x14ac:dyDescent="0.2">
      <c r="A94" s="389"/>
      <c r="B94" s="376"/>
      <c r="C94" s="63" t="s">
        <v>33</v>
      </c>
      <c r="D94" s="4">
        <f>D59</f>
        <v>72000</v>
      </c>
      <c r="E94" s="4">
        <f>E59</f>
        <v>72000</v>
      </c>
      <c r="F94" s="4">
        <f t="shared" ref="F94:K94" si="22">F59</f>
        <v>0</v>
      </c>
      <c r="G94" s="4">
        <f t="shared" si="22"/>
        <v>0</v>
      </c>
      <c r="H94" s="4">
        <f t="shared" si="22"/>
        <v>0</v>
      </c>
      <c r="I94" s="4">
        <f t="shared" si="22"/>
        <v>0</v>
      </c>
      <c r="J94" s="4">
        <f t="shared" si="22"/>
        <v>72000</v>
      </c>
      <c r="K94" s="54">
        <f t="shared" si="22"/>
        <v>0</v>
      </c>
    </row>
    <row r="95" spans="1:12" x14ac:dyDescent="0.2">
      <c r="A95" s="389"/>
      <c r="B95" s="376"/>
      <c r="C95" s="63" t="s">
        <v>89</v>
      </c>
      <c r="D95" s="4">
        <f>D29</f>
        <v>1870</v>
      </c>
      <c r="E95" s="4">
        <f>E29</f>
        <v>1870</v>
      </c>
      <c r="F95" s="4">
        <f t="shared" ref="F95:K95" si="23">F29</f>
        <v>0</v>
      </c>
      <c r="G95" s="4">
        <f t="shared" si="23"/>
        <v>0</v>
      </c>
      <c r="H95" s="4">
        <f t="shared" si="23"/>
        <v>0</v>
      </c>
      <c r="I95" s="4">
        <f t="shared" si="23"/>
        <v>0</v>
      </c>
      <c r="J95" s="4">
        <f t="shared" si="23"/>
        <v>1870</v>
      </c>
      <c r="K95" s="54">
        <f t="shared" si="23"/>
        <v>0</v>
      </c>
    </row>
    <row r="96" spans="1:12" x14ac:dyDescent="0.2">
      <c r="A96" s="389"/>
      <c r="B96" s="376"/>
      <c r="C96" s="63" t="s">
        <v>34</v>
      </c>
      <c r="D96" s="4">
        <f>D60</f>
        <v>230000</v>
      </c>
      <c r="E96" s="4">
        <f>E60</f>
        <v>230000</v>
      </c>
      <c r="F96" s="4">
        <f t="shared" ref="F96:K96" si="24">F60</f>
        <v>0</v>
      </c>
      <c r="G96" s="4">
        <f t="shared" si="24"/>
        <v>0</v>
      </c>
      <c r="H96" s="4">
        <f t="shared" si="24"/>
        <v>0</v>
      </c>
      <c r="I96" s="4">
        <f t="shared" si="24"/>
        <v>0</v>
      </c>
      <c r="J96" s="4">
        <f t="shared" si="24"/>
        <v>230000</v>
      </c>
      <c r="K96" s="54">
        <f t="shared" si="24"/>
        <v>0</v>
      </c>
    </row>
    <row r="97" spans="1:12" x14ac:dyDescent="0.2">
      <c r="A97" s="389"/>
      <c r="B97" s="376"/>
      <c r="C97" s="63" t="s">
        <v>10</v>
      </c>
      <c r="D97" s="4">
        <f>D61+D44</f>
        <v>8009100</v>
      </c>
      <c r="E97" s="4">
        <f>E61+E44</f>
        <v>8009100</v>
      </c>
      <c r="F97" s="4">
        <f t="shared" ref="F97:K97" si="25">F61+F44</f>
        <v>0</v>
      </c>
      <c r="G97" s="4">
        <f t="shared" si="25"/>
        <v>0</v>
      </c>
      <c r="H97" s="4">
        <f t="shared" si="25"/>
        <v>0</v>
      </c>
      <c r="I97" s="4">
        <f t="shared" si="25"/>
        <v>0</v>
      </c>
      <c r="J97" s="4">
        <f t="shared" si="25"/>
        <v>8009100</v>
      </c>
      <c r="K97" s="54">
        <f t="shared" si="25"/>
        <v>750000</v>
      </c>
    </row>
    <row r="98" spans="1:12" x14ac:dyDescent="0.2">
      <c r="A98" s="389"/>
      <c r="B98" s="376"/>
      <c r="C98" s="63" t="s">
        <v>2</v>
      </c>
      <c r="D98" s="4">
        <f>D62+D45+D30+D54</f>
        <v>31883770</v>
      </c>
      <c r="E98" s="4">
        <f>E62+E45+E30+E54</f>
        <v>31800770</v>
      </c>
      <c r="F98" s="4">
        <f t="shared" ref="F98:K98" si="26">F62+F45+F30+F54</f>
        <v>0</v>
      </c>
      <c r="G98" s="4">
        <f t="shared" si="26"/>
        <v>0</v>
      </c>
      <c r="H98" s="4">
        <f t="shared" si="26"/>
        <v>0</v>
      </c>
      <c r="I98" s="4">
        <f t="shared" si="26"/>
        <v>0</v>
      </c>
      <c r="J98" s="4">
        <f t="shared" si="26"/>
        <v>31800770</v>
      </c>
      <c r="K98" s="4">
        <f t="shared" si="26"/>
        <v>2942450</v>
      </c>
    </row>
    <row r="99" spans="1:12" x14ac:dyDescent="0.2">
      <c r="A99" s="389"/>
      <c r="B99" s="376"/>
      <c r="C99" s="63" t="s">
        <v>35</v>
      </c>
      <c r="D99" s="4">
        <f>D63</f>
        <v>292100</v>
      </c>
      <c r="E99" s="4">
        <f>E63</f>
        <v>292100</v>
      </c>
      <c r="F99" s="4">
        <f t="shared" ref="F99:K99" si="27">F63</f>
        <v>0</v>
      </c>
      <c r="G99" s="4">
        <f t="shared" si="27"/>
        <v>0</v>
      </c>
      <c r="H99" s="4">
        <f t="shared" si="27"/>
        <v>0</v>
      </c>
      <c r="I99" s="4">
        <f t="shared" si="27"/>
        <v>0</v>
      </c>
      <c r="J99" s="4">
        <f t="shared" si="27"/>
        <v>292100</v>
      </c>
      <c r="K99" s="54">
        <f t="shared" si="27"/>
        <v>6370</v>
      </c>
    </row>
    <row r="100" spans="1:12" x14ac:dyDescent="0.2">
      <c r="A100" s="389"/>
      <c r="B100" s="376"/>
      <c r="C100" s="63" t="s">
        <v>11</v>
      </c>
      <c r="D100" s="4">
        <f>D64+D46+D31</f>
        <v>5188185</v>
      </c>
      <c r="E100" s="4">
        <f>E64+E46+E31</f>
        <v>5188185</v>
      </c>
      <c r="F100" s="4">
        <f t="shared" ref="F100:K100" si="28">F64+F46+F31</f>
        <v>0</v>
      </c>
      <c r="G100" s="4">
        <f t="shared" si="28"/>
        <v>0</v>
      </c>
      <c r="H100" s="4">
        <f t="shared" si="28"/>
        <v>0</v>
      </c>
      <c r="I100" s="4">
        <f t="shared" si="28"/>
        <v>0</v>
      </c>
      <c r="J100" s="4">
        <f t="shared" si="28"/>
        <v>5188185</v>
      </c>
      <c r="K100" s="54">
        <f t="shared" si="28"/>
        <v>99360</v>
      </c>
    </row>
    <row r="101" spans="1:12" x14ac:dyDescent="0.2">
      <c r="A101" s="389"/>
      <c r="B101" s="376"/>
      <c r="C101" s="63" t="s">
        <v>91</v>
      </c>
      <c r="D101" s="4">
        <f>D32</f>
        <v>0</v>
      </c>
      <c r="E101" s="4">
        <f>E32</f>
        <v>83000</v>
      </c>
      <c r="F101" s="4">
        <f t="shared" ref="F101:K101" si="29">F32</f>
        <v>0</v>
      </c>
      <c r="G101" s="4">
        <f t="shared" si="29"/>
        <v>0</v>
      </c>
      <c r="H101" s="4">
        <f t="shared" si="29"/>
        <v>0</v>
      </c>
      <c r="I101" s="4">
        <f t="shared" si="29"/>
        <v>0</v>
      </c>
      <c r="J101" s="4">
        <f t="shared" si="29"/>
        <v>83000</v>
      </c>
      <c r="K101" s="54">
        <f t="shared" si="29"/>
        <v>83000</v>
      </c>
    </row>
    <row r="102" spans="1:12" x14ac:dyDescent="0.2">
      <c r="A102" s="389"/>
      <c r="B102" s="376"/>
      <c r="C102" s="63" t="s">
        <v>12</v>
      </c>
      <c r="D102" s="4">
        <f>D65+D47</f>
        <v>229492</v>
      </c>
      <c r="E102" s="4">
        <f>E65+E47</f>
        <v>229492</v>
      </c>
      <c r="F102" s="4">
        <f t="shared" ref="F102:K102" si="30">F65+F47</f>
        <v>0</v>
      </c>
      <c r="G102" s="4">
        <f t="shared" si="30"/>
        <v>0</v>
      </c>
      <c r="H102" s="4">
        <f t="shared" si="30"/>
        <v>0</v>
      </c>
      <c r="I102" s="4">
        <f t="shared" si="30"/>
        <v>0</v>
      </c>
      <c r="J102" s="4">
        <f t="shared" si="30"/>
        <v>229492</v>
      </c>
      <c r="K102" s="54">
        <f t="shared" si="30"/>
        <v>1600</v>
      </c>
    </row>
    <row r="103" spans="1:12" x14ac:dyDescent="0.2">
      <c r="A103" s="389"/>
      <c r="B103" s="376"/>
      <c r="C103" s="65" t="s">
        <v>95</v>
      </c>
      <c r="D103" s="66">
        <f>D65+D64+D63+D62+D61+D60+D59+D58+D47+D46+D45+D44+D32+D31+D30+D29+D28+D54</f>
        <v>46160517</v>
      </c>
      <c r="E103" s="66">
        <f>E65+E64+E63+E62+E61+E60+E59+E58+E47+E46+E45+E44+E32+E31+E30+E29+E28+E54</f>
        <v>46160517</v>
      </c>
      <c r="F103" s="66">
        <f t="shared" ref="F103:K103" si="31">F65+F64+F63+F62+F61+F60+F59+F58+F47+F46+F45+F44+F32+F31+F30+F29+F28+F54</f>
        <v>0</v>
      </c>
      <c r="G103" s="66">
        <f t="shared" si="31"/>
        <v>0</v>
      </c>
      <c r="H103" s="66">
        <f t="shared" si="31"/>
        <v>0</v>
      </c>
      <c r="I103" s="66">
        <f t="shared" si="31"/>
        <v>0</v>
      </c>
      <c r="J103" s="66">
        <f t="shared" si="31"/>
        <v>46160517</v>
      </c>
      <c r="K103" s="66">
        <f t="shared" si="31"/>
        <v>3882780</v>
      </c>
      <c r="L103" s="1"/>
    </row>
    <row r="104" spans="1:12" x14ac:dyDescent="0.2">
      <c r="A104" s="389"/>
      <c r="B104" s="376"/>
      <c r="C104" s="63" t="s">
        <v>36</v>
      </c>
      <c r="D104" s="4">
        <f>D66</f>
        <v>0</v>
      </c>
      <c r="E104" s="4">
        <f>E66</f>
        <v>0</v>
      </c>
      <c r="F104" s="4">
        <f t="shared" ref="F104:K104" si="32">F66</f>
        <v>0</v>
      </c>
      <c r="G104" s="4">
        <f t="shared" si="32"/>
        <v>0</v>
      </c>
      <c r="H104" s="4">
        <f t="shared" si="32"/>
        <v>0</v>
      </c>
      <c r="I104" s="4">
        <f t="shared" si="32"/>
        <v>0</v>
      </c>
      <c r="J104" s="4">
        <f t="shared" si="32"/>
        <v>0</v>
      </c>
      <c r="K104" s="54">
        <f t="shared" si="32"/>
        <v>0</v>
      </c>
    </row>
    <row r="105" spans="1:12" x14ac:dyDescent="0.2">
      <c r="A105" s="389"/>
      <c r="B105" s="376"/>
      <c r="C105" s="63" t="s">
        <v>23</v>
      </c>
      <c r="D105" s="4">
        <f>D40+D38+D36+D33</f>
        <v>19744030</v>
      </c>
      <c r="E105" s="4">
        <f>E40+E38+E36+E33</f>
        <v>19744030</v>
      </c>
      <c r="F105" s="4">
        <f t="shared" ref="F105:K105" si="33">F40+F38+F36+F33</f>
        <v>0</v>
      </c>
      <c r="G105" s="4">
        <f t="shared" si="33"/>
        <v>0</v>
      </c>
      <c r="H105" s="4">
        <f t="shared" si="33"/>
        <v>0</v>
      </c>
      <c r="I105" s="4">
        <f t="shared" si="33"/>
        <v>0</v>
      </c>
      <c r="J105" s="4">
        <f t="shared" si="33"/>
        <v>19744030</v>
      </c>
      <c r="K105" s="54">
        <f t="shared" si="33"/>
        <v>6930003</v>
      </c>
    </row>
    <row r="106" spans="1:12" x14ac:dyDescent="0.2">
      <c r="A106" s="389"/>
      <c r="B106" s="376"/>
      <c r="C106" s="63" t="s">
        <v>5</v>
      </c>
      <c r="D106" s="4">
        <f>D41+D37+D34</f>
        <v>16308950</v>
      </c>
      <c r="E106" s="4">
        <f>E41+E37+E34</f>
        <v>16308950</v>
      </c>
      <c r="F106" s="4">
        <f t="shared" ref="F106:K106" si="34">F41+F37+F34</f>
        <v>0</v>
      </c>
      <c r="G106" s="4">
        <f t="shared" si="34"/>
        <v>0</v>
      </c>
      <c r="H106" s="4">
        <f t="shared" si="34"/>
        <v>0</v>
      </c>
      <c r="I106" s="4">
        <f t="shared" si="34"/>
        <v>0</v>
      </c>
      <c r="J106" s="4">
        <f t="shared" si="34"/>
        <v>16308950</v>
      </c>
      <c r="K106" s="54">
        <f t="shared" si="34"/>
        <v>4114738</v>
      </c>
    </row>
    <row r="107" spans="1:12" x14ac:dyDescent="0.2">
      <c r="A107" s="389"/>
      <c r="B107" s="376"/>
      <c r="C107" s="65" t="s">
        <v>96</v>
      </c>
      <c r="D107" s="66">
        <f>D41+D40+D38+D37+D36+D34+D33</f>
        <v>36052980</v>
      </c>
      <c r="E107" s="66">
        <f>E41+E40+E38+E37+E36+E34+E33</f>
        <v>36052980</v>
      </c>
      <c r="F107" s="66">
        <f t="shared" ref="F107:K107" si="35">F41+F40+F38+F37+F36+F34+F33</f>
        <v>0</v>
      </c>
      <c r="G107" s="66">
        <f t="shared" si="35"/>
        <v>0</v>
      </c>
      <c r="H107" s="66">
        <f t="shared" si="35"/>
        <v>0</v>
      </c>
      <c r="I107" s="66">
        <f t="shared" si="35"/>
        <v>0</v>
      </c>
      <c r="J107" s="66">
        <f t="shared" si="35"/>
        <v>36052980</v>
      </c>
      <c r="K107" s="77">
        <f t="shared" si="35"/>
        <v>11044741</v>
      </c>
      <c r="L107" s="1"/>
    </row>
    <row r="108" spans="1:12" x14ac:dyDescent="0.2">
      <c r="A108" s="389"/>
      <c r="B108" s="376"/>
      <c r="C108" s="63" t="s">
        <v>31</v>
      </c>
      <c r="D108" s="4">
        <f>D67+D48</f>
        <v>388897</v>
      </c>
      <c r="E108" s="4">
        <f>E67+E48</f>
        <v>388897</v>
      </c>
      <c r="F108" s="4">
        <f t="shared" ref="F108:K108" si="36">F67+F48</f>
        <v>0</v>
      </c>
      <c r="G108" s="4">
        <f t="shared" si="36"/>
        <v>0</v>
      </c>
      <c r="H108" s="4">
        <f t="shared" si="36"/>
        <v>0</v>
      </c>
      <c r="I108" s="4">
        <f t="shared" si="36"/>
        <v>0</v>
      </c>
      <c r="J108" s="4">
        <f t="shared" si="36"/>
        <v>388897</v>
      </c>
      <c r="K108" s="54">
        <f t="shared" si="36"/>
        <v>0</v>
      </c>
    </row>
    <row r="109" spans="1:12" x14ac:dyDescent="0.2">
      <c r="A109" s="389"/>
      <c r="B109" s="376"/>
      <c r="C109" s="63" t="s">
        <v>32</v>
      </c>
      <c r="D109" s="4">
        <f>D49</f>
        <v>0</v>
      </c>
      <c r="E109" s="4">
        <f>E49</f>
        <v>0</v>
      </c>
      <c r="F109" s="4">
        <f t="shared" ref="F109:K109" si="37">F49</f>
        <v>0</v>
      </c>
      <c r="G109" s="4">
        <f t="shared" si="37"/>
        <v>0</v>
      </c>
      <c r="H109" s="4">
        <f t="shared" si="37"/>
        <v>0</v>
      </c>
      <c r="I109" s="4">
        <f t="shared" si="37"/>
        <v>0</v>
      </c>
      <c r="J109" s="4">
        <f t="shared" si="37"/>
        <v>0</v>
      </c>
      <c r="K109" s="54">
        <f t="shared" si="37"/>
        <v>0</v>
      </c>
    </row>
    <row r="110" spans="1:12" x14ac:dyDescent="0.2">
      <c r="A110" s="389"/>
      <c r="B110" s="376"/>
      <c r="C110" s="63" t="s">
        <v>13</v>
      </c>
      <c r="D110" s="4">
        <f t="shared" ref="D110" si="38">D68+D50</f>
        <v>4296741</v>
      </c>
      <c r="E110" s="4">
        <f t="shared" ref="E110:K111" si="39">E68+E50</f>
        <v>4296741</v>
      </c>
      <c r="F110" s="4">
        <f t="shared" si="39"/>
        <v>0</v>
      </c>
      <c r="G110" s="4">
        <f t="shared" si="39"/>
        <v>0</v>
      </c>
      <c r="H110" s="4">
        <f t="shared" si="39"/>
        <v>0</v>
      </c>
      <c r="I110" s="4">
        <f t="shared" si="39"/>
        <v>0</v>
      </c>
      <c r="J110" s="4">
        <f t="shared" si="39"/>
        <v>4296741</v>
      </c>
      <c r="K110" s="54">
        <f t="shared" si="39"/>
        <v>0</v>
      </c>
    </row>
    <row r="111" spans="1:12" x14ac:dyDescent="0.2">
      <c r="A111" s="389"/>
      <c r="B111" s="376"/>
      <c r="C111" s="63" t="s">
        <v>14</v>
      </c>
      <c r="D111" s="4">
        <f t="shared" ref="D111" si="40">D69+D51</f>
        <v>1265122</v>
      </c>
      <c r="E111" s="4">
        <f t="shared" si="39"/>
        <v>1265122</v>
      </c>
      <c r="F111" s="4">
        <f t="shared" si="39"/>
        <v>0</v>
      </c>
      <c r="G111" s="4">
        <f t="shared" si="39"/>
        <v>0</v>
      </c>
      <c r="H111" s="4">
        <f t="shared" si="39"/>
        <v>0</v>
      </c>
      <c r="I111" s="4">
        <f t="shared" si="39"/>
        <v>0</v>
      </c>
      <c r="J111" s="4">
        <f t="shared" si="39"/>
        <v>1265122</v>
      </c>
      <c r="K111" s="54">
        <f t="shared" si="39"/>
        <v>0</v>
      </c>
    </row>
    <row r="112" spans="1:12" x14ac:dyDescent="0.2">
      <c r="A112" s="389"/>
      <c r="B112" s="376"/>
      <c r="C112" s="65" t="s">
        <v>97</v>
      </c>
      <c r="D112" s="66">
        <f>D69+D68+D67+D51+D50+D49+D48</f>
        <v>5950760</v>
      </c>
      <c r="E112" s="66">
        <f>E69+E68+E67+E51+E50+E49+E48</f>
        <v>5950760</v>
      </c>
      <c r="F112" s="66">
        <f t="shared" ref="F112:K112" si="41">F69+F68+F67+F51+F50+F49+F48</f>
        <v>0</v>
      </c>
      <c r="G112" s="66">
        <f t="shared" si="41"/>
        <v>0</v>
      </c>
      <c r="H112" s="66">
        <f t="shared" si="41"/>
        <v>0</v>
      </c>
      <c r="I112" s="66">
        <f t="shared" si="41"/>
        <v>0</v>
      </c>
      <c r="J112" s="66">
        <f t="shared" si="41"/>
        <v>5950760</v>
      </c>
      <c r="K112" s="77">
        <f t="shared" si="41"/>
        <v>0</v>
      </c>
      <c r="L112" s="1"/>
    </row>
    <row r="113" spans="1:12" x14ac:dyDescent="0.2">
      <c r="A113" s="389"/>
      <c r="B113" s="376"/>
      <c r="C113" s="63" t="s">
        <v>15</v>
      </c>
      <c r="D113" s="4">
        <f t="shared" ref="D113" si="42">D70+D52</f>
        <v>4121943</v>
      </c>
      <c r="E113" s="4">
        <f t="shared" ref="E113:K114" si="43">E70+E52</f>
        <v>4121943</v>
      </c>
      <c r="F113" s="4">
        <f t="shared" si="43"/>
        <v>0</v>
      </c>
      <c r="G113" s="4">
        <f t="shared" si="43"/>
        <v>0</v>
      </c>
      <c r="H113" s="4">
        <f t="shared" si="43"/>
        <v>0</v>
      </c>
      <c r="I113" s="4">
        <f t="shared" si="43"/>
        <v>0</v>
      </c>
      <c r="J113" s="4">
        <f t="shared" si="43"/>
        <v>4121943</v>
      </c>
      <c r="K113" s="54">
        <f t="shared" si="43"/>
        <v>2302859</v>
      </c>
    </row>
    <row r="114" spans="1:12" x14ac:dyDescent="0.2">
      <c r="A114" s="389"/>
      <c r="B114" s="376"/>
      <c r="C114" s="63" t="s">
        <v>16</v>
      </c>
      <c r="D114" s="4">
        <f t="shared" ref="D114" si="44">D71+D53</f>
        <v>1112924</v>
      </c>
      <c r="E114" s="4">
        <f t="shared" si="43"/>
        <v>1112924</v>
      </c>
      <c r="F114" s="4">
        <f t="shared" si="43"/>
        <v>0</v>
      </c>
      <c r="G114" s="4">
        <f t="shared" si="43"/>
        <v>0</v>
      </c>
      <c r="H114" s="4">
        <f t="shared" si="43"/>
        <v>0</v>
      </c>
      <c r="I114" s="4">
        <f t="shared" si="43"/>
        <v>0</v>
      </c>
      <c r="J114" s="4">
        <f t="shared" si="43"/>
        <v>1112924</v>
      </c>
      <c r="K114" s="54">
        <f t="shared" si="43"/>
        <v>351957</v>
      </c>
    </row>
    <row r="115" spans="1:12" x14ac:dyDescent="0.2">
      <c r="A115" s="389"/>
      <c r="B115" s="376"/>
      <c r="C115" s="65" t="s">
        <v>98</v>
      </c>
      <c r="D115" s="66">
        <f>D71+D70+D53+D52</f>
        <v>5234867</v>
      </c>
      <c r="E115" s="66">
        <f>E71+E70+E53+E52</f>
        <v>5234867</v>
      </c>
      <c r="F115" s="66">
        <f t="shared" ref="F115:K115" si="45">F71+F70+F53+F52</f>
        <v>0</v>
      </c>
      <c r="G115" s="66">
        <f t="shared" si="45"/>
        <v>0</v>
      </c>
      <c r="H115" s="66">
        <f t="shared" si="45"/>
        <v>0</v>
      </c>
      <c r="I115" s="66">
        <f t="shared" si="45"/>
        <v>0</v>
      </c>
      <c r="J115" s="66">
        <f t="shared" si="45"/>
        <v>5234867</v>
      </c>
      <c r="K115" s="77">
        <f t="shared" si="45"/>
        <v>2654816</v>
      </c>
      <c r="L115" s="1"/>
    </row>
    <row r="116" spans="1:12" x14ac:dyDescent="0.2">
      <c r="A116" s="389"/>
      <c r="B116" s="376"/>
      <c r="C116" s="65" t="s">
        <v>110</v>
      </c>
      <c r="D116" s="66">
        <f>D39</f>
        <v>4500000</v>
      </c>
      <c r="E116" s="66">
        <f t="shared" ref="E116:K116" si="46">E39</f>
        <v>4500000</v>
      </c>
      <c r="F116" s="66">
        <f t="shared" si="46"/>
        <v>0</v>
      </c>
      <c r="G116" s="66">
        <f t="shared" si="46"/>
        <v>0</v>
      </c>
      <c r="H116" s="66">
        <f t="shared" si="46"/>
        <v>0</v>
      </c>
      <c r="I116" s="66">
        <f t="shared" si="46"/>
        <v>0</v>
      </c>
      <c r="J116" s="66">
        <f t="shared" si="46"/>
        <v>4500000</v>
      </c>
      <c r="K116" s="66">
        <f t="shared" si="46"/>
        <v>2200239</v>
      </c>
      <c r="L116" s="1"/>
    </row>
    <row r="117" spans="1:12" x14ac:dyDescent="0.2">
      <c r="A117" s="389"/>
      <c r="B117" s="376"/>
      <c r="C117" s="63" t="s">
        <v>3</v>
      </c>
      <c r="D117" s="67">
        <f>D35</f>
        <v>313437148</v>
      </c>
      <c r="E117" s="67">
        <f>E35</f>
        <v>313437148</v>
      </c>
      <c r="F117" s="67">
        <f t="shared" ref="F117:K117" si="47">F35</f>
        <v>0</v>
      </c>
      <c r="G117" s="67">
        <f t="shared" si="47"/>
        <v>0</v>
      </c>
      <c r="H117" s="67">
        <f t="shared" si="47"/>
        <v>0</v>
      </c>
      <c r="I117" s="67">
        <f t="shared" si="47"/>
        <v>0</v>
      </c>
      <c r="J117" s="67">
        <f t="shared" si="47"/>
        <v>313437148</v>
      </c>
      <c r="K117" s="78">
        <f t="shared" si="47"/>
        <v>101349332</v>
      </c>
      <c r="L117" s="1"/>
    </row>
    <row r="118" spans="1:12" x14ac:dyDescent="0.2">
      <c r="A118" s="390"/>
      <c r="B118" s="391"/>
      <c r="C118" s="65" t="s">
        <v>99</v>
      </c>
      <c r="D118" s="66">
        <f>SUM(D28:D71)</f>
        <v>426209554</v>
      </c>
      <c r="E118" s="66">
        <f>SUM(E28:E71)</f>
        <v>426209554</v>
      </c>
      <c r="F118" s="66">
        <f t="shared" ref="F118:K118" si="48">SUM(F28:F71)</f>
        <v>0</v>
      </c>
      <c r="G118" s="66">
        <f t="shared" si="48"/>
        <v>0</v>
      </c>
      <c r="H118" s="66">
        <f t="shared" si="48"/>
        <v>0</v>
      </c>
      <c r="I118" s="66">
        <f t="shared" si="48"/>
        <v>0</v>
      </c>
      <c r="J118" s="66">
        <f t="shared" si="48"/>
        <v>426209554</v>
      </c>
      <c r="K118" s="77">
        <f t="shared" si="48"/>
        <v>121896508</v>
      </c>
      <c r="L118" s="1"/>
    </row>
    <row r="119" spans="1:12" x14ac:dyDescent="0.2">
      <c r="A119" s="1"/>
      <c r="B119" s="1"/>
      <c r="C119" s="1"/>
      <c r="D119" s="1"/>
      <c r="E119" s="1"/>
      <c r="F119" s="68"/>
      <c r="G119" s="1"/>
      <c r="H119" s="1"/>
      <c r="I119" s="1"/>
      <c r="J119" s="1"/>
      <c r="K119" s="69"/>
      <c r="L119" s="1"/>
    </row>
    <row r="120" spans="1:12" x14ac:dyDescent="0.2">
      <c r="C120" s="5"/>
      <c r="D120" s="5"/>
      <c r="F120" s="2"/>
    </row>
    <row r="121" spans="1:12" x14ac:dyDescent="0.2">
      <c r="C121" s="5"/>
      <c r="D121" s="5"/>
      <c r="F121" s="2"/>
    </row>
  </sheetData>
  <mergeCells count="36">
    <mergeCell ref="A6:A10"/>
    <mergeCell ref="B6:B8"/>
    <mergeCell ref="B9:B10"/>
    <mergeCell ref="A12:A13"/>
    <mergeCell ref="A1:L1"/>
    <mergeCell ref="A4:A5"/>
    <mergeCell ref="B4:B5"/>
    <mergeCell ref="C4:C5"/>
    <mergeCell ref="E4:E5"/>
    <mergeCell ref="F4:I4"/>
    <mergeCell ref="J4:J5"/>
    <mergeCell ref="K4:K5"/>
    <mergeCell ref="L4:L5"/>
    <mergeCell ref="B12:B13"/>
    <mergeCell ref="D4:D5"/>
    <mergeCell ref="B20:B22"/>
    <mergeCell ref="A27:C27"/>
    <mergeCell ref="A28:A35"/>
    <mergeCell ref="B28:B32"/>
    <mergeCell ref="B33:B35"/>
    <mergeCell ref="A15:A19"/>
    <mergeCell ref="B15:B17"/>
    <mergeCell ref="B18:B19"/>
    <mergeCell ref="A78:B118"/>
    <mergeCell ref="A36:A37"/>
    <mergeCell ref="B36:B37"/>
    <mergeCell ref="A38:A39"/>
    <mergeCell ref="B38:B39"/>
    <mergeCell ref="A40:A41"/>
    <mergeCell ref="B40:B41"/>
    <mergeCell ref="A42:A53"/>
    <mergeCell ref="B42:B53"/>
    <mergeCell ref="B55:B71"/>
    <mergeCell ref="A72:C72"/>
    <mergeCell ref="A54:A71"/>
    <mergeCell ref="A20:A23"/>
  </mergeCells>
  <pageMargins left="0.70866141732283472" right="0.70866141732283472" top="0.74803149606299213" bottom="0.74803149606299213" header="0.31496062992125984" footer="0.31496062992125984"/>
  <pageSetup paperSize="8" orientation="landscape" r:id="rId1"/>
  <rowBreaks count="2" manualBreakCount="2">
    <brk id="27" max="16383" man="1"/>
    <brk id="7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5"/>
  <sheetViews>
    <sheetView workbookViewId="0">
      <pane xSplit="2" ySplit="5" topLeftCell="C57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07" t="s">
        <v>82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09" t="s">
        <v>19</v>
      </c>
      <c r="B4" s="411" t="s">
        <v>0</v>
      </c>
      <c r="C4" s="409" t="s">
        <v>44</v>
      </c>
      <c r="D4" s="409" t="s">
        <v>21</v>
      </c>
      <c r="E4" s="413" t="s">
        <v>113</v>
      </c>
      <c r="F4" s="415" t="s">
        <v>116</v>
      </c>
      <c r="G4" s="416"/>
      <c r="H4" s="416"/>
      <c r="I4" s="417"/>
      <c r="J4" s="413" t="s">
        <v>112</v>
      </c>
      <c r="K4" s="418" t="s">
        <v>111</v>
      </c>
      <c r="L4" s="419" t="s">
        <v>114</v>
      </c>
    </row>
    <row r="5" spans="1:12" ht="32.25" customHeight="1" x14ac:dyDescent="0.2">
      <c r="A5" s="410"/>
      <c r="B5" s="412"/>
      <c r="C5" s="410"/>
      <c r="D5" s="410"/>
      <c r="E5" s="414"/>
      <c r="F5" s="89" t="s">
        <v>43</v>
      </c>
      <c r="G5" s="93" t="s">
        <v>118</v>
      </c>
      <c r="H5" s="93" t="s">
        <v>119</v>
      </c>
      <c r="I5" s="93" t="s">
        <v>120</v>
      </c>
      <c r="J5" s="414"/>
      <c r="K5" s="418"/>
      <c r="L5" s="419"/>
    </row>
    <row r="6" spans="1:12" x14ac:dyDescent="0.2">
      <c r="A6" s="370" t="s">
        <v>38</v>
      </c>
      <c r="B6" s="378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370"/>
      <c r="B7" s="378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7" si="0">SUM(E7:I7)</f>
        <v>0</v>
      </c>
      <c r="K7" s="103">
        <v>0</v>
      </c>
      <c r="L7" s="4">
        <f t="shared" ref="L7:L27" si="1">J7-K7</f>
        <v>0</v>
      </c>
    </row>
    <row r="8" spans="1:12" x14ac:dyDescent="0.2">
      <c r="A8" s="370"/>
      <c r="B8" s="378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796</v>
      </c>
      <c r="L8" s="4">
        <f t="shared" si="1"/>
        <v>704</v>
      </c>
    </row>
    <row r="9" spans="1:12" x14ac:dyDescent="0.2">
      <c r="A9" s="370"/>
      <c r="B9" s="379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>
        <v>6029120</v>
      </c>
      <c r="I9" s="38">
        <v>12724484</v>
      </c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370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5033739</v>
      </c>
      <c r="L11" s="4">
        <f t="shared" si="1"/>
        <v>11225211</v>
      </c>
    </row>
    <row r="12" spans="1:12" x14ac:dyDescent="0.2">
      <c r="A12" s="339" t="s">
        <v>50</v>
      </c>
      <c r="B12" s="341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3482094</v>
      </c>
      <c r="L12" s="4">
        <f t="shared" si="1"/>
        <v>3523169</v>
      </c>
    </row>
    <row r="13" spans="1:12" x14ac:dyDescent="0.2">
      <c r="A13" s="340"/>
      <c r="B13" s="342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3706121</v>
      </c>
      <c r="L13" s="4">
        <f t="shared" si="1"/>
        <v>793879</v>
      </c>
    </row>
    <row r="14" spans="1:12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7212167</v>
      </c>
      <c r="L14" s="4">
        <f t="shared" si="1"/>
        <v>12534333</v>
      </c>
    </row>
    <row r="15" spans="1:12" x14ac:dyDescent="0.2">
      <c r="A15" s="339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67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67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67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67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48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349"/>
      <c r="B21" s="382"/>
      <c r="C21" s="41" t="s">
        <v>37</v>
      </c>
      <c r="D21" s="42">
        <v>0</v>
      </c>
      <c r="E21" s="42">
        <v>0</v>
      </c>
      <c r="F21" s="43"/>
      <c r="G21" s="38">
        <f>112037+542544</f>
        <v>654581</v>
      </c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49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49"/>
      <c r="B23" s="341" t="s">
        <v>17</v>
      </c>
      <c r="C23" s="41" t="s">
        <v>41</v>
      </c>
      <c r="D23" s="42">
        <v>0</v>
      </c>
      <c r="E23" s="42">
        <v>0</v>
      </c>
      <c r="F23" s="43">
        <v>100</v>
      </c>
      <c r="G23" s="38"/>
      <c r="H23" s="38"/>
      <c r="I23" s="38"/>
      <c r="J23" s="4">
        <f t="shared" si="0"/>
        <v>100</v>
      </c>
      <c r="K23" s="103">
        <v>100</v>
      </c>
      <c r="L23" s="4">
        <f t="shared" si="1"/>
        <v>0</v>
      </c>
    </row>
    <row r="24" spans="1:12" x14ac:dyDescent="0.2">
      <c r="A24" s="350"/>
      <c r="B24" s="342"/>
      <c r="C24" s="41" t="s">
        <v>40</v>
      </c>
      <c r="D24" s="42">
        <v>800</v>
      </c>
      <c r="E24" s="42">
        <v>800</v>
      </c>
      <c r="F24" s="43">
        <v>-100</v>
      </c>
      <c r="G24" s="38"/>
      <c r="H24" s="38"/>
      <c r="I24" s="38"/>
      <c r="J24" s="4">
        <f t="shared" si="0"/>
        <v>700</v>
      </c>
      <c r="K24" s="103">
        <v>0</v>
      </c>
      <c r="L24" s="4">
        <f t="shared" si="1"/>
        <v>700</v>
      </c>
    </row>
    <row r="25" spans="1:12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51">
        <v>260269918</v>
      </c>
      <c r="F25" s="43"/>
      <c r="G25" s="38"/>
      <c r="H25" s="38"/>
      <c r="I25" s="38"/>
      <c r="J25" s="4">
        <f t="shared" si="0"/>
        <v>260269918</v>
      </c>
      <c r="K25" s="103">
        <v>114017683</v>
      </c>
      <c r="L25" s="4">
        <f t="shared" si="1"/>
        <v>146252235</v>
      </c>
    </row>
    <row r="26" spans="1:12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51">
        <v>3196558</v>
      </c>
      <c r="F26" s="43"/>
      <c r="G26" s="38"/>
      <c r="H26" s="38"/>
      <c r="I26" s="38"/>
      <c r="J26" s="4">
        <f t="shared" si="0"/>
        <v>3196558</v>
      </c>
      <c r="K26" s="103">
        <v>1014769</v>
      </c>
      <c r="L26" s="4">
        <f t="shared" si="1"/>
        <v>2181789</v>
      </c>
    </row>
    <row r="27" spans="1:12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2">
        <v>47502672</v>
      </c>
      <c r="F27" s="43"/>
      <c r="G27" s="38"/>
      <c r="H27" s="38"/>
      <c r="I27" s="38"/>
      <c r="J27" s="4">
        <f t="shared" si="0"/>
        <v>47502672</v>
      </c>
      <c r="K27" s="103">
        <v>18429678</v>
      </c>
      <c r="L27" s="4">
        <f t="shared" si="1"/>
        <v>29072994</v>
      </c>
    </row>
    <row r="28" spans="1:12" ht="34.5" customHeight="1" x14ac:dyDescent="0.2">
      <c r="A28" s="420" t="s">
        <v>85</v>
      </c>
      <c r="B28" s="421"/>
      <c r="C28" s="422"/>
      <c r="D28" s="90">
        <f>SUM(D6:D27)</f>
        <v>426209554</v>
      </c>
      <c r="E28" s="90">
        <f t="shared" ref="E28:I28" si="2">SUM(E6:E27)</f>
        <v>426209554</v>
      </c>
      <c r="F28" s="90">
        <f t="shared" si="2"/>
        <v>0</v>
      </c>
      <c r="G28" s="90">
        <f t="shared" si="2"/>
        <v>654581</v>
      </c>
      <c r="H28" s="90">
        <f t="shared" si="2"/>
        <v>6029120</v>
      </c>
      <c r="I28" s="90">
        <f t="shared" si="2"/>
        <v>12724484</v>
      </c>
      <c r="J28" s="90">
        <f t="shared" ref="J28:L28" si="3">SUM(J6:J27)</f>
        <v>445617739</v>
      </c>
      <c r="K28" s="104">
        <f t="shared" si="3"/>
        <v>181993126</v>
      </c>
      <c r="L28" s="90">
        <f t="shared" si="3"/>
        <v>263624613</v>
      </c>
    </row>
    <row r="29" spans="1:12" x14ac:dyDescent="0.2">
      <c r="A29" s="339" t="s">
        <v>18</v>
      </c>
      <c r="B29" s="368" t="s">
        <v>1</v>
      </c>
      <c r="C29" s="41" t="s">
        <v>22</v>
      </c>
      <c r="D29" s="44">
        <v>24000</v>
      </c>
      <c r="E29" s="44">
        <v>24000</v>
      </c>
      <c r="F29" s="45"/>
      <c r="G29" s="38"/>
      <c r="H29" s="38"/>
      <c r="I29" s="38"/>
      <c r="J29" s="147">
        <f t="shared" ref="J29:J74" si="4">SUM(E29:I29)</f>
        <v>24000</v>
      </c>
      <c r="K29" s="105">
        <v>0</v>
      </c>
      <c r="L29" s="4">
        <f t="shared" ref="L29:L74" si="5">J29-K29</f>
        <v>24000</v>
      </c>
    </row>
    <row r="30" spans="1:12" x14ac:dyDescent="0.2">
      <c r="A30" s="367"/>
      <c r="B30" s="369"/>
      <c r="C30" s="41" t="s">
        <v>89</v>
      </c>
      <c r="D30" s="38">
        <v>1870</v>
      </c>
      <c r="E30" s="38">
        <v>1870</v>
      </c>
      <c r="F30" s="40"/>
      <c r="G30" s="38"/>
      <c r="H30" s="38"/>
      <c r="I30" s="38"/>
      <c r="J30" s="147">
        <f t="shared" si="4"/>
        <v>1870</v>
      </c>
      <c r="K30" s="105">
        <v>0</v>
      </c>
      <c r="L30" s="4">
        <f t="shared" si="5"/>
        <v>1870</v>
      </c>
    </row>
    <row r="31" spans="1:12" x14ac:dyDescent="0.2">
      <c r="A31" s="367"/>
      <c r="B31" s="369"/>
      <c r="C31" s="39" t="s">
        <v>2</v>
      </c>
      <c r="D31" s="38">
        <v>17684057</v>
      </c>
      <c r="E31" s="38">
        <v>17601057</v>
      </c>
      <c r="F31" s="40">
        <v>-26342</v>
      </c>
      <c r="G31" s="38"/>
      <c r="H31" s="38"/>
      <c r="I31" s="38"/>
      <c r="J31" s="147">
        <f t="shared" si="4"/>
        <v>17574715</v>
      </c>
      <c r="K31" s="105">
        <v>3367975</v>
      </c>
      <c r="L31" s="4">
        <f t="shared" si="5"/>
        <v>14206740</v>
      </c>
    </row>
    <row r="32" spans="1:12" x14ac:dyDescent="0.2">
      <c r="A32" s="367"/>
      <c r="B32" s="369"/>
      <c r="C32" s="39" t="s">
        <v>117</v>
      </c>
      <c r="D32" s="38">
        <v>0</v>
      </c>
      <c r="E32" s="38">
        <v>0</v>
      </c>
      <c r="F32" s="40">
        <v>24420</v>
      </c>
      <c r="G32" s="38"/>
      <c r="H32" s="38"/>
      <c r="I32" s="38"/>
      <c r="J32" s="147">
        <f t="shared" si="4"/>
        <v>24420</v>
      </c>
      <c r="K32" s="105">
        <v>24420</v>
      </c>
      <c r="L32" s="4">
        <f t="shared" si="5"/>
        <v>0</v>
      </c>
    </row>
    <row r="33" spans="1:12" x14ac:dyDescent="0.2">
      <c r="A33" s="367"/>
      <c r="B33" s="369"/>
      <c r="C33" s="41" t="s">
        <v>11</v>
      </c>
      <c r="D33" s="38">
        <v>60264</v>
      </c>
      <c r="E33" s="38">
        <v>60264</v>
      </c>
      <c r="F33" s="40">
        <v>1922</v>
      </c>
      <c r="G33" s="38"/>
      <c r="H33" s="38"/>
      <c r="I33" s="38"/>
      <c r="J33" s="147">
        <f t="shared" si="4"/>
        <v>62186</v>
      </c>
      <c r="K33" s="105">
        <v>53681</v>
      </c>
      <c r="L33" s="4">
        <f t="shared" si="5"/>
        <v>8505</v>
      </c>
    </row>
    <row r="34" spans="1:12" x14ac:dyDescent="0.2">
      <c r="A34" s="367"/>
      <c r="B34" s="423"/>
      <c r="C34" s="41" t="s">
        <v>91</v>
      </c>
      <c r="D34" s="38">
        <v>0</v>
      </c>
      <c r="E34" s="38">
        <v>83000</v>
      </c>
      <c r="F34" s="40"/>
      <c r="G34" s="38"/>
      <c r="H34" s="38"/>
      <c r="I34" s="38"/>
      <c r="J34" s="147">
        <f t="shared" si="4"/>
        <v>83000</v>
      </c>
      <c r="K34" s="105">
        <v>83000</v>
      </c>
      <c r="L34" s="4">
        <f t="shared" si="5"/>
        <v>0</v>
      </c>
    </row>
    <row r="35" spans="1:12" x14ac:dyDescent="0.2">
      <c r="A35" s="367"/>
      <c r="B35" s="341" t="s">
        <v>4</v>
      </c>
      <c r="C35" s="41" t="s">
        <v>23</v>
      </c>
      <c r="D35" s="38">
        <v>2267</v>
      </c>
      <c r="E35" s="38">
        <v>2267</v>
      </c>
      <c r="F35" s="40"/>
      <c r="G35" s="38"/>
      <c r="H35" s="38"/>
      <c r="I35" s="38"/>
      <c r="J35" s="147">
        <f t="shared" si="4"/>
        <v>2267</v>
      </c>
      <c r="K35" s="105">
        <v>2267</v>
      </c>
      <c r="L35" s="4">
        <f t="shared" si="5"/>
        <v>0</v>
      </c>
    </row>
    <row r="36" spans="1:12" x14ac:dyDescent="0.2">
      <c r="A36" s="367"/>
      <c r="B36" s="383"/>
      <c r="C36" s="41" t="s">
        <v>5</v>
      </c>
      <c r="D36" s="42">
        <v>0</v>
      </c>
      <c r="E36" s="42">
        <v>0</v>
      </c>
      <c r="F36" s="45"/>
      <c r="G36" s="38"/>
      <c r="H36" s="38"/>
      <c r="I36" s="38"/>
      <c r="J36" s="147">
        <f t="shared" si="4"/>
        <v>0</v>
      </c>
      <c r="K36" s="105">
        <v>0</v>
      </c>
      <c r="L36" s="4">
        <f t="shared" si="5"/>
        <v>0</v>
      </c>
    </row>
    <row r="37" spans="1:12" x14ac:dyDescent="0.2">
      <c r="A37" s="367"/>
      <c r="B37" s="383"/>
      <c r="C37" s="39" t="s">
        <v>3</v>
      </c>
      <c r="D37" s="38">
        <v>313437148</v>
      </c>
      <c r="E37" s="38">
        <v>313437148</v>
      </c>
      <c r="F37" s="43"/>
      <c r="G37" s="38"/>
      <c r="H37" s="38">
        <v>6029120</v>
      </c>
      <c r="I37" s="38">
        <v>12724484</v>
      </c>
      <c r="J37" s="147">
        <f t="shared" si="4"/>
        <v>332190752</v>
      </c>
      <c r="K37" s="105">
        <v>127347864</v>
      </c>
      <c r="L37" s="4">
        <f t="shared" si="5"/>
        <v>204842888</v>
      </c>
    </row>
    <row r="38" spans="1:12" x14ac:dyDescent="0.2">
      <c r="A38" s="339" t="s">
        <v>20</v>
      </c>
      <c r="B38" s="368" t="s">
        <v>6</v>
      </c>
      <c r="C38" s="41" t="s">
        <v>23</v>
      </c>
      <c r="D38" s="42">
        <v>0</v>
      </c>
      <c r="E38" s="42">
        <v>0</v>
      </c>
      <c r="F38" s="45"/>
      <c r="G38" s="38"/>
      <c r="H38" s="38"/>
      <c r="I38" s="38"/>
      <c r="J38" s="147">
        <f t="shared" si="4"/>
        <v>0</v>
      </c>
      <c r="K38" s="105">
        <v>0</v>
      </c>
      <c r="L38" s="4">
        <f t="shared" si="5"/>
        <v>0</v>
      </c>
    </row>
    <row r="39" spans="1:12" x14ac:dyDescent="0.2">
      <c r="A39" s="358"/>
      <c r="B39" s="369"/>
      <c r="C39" s="39" t="s">
        <v>5</v>
      </c>
      <c r="D39" s="38">
        <v>16258950</v>
      </c>
      <c r="E39" s="38">
        <v>16258950</v>
      </c>
      <c r="F39" s="43"/>
      <c r="G39" s="38"/>
      <c r="H39" s="38"/>
      <c r="I39" s="38"/>
      <c r="J39" s="147">
        <f t="shared" si="4"/>
        <v>16258950</v>
      </c>
      <c r="K39" s="105">
        <v>5419651</v>
      </c>
      <c r="L39" s="4">
        <f t="shared" si="5"/>
        <v>10839299</v>
      </c>
    </row>
    <row r="40" spans="1:12" x14ac:dyDescent="0.2">
      <c r="A40" s="339" t="s">
        <v>24</v>
      </c>
      <c r="B40" s="341" t="s">
        <v>4</v>
      </c>
      <c r="C40" s="41" t="s">
        <v>23</v>
      </c>
      <c r="D40" s="38">
        <v>7005263</v>
      </c>
      <c r="E40" s="38">
        <v>7005263</v>
      </c>
      <c r="F40" s="40"/>
      <c r="G40" s="38"/>
      <c r="H40" s="38"/>
      <c r="I40" s="38"/>
      <c r="J40" s="147">
        <f t="shared" si="4"/>
        <v>7005263</v>
      </c>
      <c r="K40" s="105">
        <v>1842527</v>
      </c>
      <c r="L40" s="4">
        <f t="shared" si="5"/>
        <v>5162736</v>
      </c>
    </row>
    <row r="41" spans="1:12" x14ac:dyDescent="0.2">
      <c r="A41" s="340"/>
      <c r="B41" s="342"/>
      <c r="C41" s="41" t="s">
        <v>90</v>
      </c>
      <c r="D41" s="38">
        <v>4500000</v>
      </c>
      <c r="E41" s="38">
        <v>4500000</v>
      </c>
      <c r="F41" s="40"/>
      <c r="G41" s="38"/>
      <c r="H41" s="38"/>
      <c r="I41" s="38"/>
      <c r="J41" s="147">
        <f t="shared" si="4"/>
        <v>4500000</v>
      </c>
      <c r="K41" s="105">
        <v>2200239</v>
      </c>
      <c r="L41" s="4">
        <f t="shared" si="5"/>
        <v>2299761</v>
      </c>
    </row>
    <row r="42" spans="1:12" x14ac:dyDescent="0.2">
      <c r="A42" s="339" t="s">
        <v>30</v>
      </c>
      <c r="B42" s="341" t="s">
        <v>4</v>
      </c>
      <c r="C42" s="41" t="s">
        <v>23</v>
      </c>
      <c r="D42" s="38">
        <v>12736500</v>
      </c>
      <c r="E42" s="38">
        <v>12736500</v>
      </c>
      <c r="F42" s="40"/>
      <c r="G42" s="38"/>
      <c r="H42" s="38"/>
      <c r="I42" s="38"/>
      <c r="J42" s="147">
        <f t="shared" si="4"/>
        <v>12736500</v>
      </c>
      <c r="K42" s="105">
        <v>5085209</v>
      </c>
      <c r="L42" s="4">
        <f t="shared" si="5"/>
        <v>7651291</v>
      </c>
    </row>
    <row r="43" spans="1:12" x14ac:dyDescent="0.2">
      <c r="A43" s="340"/>
      <c r="B43" s="342"/>
      <c r="C43" s="41" t="s">
        <v>5</v>
      </c>
      <c r="D43" s="38">
        <v>50000</v>
      </c>
      <c r="E43" s="38">
        <v>50000</v>
      </c>
      <c r="F43" s="40"/>
      <c r="G43" s="38"/>
      <c r="H43" s="38"/>
      <c r="I43" s="38"/>
      <c r="J43" s="147">
        <f t="shared" si="4"/>
        <v>50000</v>
      </c>
      <c r="K43" s="105">
        <v>50000</v>
      </c>
      <c r="L43" s="4">
        <f t="shared" si="5"/>
        <v>0</v>
      </c>
    </row>
    <row r="44" spans="1:12" x14ac:dyDescent="0.2">
      <c r="A44" s="339" t="s">
        <v>48</v>
      </c>
      <c r="B44" s="368" t="s">
        <v>8</v>
      </c>
      <c r="C44" s="39" t="s">
        <v>7</v>
      </c>
      <c r="D44" s="38">
        <v>0</v>
      </c>
      <c r="E44" s="38">
        <v>0</v>
      </c>
      <c r="F44" s="43"/>
      <c r="G44" s="38"/>
      <c r="H44" s="38"/>
      <c r="I44" s="38"/>
      <c r="J44" s="147">
        <f t="shared" si="4"/>
        <v>0</v>
      </c>
      <c r="K44" s="105">
        <v>0</v>
      </c>
      <c r="L44" s="4">
        <f t="shared" si="5"/>
        <v>0</v>
      </c>
    </row>
    <row r="45" spans="1:12" x14ac:dyDescent="0.2">
      <c r="A45" s="367"/>
      <c r="B45" s="369"/>
      <c r="C45" s="39" t="s">
        <v>9</v>
      </c>
      <c r="D45" s="38">
        <v>0</v>
      </c>
      <c r="E45" s="38">
        <v>0</v>
      </c>
      <c r="F45" s="43"/>
      <c r="G45" s="38"/>
      <c r="H45" s="38"/>
      <c r="I45" s="38"/>
      <c r="J45" s="147">
        <f t="shared" si="4"/>
        <v>0</v>
      </c>
      <c r="K45" s="105">
        <v>0</v>
      </c>
      <c r="L45" s="4">
        <f t="shared" si="5"/>
        <v>0</v>
      </c>
    </row>
    <row r="46" spans="1:12" x14ac:dyDescent="0.2">
      <c r="A46" s="367"/>
      <c r="B46" s="369"/>
      <c r="C46" s="39" t="s">
        <v>10</v>
      </c>
      <c r="D46" s="38">
        <v>0</v>
      </c>
      <c r="E46" s="38">
        <v>0</v>
      </c>
      <c r="F46" s="40"/>
      <c r="G46" s="38"/>
      <c r="H46" s="38"/>
      <c r="I46" s="38"/>
      <c r="J46" s="147">
        <f t="shared" si="4"/>
        <v>0</v>
      </c>
      <c r="K46" s="105">
        <v>0</v>
      </c>
      <c r="L46" s="4">
        <f t="shared" si="5"/>
        <v>0</v>
      </c>
    </row>
    <row r="47" spans="1:12" x14ac:dyDescent="0.2">
      <c r="A47" s="367"/>
      <c r="B47" s="369"/>
      <c r="C47" s="39" t="s">
        <v>2</v>
      </c>
      <c r="D47" s="38">
        <v>199713</v>
      </c>
      <c r="E47" s="38">
        <v>199713</v>
      </c>
      <c r="F47" s="43">
        <v>-100000</v>
      </c>
      <c r="G47" s="38"/>
      <c r="H47" s="38"/>
      <c r="I47" s="38"/>
      <c r="J47" s="147">
        <f t="shared" si="4"/>
        <v>99713</v>
      </c>
      <c r="K47" s="105">
        <v>0</v>
      </c>
      <c r="L47" s="4">
        <f t="shared" si="5"/>
        <v>99713</v>
      </c>
    </row>
    <row r="48" spans="1:12" x14ac:dyDescent="0.2">
      <c r="A48" s="367"/>
      <c r="B48" s="369"/>
      <c r="C48" s="39" t="s">
        <v>11</v>
      </c>
      <c r="D48" s="38">
        <v>0</v>
      </c>
      <c r="E48" s="38">
        <v>0</v>
      </c>
      <c r="F48" s="40"/>
      <c r="G48" s="38"/>
      <c r="H48" s="38"/>
      <c r="I48" s="38"/>
      <c r="J48" s="147">
        <f t="shared" si="4"/>
        <v>0</v>
      </c>
      <c r="K48" s="105">
        <v>0</v>
      </c>
      <c r="L48" s="4">
        <f t="shared" si="5"/>
        <v>0</v>
      </c>
    </row>
    <row r="49" spans="1:12" x14ac:dyDescent="0.2">
      <c r="A49" s="367"/>
      <c r="B49" s="369"/>
      <c r="C49" s="39" t="s">
        <v>12</v>
      </c>
      <c r="D49" s="38">
        <v>0</v>
      </c>
      <c r="E49" s="38">
        <v>0</v>
      </c>
      <c r="F49" s="43">
        <v>100000</v>
      </c>
      <c r="G49" s="38"/>
      <c r="H49" s="38"/>
      <c r="I49" s="38"/>
      <c r="J49" s="147">
        <f t="shared" si="4"/>
        <v>100000</v>
      </c>
      <c r="K49" s="105">
        <v>100000</v>
      </c>
      <c r="L49" s="4">
        <f t="shared" si="5"/>
        <v>0</v>
      </c>
    </row>
    <row r="50" spans="1:12" x14ac:dyDescent="0.2">
      <c r="A50" s="367"/>
      <c r="B50" s="369"/>
      <c r="C50" s="41" t="s">
        <v>31</v>
      </c>
      <c r="D50" s="38">
        <v>0</v>
      </c>
      <c r="E50" s="38">
        <v>0</v>
      </c>
      <c r="F50" s="43"/>
      <c r="G50" s="38"/>
      <c r="H50" s="38"/>
      <c r="I50" s="38"/>
      <c r="J50" s="147">
        <f t="shared" si="4"/>
        <v>0</v>
      </c>
      <c r="K50" s="105">
        <v>0</v>
      </c>
      <c r="L50" s="4">
        <f t="shared" si="5"/>
        <v>0</v>
      </c>
    </row>
    <row r="51" spans="1:12" x14ac:dyDescent="0.2">
      <c r="A51" s="367"/>
      <c r="B51" s="369"/>
      <c r="C51" s="41" t="s">
        <v>32</v>
      </c>
      <c r="D51" s="38">
        <v>0</v>
      </c>
      <c r="E51" s="38">
        <v>0</v>
      </c>
      <c r="F51" s="43"/>
      <c r="G51" s="38"/>
      <c r="H51" s="38"/>
      <c r="I51" s="38"/>
      <c r="J51" s="147">
        <f t="shared" si="4"/>
        <v>0</v>
      </c>
      <c r="K51" s="105">
        <v>0</v>
      </c>
      <c r="L51" s="4">
        <f t="shared" si="5"/>
        <v>0</v>
      </c>
    </row>
    <row r="52" spans="1:12" x14ac:dyDescent="0.2">
      <c r="A52" s="367"/>
      <c r="B52" s="369"/>
      <c r="C52" s="39" t="s">
        <v>13</v>
      </c>
      <c r="D52" s="38">
        <v>0</v>
      </c>
      <c r="E52" s="38">
        <v>0</v>
      </c>
      <c r="F52" s="43"/>
      <c r="G52" s="38"/>
      <c r="H52" s="38"/>
      <c r="I52" s="38"/>
      <c r="J52" s="147">
        <f t="shared" si="4"/>
        <v>0</v>
      </c>
      <c r="K52" s="105">
        <v>0</v>
      </c>
      <c r="L52" s="4">
        <f t="shared" si="5"/>
        <v>0</v>
      </c>
    </row>
    <row r="53" spans="1:12" x14ac:dyDescent="0.2">
      <c r="A53" s="367"/>
      <c r="B53" s="369"/>
      <c r="C53" s="39" t="s">
        <v>14</v>
      </c>
      <c r="D53" s="38">
        <v>0</v>
      </c>
      <c r="E53" s="38">
        <v>0</v>
      </c>
      <c r="F53" s="43"/>
      <c r="G53" s="38"/>
      <c r="H53" s="38"/>
      <c r="I53" s="38"/>
      <c r="J53" s="147">
        <f t="shared" si="4"/>
        <v>0</v>
      </c>
      <c r="K53" s="105">
        <v>0</v>
      </c>
      <c r="L53" s="4">
        <f t="shared" si="5"/>
        <v>0</v>
      </c>
    </row>
    <row r="54" spans="1:12" x14ac:dyDescent="0.2">
      <c r="A54" s="367"/>
      <c r="B54" s="369"/>
      <c r="C54" s="39" t="s">
        <v>15</v>
      </c>
      <c r="D54" s="38">
        <v>0</v>
      </c>
      <c r="E54" s="38">
        <v>0</v>
      </c>
      <c r="F54" s="43"/>
      <c r="G54" s="38"/>
      <c r="H54" s="38"/>
      <c r="I54" s="38"/>
      <c r="J54" s="147">
        <f t="shared" si="4"/>
        <v>0</v>
      </c>
      <c r="K54" s="105">
        <v>0</v>
      </c>
      <c r="L54" s="4">
        <f t="shared" si="5"/>
        <v>0</v>
      </c>
    </row>
    <row r="55" spans="1:12" x14ac:dyDescent="0.2">
      <c r="A55" s="367"/>
      <c r="B55" s="369"/>
      <c r="C55" s="39" t="s">
        <v>16</v>
      </c>
      <c r="D55" s="38">
        <v>0</v>
      </c>
      <c r="E55" s="38">
        <v>0</v>
      </c>
      <c r="F55" s="43"/>
      <c r="G55" s="38"/>
      <c r="H55" s="38"/>
      <c r="I55" s="38"/>
      <c r="J55" s="147">
        <f t="shared" si="4"/>
        <v>0</v>
      </c>
      <c r="K55" s="105">
        <v>0</v>
      </c>
      <c r="L55" s="4">
        <f t="shared" si="5"/>
        <v>0</v>
      </c>
    </row>
    <row r="56" spans="1:12" x14ac:dyDescent="0.2">
      <c r="A56" s="393" t="s">
        <v>49</v>
      </c>
      <c r="B56" s="95" t="s">
        <v>1</v>
      </c>
      <c r="C56" s="39" t="s">
        <v>2</v>
      </c>
      <c r="D56" s="39">
        <v>0</v>
      </c>
      <c r="E56" s="38">
        <v>8</v>
      </c>
      <c r="F56" s="43"/>
      <c r="G56" s="38"/>
      <c r="H56" s="38"/>
      <c r="I56" s="38"/>
      <c r="J56" s="147">
        <f t="shared" si="4"/>
        <v>8</v>
      </c>
      <c r="K56" s="105">
        <v>8</v>
      </c>
      <c r="L56" s="4">
        <f t="shared" si="5"/>
        <v>0</v>
      </c>
    </row>
    <row r="57" spans="1:12" ht="12.75" customHeight="1" x14ac:dyDescent="0.2">
      <c r="A57" s="394"/>
      <c r="B57" s="392" t="s">
        <v>17</v>
      </c>
      <c r="C57" s="39" t="s">
        <v>7</v>
      </c>
      <c r="D57" s="38">
        <v>970000</v>
      </c>
      <c r="E57" s="38">
        <v>970000</v>
      </c>
      <c r="F57" s="40"/>
      <c r="G57" s="38"/>
      <c r="H57" s="38"/>
      <c r="I57" s="38"/>
      <c r="J57" s="147">
        <f t="shared" si="4"/>
        <v>970000</v>
      </c>
      <c r="K57" s="105">
        <v>350000</v>
      </c>
      <c r="L57" s="4">
        <f t="shared" si="5"/>
        <v>620000</v>
      </c>
    </row>
    <row r="58" spans="1:12" x14ac:dyDescent="0.2">
      <c r="A58" s="394"/>
      <c r="B58" s="392"/>
      <c r="C58" s="41" t="s">
        <v>88</v>
      </c>
      <c r="D58" s="38">
        <v>10791000</v>
      </c>
      <c r="E58" s="38">
        <v>10791000</v>
      </c>
      <c r="F58" s="40"/>
      <c r="G58" s="38"/>
      <c r="H58" s="38"/>
      <c r="I58" s="38"/>
      <c r="J58" s="147">
        <f t="shared" si="4"/>
        <v>10791000</v>
      </c>
      <c r="K58" s="105">
        <v>532000</v>
      </c>
      <c r="L58" s="4">
        <f t="shared" si="5"/>
        <v>10259000</v>
      </c>
    </row>
    <row r="59" spans="1:12" x14ac:dyDescent="0.2">
      <c r="A59" s="394"/>
      <c r="B59" s="392"/>
      <c r="C59" s="39" t="s">
        <v>9</v>
      </c>
      <c r="D59" s="38">
        <v>3112282</v>
      </c>
      <c r="E59" s="38">
        <v>3112282</v>
      </c>
      <c r="F59" s="40"/>
      <c r="G59" s="38"/>
      <c r="H59" s="38"/>
      <c r="I59" s="38"/>
      <c r="J59" s="147">
        <f t="shared" si="4"/>
        <v>3112282</v>
      </c>
      <c r="K59" s="105">
        <v>68250</v>
      </c>
      <c r="L59" s="4">
        <f t="shared" si="5"/>
        <v>3044032</v>
      </c>
    </row>
    <row r="60" spans="1:12" x14ac:dyDescent="0.2">
      <c r="A60" s="394"/>
      <c r="B60" s="392"/>
      <c r="C60" s="41" t="s">
        <v>22</v>
      </c>
      <c r="D60" s="38">
        <v>230000</v>
      </c>
      <c r="E60" s="38">
        <v>230000</v>
      </c>
      <c r="F60" s="40"/>
      <c r="G60" s="38"/>
      <c r="H60" s="38"/>
      <c r="I60" s="38"/>
      <c r="J60" s="147">
        <f t="shared" si="4"/>
        <v>230000</v>
      </c>
      <c r="K60" s="105">
        <v>0</v>
      </c>
      <c r="L60" s="4">
        <f t="shared" si="5"/>
        <v>230000</v>
      </c>
    </row>
    <row r="61" spans="1:12" x14ac:dyDescent="0.2">
      <c r="A61" s="394"/>
      <c r="B61" s="392"/>
      <c r="C61" s="41" t="s">
        <v>33</v>
      </c>
      <c r="D61" s="38">
        <v>72000</v>
      </c>
      <c r="E61" s="38">
        <v>72000</v>
      </c>
      <c r="F61" s="40"/>
      <c r="G61" s="38"/>
      <c r="H61" s="38"/>
      <c r="I61" s="38"/>
      <c r="J61" s="147">
        <f t="shared" si="4"/>
        <v>72000</v>
      </c>
      <c r="K61" s="105">
        <v>0</v>
      </c>
      <c r="L61" s="4">
        <f t="shared" si="5"/>
        <v>72000</v>
      </c>
    </row>
    <row r="62" spans="1:12" x14ac:dyDescent="0.2">
      <c r="A62" s="394"/>
      <c r="B62" s="392"/>
      <c r="C62" s="41" t="s">
        <v>34</v>
      </c>
      <c r="D62" s="38">
        <v>230000</v>
      </c>
      <c r="E62" s="38">
        <v>230000</v>
      </c>
      <c r="F62" s="40"/>
      <c r="G62" s="38"/>
      <c r="H62" s="38"/>
      <c r="I62" s="38"/>
      <c r="J62" s="147">
        <f t="shared" si="4"/>
        <v>230000</v>
      </c>
      <c r="K62" s="105">
        <v>0</v>
      </c>
      <c r="L62" s="4">
        <f t="shared" si="5"/>
        <v>230000</v>
      </c>
    </row>
    <row r="63" spans="1:12" x14ac:dyDescent="0.2">
      <c r="A63" s="394"/>
      <c r="B63" s="392"/>
      <c r="C63" s="41" t="s">
        <v>10</v>
      </c>
      <c r="D63" s="38">
        <v>8009100</v>
      </c>
      <c r="E63" s="38">
        <v>8009100</v>
      </c>
      <c r="F63" s="40"/>
      <c r="G63" s="38"/>
      <c r="H63" s="38"/>
      <c r="I63" s="38"/>
      <c r="J63" s="147">
        <f t="shared" si="4"/>
        <v>8009100</v>
      </c>
      <c r="K63" s="105">
        <v>750000</v>
      </c>
      <c r="L63" s="4">
        <f t="shared" si="5"/>
        <v>7259100</v>
      </c>
    </row>
    <row r="64" spans="1:12" x14ac:dyDescent="0.2">
      <c r="A64" s="394"/>
      <c r="B64" s="392"/>
      <c r="C64" s="41" t="s">
        <v>2</v>
      </c>
      <c r="D64" s="38">
        <v>14000000</v>
      </c>
      <c r="E64" s="38">
        <v>13999992</v>
      </c>
      <c r="F64" s="40"/>
      <c r="G64" s="38"/>
      <c r="H64" s="38"/>
      <c r="I64" s="38"/>
      <c r="J64" s="147">
        <f t="shared" si="4"/>
        <v>13999992</v>
      </c>
      <c r="K64" s="105">
        <v>210000</v>
      </c>
      <c r="L64" s="4">
        <f t="shared" si="5"/>
        <v>13789992</v>
      </c>
    </row>
    <row r="65" spans="1:12" x14ac:dyDescent="0.2">
      <c r="A65" s="394"/>
      <c r="B65" s="392"/>
      <c r="C65" s="41" t="s">
        <v>35</v>
      </c>
      <c r="D65" s="38">
        <v>292100</v>
      </c>
      <c r="E65" s="38">
        <v>292100</v>
      </c>
      <c r="F65" s="40"/>
      <c r="G65" s="38"/>
      <c r="H65" s="38"/>
      <c r="I65" s="38"/>
      <c r="J65" s="147">
        <f t="shared" si="4"/>
        <v>292100</v>
      </c>
      <c r="K65" s="105">
        <v>6370</v>
      </c>
      <c r="L65" s="4">
        <f t="shared" si="5"/>
        <v>285730</v>
      </c>
    </row>
    <row r="66" spans="1:12" x14ac:dyDescent="0.2">
      <c r="A66" s="394"/>
      <c r="B66" s="392"/>
      <c r="C66" s="41" t="s">
        <v>11</v>
      </c>
      <c r="D66" s="38">
        <v>5127921</v>
      </c>
      <c r="E66" s="38">
        <v>5127921</v>
      </c>
      <c r="F66" s="40"/>
      <c r="G66" s="38"/>
      <c r="H66" s="38"/>
      <c r="I66" s="38"/>
      <c r="J66" s="147">
        <f t="shared" si="4"/>
        <v>5127921</v>
      </c>
      <c r="K66" s="105">
        <v>56700</v>
      </c>
      <c r="L66" s="4">
        <f t="shared" si="5"/>
        <v>5071221</v>
      </c>
    </row>
    <row r="67" spans="1:12" x14ac:dyDescent="0.2">
      <c r="A67" s="394"/>
      <c r="B67" s="392"/>
      <c r="C67" s="41" t="s">
        <v>12</v>
      </c>
      <c r="D67" s="38">
        <v>229492</v>
      </c>
      <c r="E67" s="38">
        <v>229492</v>
      </c>
      <c r="F67" s="40"/>
      <c r="G67" s="38"/>
      <c r="H67" s="38"/>
      <c r="I67" s="38"/>
      <c r="J67" s="147">
        <f t="shared" si="4"/>
        <v>229492</v>
      </c>
      <c r="K67" s="105">
        <v>1600</v>
      </c>
      <c r="L67" s="4">
        <f t="shared" si="5"/>
        <v>227892</v>
      </c>
    </row>
    <row r="68" spans="1:12" x14ac:dyDescent="0.2">
      <c r="A68" s="394"/>
      <c r="B68" s="392"/>
      <c r="C68" s="41" t="s">
        <v>36</v>
      </c>
      <c r="D68" s="38">
        <v>0</v>
      </c>
      <c r="E68" s="38">
        <v>0</v>
      </c>
      <c r="F68" s="40"/>
      <c r="G68" s="38"/>
      <c r="H68" s="38"/>
      <c r="I68" s="38"/>
      <c r="J68" s="147">
        <f t="shared" si="4"/>
        <v>0</v>
      </c>
      <c r="K68" s="105">
        <v>0</v>
      </c>
      <c r="L68" s="4">
        <f t="shared" si="5"/>
        <v>0</v>
      </c>
    </row>
    <row r="69" spans="1:12" x14ac:dyDescent="0.2">
      <c r="A69" s="394"/>
      <c r="B69" s="392"/>
      <c r="C69" s="41" t="s">
        <v>31</v>
      </c>
      <c r="D69" s="38">
        <v>388897</v>
      </c>
      <c r="E69" s="38">
        <v>388897</v>
      </c>
      <c r="F69" s="40">
        <v>315503</v>
      </c>
      <c r="G69" s="38"/>
      <c r="H69" s="38"/>
      <c r="I69" s="38"/>
      <c r="J69" s="147">
        <f t="shared" si="4"/>
        <v>704400</v>
      </c>
      <c r="K69" s="105">
        <v>704400</v>
      </c>
      <c r="L69" s="4">
        <f t="shared" si="5"/>
        <v>0</v>
      </c>
    </row>
    <row r="70" spans="1:12" x14ac:dyDescent="0.2">
      <c r="A70" s="394"/>
      <c r="B70" s="392"/>
      <c r="C70" s="41" t="s">
        <v>32</v>
      </c>
      <c r="D70" s="38">
        <v>0</v>
      </c>
      <c r="E70" s="38">
        <v>0</v>
      </c>
      <c r="F70" s="40">
        <v>1729878</v>
      </c>
      <c r="G70" s="38">
        <v>88218</v>
      </c>
      <c r="H70" s="38"/>
      <c r="I70" s="38"/>
      <c r="J70" s="147">
        <f t="shared" si="4"/>
        <v>1818096</v>
      </c>
      <c r="K70" s="105">
        <v>1818096</v>
      </c>
      <c r="L70" s="4">
        <f t="shared" si="5"/>
        <v>0</v>
      </c>
    </row>
    <row r="71" spans="1:12" x14ac:dyDescent="0.2">
      <c r="A71" s="394"/>
      <c r="B71" s="392"/>
      <c r="C71" s="41" t="s">
        <v>13</v>
      </c>
      <c r="D71" s="38">
        <v>4296741</v>
      </c>
      <c r="E71" s="38">
        <v>4296741</v>
      </c>
      <c r="F71" s="40">
        <v>-2045381</v>
      </c>
      <c r="G71" s="38">
        <v>427200</v>
      </c>
      <c r="H71" s="38"/>
      <c r="I71" s="38"/>
      <c r="J71" s="147">
        <f t="shared" si="4"/>
        <v>2678560</v>
      </c>
      <c r="K71" s="105">
        <v>2568661</v>
      </c>
      <c r="L71" s="4">
        <f t="shared" si="5"/>
        <v>109899</v>
      </c>
    </row>
    <row r="72" spans="1:12" x14ac:dyDescent="0.2">
      <c r="A72" s="394"/>
      <c r="B72" s="392"/>
      <c r="C72" s="41" t="s">
        <v>14</v>
      </c>
      <c r="D72" s="38">
        <v>1265122</v>
      </c>
      <c r="E72" s="38">
        <v>1265122</v>
      </c>
      <c r="F72" s="40"/>
      <c r="G72" s="38">
        <v>139163</v>
      </c>
      <c r="H72" s="38"/>
      <c r="I72" s="38"/>
      <c r="J72" s="147">
        <f t="shared" si="4"/>
        <v>1404285</v>
      </c>
      <c r="K72" s="105">
        <v>1374613</v>
      </c>
      <c r="L72" s="4">
        <f t="shared" si="5"/>
        <v>29672</v>
      </c>
    </row>
    <row r="73" spans="1:12" x14ac:dyDescent="0.2">
      <c r="A73" s="394"/>
      <c r="B73" s="392"/>
      <c r="C73" s="41" t="s">
        <v>15</v>
      </c>
      <c r="D73" s="38">
        <v>4121943</v>
      </c>
      <c r="E73" s="38">
        <v>4121943</v>
      </c>
      <c r="F73" s="40"/>
      <c r="G73" s="38"/>
      <c r="H73" s="38"/>
      <c r="I73" s="38"/>
      <c r="J73" s="147">
        <f t="shared" si="4"/>
        <v>4121943</v>
      </c>
      <c r="K73" s="105">
        <v>2302859</v>
      </c>
      <c r="L73" s="4">
        <f t="shared" si="5"/>
        <v>1819084</v>
      </c>
    </row>
    <row r="74" spans="1:12" x14ac:dyDescent="0.2">
      <c r="A74" s="395"/>
      <c r="B74" s="392"/>
      <c r="C74" s="41" t="s">
        <v>16</v>
      </c>
      <c r="D74" s="38">
        <v>1112924</v>
      </c>
      <c r="E74" s="38">
        <v>1112924</v>
      </c>
      <c r="F74" s="40"/>
      <c r="G74" s="38"/>
      <c r="H74" s="38"/>
      <c r="I74" s="38"/>
      <c r="J74" s="147">
        <f t="shared" si="4"/>
        <v>1112924</v>
      </c>
      <c r="K74" s="105">
        <v>351957</v>
      </c>
      <c r="L74" s="4">
        <f t="shared" si="5"/>
        <v>760967</v>
      </c>
    </row>
    <row r="75" spans="1:12" ht="23.25" customHeight="1" x14ac:dyDescent="0.2">
      <c r="A75" s="420" t="s">
        <v>86</v>
      </c>
      <c r="B75" s="421"/>
      <c r="C75" s="422"/>
      <c r="D75" s="90">
        <f>SUM(D29:D74)</f>
        <v>426209554</v>
      </c>
      <c r="E75" s="90">
        <f>SUM(E29:E74)</f>
        <v>426209554</v>
      </c>
      <c r="F75" s="90">
        <f t="shared" ref="F75:L75" si="6">SUM(F29:F74)</f>
        <v>0</v>
      </c>
      <c r="G75" s="90">
        <f t="shared" si="6"/>
        <v>654581</v>
      </c>
      <c r="H75" s="90">
        <f t="shared" si="6"/>
        <v>6029120</v>
      </c>
      <c r="I75" s="90">
        <f t="shared" si="6"/>
        <v>12724484</v>
      </c>
      <c r="J75" s="90">
        <f t="shared" si="6"/>
        <v>445617739</v>
      </c>
      <c r="K75" s="104">
        <f t="shared" si="6"/>
        <v>156672347</v>
      </c>
      <c r="L75" s="90">
        <f t="shared" si="6"/>
        <v>288945392</v>
      </c>
    </row>
    <row r="76" spans="1:12" x14ac:dyDescent="0.2">
      <c r="F76" s="2"/>
    </row>
    <row r="77" spans="1:12" x14ac:dyDescent="0.2">
      <c r="F77" s="2"/>
    </row>
    <row r="78" spans="1:12" x14ac:dyDescent="0.2">
      <c r="F78" s="2"/>
    </row>
    <row r="79" spans="1:12" ht="15.75" x14ac:dyDescent="0.25">
      <c r="A79" s="64" t="s">
        <v>100</v>
      </c>
      <c r="F79" s="2"/>
    </row>
    <row r="80" spans="1:12" x14ac:dyDescent="0.2">
      <c r="G80" s="73">
        <v>43616</v>
      </c>
      <c r="L80" s="55"/>
    </row>
    <row r="81" spans="1:12" s="85" customFormat="1" ht="45" x14ac:dyDescent="0.2">
      <c r="A81" s="387" t="s">
        <v>101</v>
      </c>
      <c r="B81" s="388"/>
      <c r="C81" s="84" t="s">
        <v>44</v>
      </c>
      <c r="D81" s="86" t="s">
        <v>21</v>
      </c>
      <c r="E81" s="86" t="s">
        <v>113</v>
      </c>
      <c r="F81" s="87" t="s">
        <v>43</v>
      </c>
      <c r="G81" s="86" t="s">
        <v>118</v>
      </c>
      <c r="H81" s="100" t="s">
        <v>119</v>
      </c>
      <c r="I81" s="100" t="s">
        <v>120</v>
      </c>
      <c r="J81" s="86" t="s">
        <v>112</v>
      </c>
      <c r="K81" s="106" t="s">
        <v>111</v>
      </c>
    </row>
    <row r="82" spans="1:12" x14ac:dyDescent="0.2">
      <c r="A82" s="389"/>
      <c r="B82" s="376"/>
      <c r="C82" s="63" t="s">
        <v>25</v>
      </c>
      <c r="D82" s="4">
        <f>D27+D26+D25+D20+D15+D14+D12+D11+D9</f>
        <v>393662673</v>
      </c>
      <c r="E82" s="4">
        <f>E27+E26+E25+E20+E15+E14+E12+E11+E9</f>
        <v>393662673</v>
      </c>
      <c r="F82" s="4">
        <f t="shared" ref="F82:K82" si="7">F27+F26+F25+F20+F15+F14+F12+F11+F9</f>
        <v>0</v>
      </c>
      <c r="G82" s="4">
        <f t="shared" si="7"/>
        <v>0</v>
      </c>
      <c r="H82" s="4">
        <f t="shared" si="7"/>
        <v>6029120</v>
      </c>
      <c r="I82" s="4">
        <f t="shared" si="7"/>
        <v>12724484</v>
      </c>
      <c r="J82" s="4">
        <f t="shared" si="7"/>
        <v>412416277</v>
      </c>
      <c r="K82" s="107">
        <f t="shared" si="7"/>
        <v>149586947</v>
      </c>
    </row>
    <row r="83" spans="1:12" x14ac:dyDescent="0.2">
      <c r="A83" s="389"/>
      <c r="B83" s="376"/>
      <c r="C83" s="63" t="s">
        <v>37</v>
      </c>
      <c r="D83" s="4">
        <f>D21+D16+D13</f>
        <v>4500000</v>
      </c>
      <c r="E83" s="4">
        <f>E21+E16+E13</f>
        <v>4500000</v>
      </c>
      <c r="F83" s="4">
        <f t="shared" ref="F83:K83" si="8">F21+F16+F13</f>
        <v>0</v>
      </c>
      <c r="G83" s="4">
        <f t="shared" si="8"/>
        <v>654581</v>
      </c>
      <c r="H83" s="4">
        <f t="shared" si="8"/>
        <v>0</v>
      </c>
      <c r="I83" s="4">
        <f t="shared" si="8"/>
        <v>0</v>
      </c>
      <c r="J83" s="4">
        <f t="shared" si="8"/>
        <v>5154581</v>
      </c>
      <c r="K83" s="107">
        <f t="shared" si="8"/>
        <v>4360702</v>
      </c>
    </row>
    <row r="84" spans="1:12" x14ac:dyDescent="0.2">
      <c r="A84" s="389"/>
      <c r="B84" s="376"/>
      <c r="C84" s="63" t="s">
        <v>27</v>
      </c>
      <c r="D84" s="4">
        <f t="shared" ref="D84:K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  <c r="K84" s="107">
        <f t="shared" si="9"/>
        <v>0</v>
      </c>
    </row>
    <row r="85" spans="1:12" x14ac:dyDescent="0.2">
      <c r="A85" s="389"/>
      <c r="B85" s="376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  <c r="K85" s="107">
        <f t="shared" si="9"/>
        <v>0</v>
      </c>
    </row>
    <row r="86" spans="1:12" x14ac:dyDescent="0.2">
      <c r="A86" s="389"/>
      <c r="B86" s="376"/>
      <c r="C86" s="63" t="s">
        <v>40</v>
      </c>
      <c r="D86" s="4">
        <f>D24+D18+D8</f>
        <v>2300</v>
      </c>
      <c r="E86" s="4">
        <f>E24+E18+E8</f>
        <v>2300</v>
      </c>
      <c r="F86" s="4">
        <f t="shared" ref="F86:K86" si="10">F24+F18+F8</f>
        <v>-100</v>
      </c>
      <c r="G86" s="4">
        <f t="shared" si="10"/>
        <v>0</v>
      </c>
      <c r="H86" s="4">
        <f t="shared" si="10"/>
        <v>0</v>
      </c>
      <c r="I86" s="4">
        <f t="shared" si="10"/>
        <v>0</v>
      </c>
      <c r="J86" s="4">
        <f t="shared" si="10"/>
        <v>2200</v>
      </c>
      <c r="K86" s="107">
        <f t="shared" si="10"/>
        <v>796</v>
      </c>
    </row>
    <row r="87" spans="1:12" x14ac:dyDescent="0.2">
      <c r="A87" s="389"/>
      <c r="B87" s="376"/>
      <c r="C87" s="63" t="s">
        <v>41</v>
      </c>
      <c r="D87" s="4">
        <f>D19+D23</f>
        <v>0</v>
      </c>
      <c r="E87" s="4">
        <f t="shared" ref="E87:K87" si="11">E19+E23</f>
        <v>0</v>
      </c>
      <c r="F87" s="4">
        <f t="shared" si="11"/>
        <v>100</v>
      </c>
      <c r="G87" s="4">
        <f t="shared" si="11"/>
        <v>0</v>
      </c>
      <c r="H87" s="4">
        <f t="shared" si="11"/>
        <v>0</v>
      </c>
      <c r="I87" s="4">
        <f t="shared" si="11"/>
        <v>0</v>
      </c>
      <c r="J87" s="4">
        <f t="shared" si="11"/>
        <v>100</v>
      </c>
      <c r="K87" s="108">
        <f t="shared" si="11"/>
        <v>100</v>
      </c>
    </row>
    <row r="88" spans="1:12" x14ac:dyDescent="0.2">
      <c r="A88" s="389"/>
      <c r="B88" s="376"/>
      <c r="C88" s="65" t="s">
        <v>93</v>
      </c>
      <c r="D88" s="66">
        <f>D27+D26+D25+D24+D21+D20+D19+D18+D16+D15+D14+D13+D12+D11+D9+D8+D7+D6</f>
        <v>398164973</v>
      </c>
      <c r="E88" s="66">
        <f>E27+E26+E25+E24+E21+E20+E19+E18+E16+E15+E14+E13+E12+E11+E9+E8+E7+E6</f>
        <v>398164973</v>
      </c>
      <c r="F88" s="66">
        <f t="shared" ref="F88:K88" si="12">F27+F26+F25+F24+F21+F20+F19+F18+F16+F15+F14+F13+F12+F11+F9+F8+F7+F6</f>
        <v>-100</v>
      </c>
      <c r="G88" s="66">
        <f t="shared" si="12"/>
        <v>654581</v>
      </c>
      <c r="H88" s="66">
        <f t="shared" si="12"/>
        <v>6029120</v>
      </c>
      <c r="I88" s="66">
        <f t="shared" si="12"/>
        <v>12724484</v>
      </c>
      <c r="J88" s="66">
        <f t="shared" si="12"/>
        <v>417573058</v>
      </c>
      <c r="K88" s="109">
        <f t="shared" si="12"/>
        <v>153948445</v>
      </c>
      <c r="L88" s="1"/>
    </row>
    <row r="89" spans="1:12" x14ac:dyDescent="0.2">
      <c r="A89" s="389"/>
      <c r="B89" s="376"/>
      <c r="C89" s="63" t="s">
        <v>28</v>
      </c>
      <c r="D89" s="4">
        <f>D22+D17+D10</f>
        <v>28044581</v>
      </c>
      <c r="E89" s="4">
        <f>E22+E17+E10</f>
        <v>28044581</v>
      </c>
      <c r="F89" s="4">
        <f t="shared" ref="F89:K89" si="13">F22+F17+F10</f>
        <v>0</v>
      </c>
      <c r="G89" s="4">
        <f t="shared" si="13"/>
        <v>0</v>
      </c>
      <c r="H89" s="4">
        <f t="shared" si="13"/>
        <v>0</v>
      </c>
      <c r="I89" s="4">
        <f t="shared" si="13"/>
        <v>0</v>
      </c>
      <c r="J89" s="4">
        <f t="shared" si="13"/>
        <v>28044581</v>
      </c>
      <c r="K89" s="107">
        <f t="shared" si="13"/>
        <v>28044581</v>
      </c>
    </row>
    <row r="90" spans="1:12" x14ac:dyDescent="0.2">
      <c r="A90" s="389"/>
      <c r="B90" s="376"/>
      <c r="C90" s="65" t="s">
        <v>92</v>
      </c>
      <c r="D90" s="66">
        <f>D22+D17+D10</f>
        <v>28044581</v>
      </c>
      <c r="E90" s="66">
        <f>E22+E17+E10</f>
        <v>28044581</v>
      </c>
      <c r="F90" s="66">
        <f t="shared" ref="F90:K90" si="14">F22+F17+F10</f>
        <v>0</v>
      </c>
      <c r="G90" s="66">
        <f t="shared" si="14"/>
        <v>0</v>
      </c>
      <c r="H90" s="66">
        <f t="shared" si="14"/>
        <v>0</v>
      </c>
      <c r="I90" s="66">
        <f t="shared" si="14"/>
        <v>0</v>
      </c>
      <c r="J90" s="66">
        <f t="shared" si="14"/>
        <v>28044581</v>
      </c>
      <c r="K90" s="109">
        <f t="shared" si="14"/>
        <v>28044581</v>
      </c>
      <c r="L90" s="1"/>
    </row>
    <row r="91" spans="1:12" x14ac:dyDescent="0.2">
      <c r="A91" s="389"/>
      <c r="B91" s="376"/>
      <c r="C91" s="65" t="s">
        <v>102</v>
      </c>
      <c r="D91" s="66">
        <f>SUM(D6:D27)</f>
        <v>426209554</v>
      </c>
      <c r="E91" s="66">
        <f>SUM(E6:E27)</f>
        <v>426209554</v>
      </c>
      <c r="F91" s="66">
        <f t="shared" ref="F91:K91" si="15">SUM(F6:F27)</f>
        <v>0</v>
      </c>
      <c r="G91" s="66">
        <f t="shared" si="15"/>
        <v>654581</v>
      </c>
      <c r="H91" s="66">
        <f t="shared" si="15"/>
        <v>6029120</v>
      </c>
      <c r="I91" s="66">
        <f t="shared" si="15"/>
        <v>12724484</v>
      </c>
      <c r="J91" s="66">
        <f t="shared" si="15"/>
        <v>445617739</v>
      </c>
      <c r="K91" s="109">
        <f t="shared" si="15"/>
        <v>181993126</v>
      </c>
      <c r="L91" s="1"/>
    </row>
    <row r="92" spans="1:12" x14ac:dyDescent="0.2">
      <c r="A92" s="389"/>
      <c r="B92" s="376"/>
      <c r="C92" s="63" t="s">
        <v>7</v>
      </c>
      <c r="D92" s="4">
        <f>D57+D44</f>
        <v>970000</v>
      </c>
      <c r="E92" s="4">
        <f>E57+E44</f>
        <v>970000</v>
      </c>
      <c r="F92" s="4">
        <f t="shared" ref="F92:K92" si="16">F57+F44</f>
        <v>0</v>
      </c>
      <c r="G92" s="4">
        <f t="shared" si="16"/>
        <v>0</v>
      </c>
      <c r="H92" s="4">
        <f t="shared" si="16"/>
        <v>0</v>
      </c>
      <c r="I92" s="4">
        <f t="shared" si="16"/>
        <v>0</v>
      </c>
      <c r="J92" s="4">
        <f t="shared" si="16"/>
        <v>970000</v>
      </c>
      <c r="K92" s="107">
        <f t="shared" si="16"/>
        <v>350000</v>
      </c>
    </row>
    <row r="93" spans="1:12" x14ac:dyDescent="0.2">
      <c r="A93" s="389"/>
      <c r="B93" s="376"/>
      <c r="C93" s="63" t="s">
        <v>88</v>
      </c>
      <c r="D93" s="4">
        <f>D58</f>
        <v>10791000</v>
      </c>
      <c r="E93" s="4">
        <f>E58</f>
        <v>10791000</v>
      </c>
      <c r="F93" s="4">
        <f t="shared" ref="F93:K93" si="17">F58</f>
        <v>0</v>
      </c>
      <c r="G93" s="4">
        <f t="shared" si="17"/>
        <v>0</v>
      </c>
      <c r="H93" s="4">
        <f t="shared" si="17"/>
        <v>0</v>
      </c>
      <c r="I93" s="4">
        <f t="shared" si="17"/>
        <v>0</v>
      </c>
      <c r="J93" s="4">
        <f t="shared" si="17"/>
        <v>10791000</v>
      </c>
      <c r="K93" s="107">
        <f t="shared" si="17"/>
        <v>532000</v>
      </c>
    </row>
    <row r="94" spans="1:12" x14ac:dyDescent="0.2">
      <c r="A94" s="389"/>
      <c r="B94" s="376"/>
      <c r="C94" s="65" t="s">
        <v>94</v>
      </c>
      <c r="D94" s="66">
        <f>D58+D57</f>
        <v>11761000</v>
      </c>
      <c r="E94" s="66">
        <f>E58+E57</f>
        <v>11761000</v>
      </c>
      <c r="F94" s="66">
        <f t="shared" ref="F94:K94" si="18">F58+F57</f>
        <v>0</v>
      </c>
      <c r="G94" s="66">
        <f t="shared" si="18"/>
        <v>0</v>
      </c>
      <c r="H94" s="66">
        <f t="shared" si="18"/>
        <v>0</v>
      </c>
      <c r="I94" s="66">
        <f t="shared" si="18"/>
        <v>0</v>
      </c>
      <c r="J94" s="66">
        <f t="shared" si="18"/>
        <v>11761000</v>
      </c>
      <c r="K94" s="109">
        <f t="shared" si="18"/>
        <v>882000</v>
      </c>
      <c r="L94" s="1"/>
    </row>
    <row r="95" spans="1:12" x14ac:dyDescent="0.2">
      <c r="A95" s="389"/>
      <c r="B95" s="376"/>
      <c r="C95" s="65" t="s">
        <v>9</v>
      </c>
      <c r="D95" s="66">
        <f>D59+D45</f>
        <v>3112282</v>
      </c>
      <c r="E95" s="66">
        <f>E59+E45</f>
        <v>3112282</v>
      </c>
      <c r="F95" s="66">
        <f t="shared" ref="F95:K95" si="19">F59+F45</f>
        <v>0</v>
      </c>
      <c r="G95" s="66">
        <f t="shared" si="19"/>
        <v>0</v>
      </c>
      <c r="H95" s="66">
        <f t="shared" si="19"/>
        <v>0</v>
      </c>
      <c r="I95" s="66">
        <f t="shared" si="19"/>
        <v>0</v>
      </c>
      <c r="J95" s="66">
        <f t="shared" si="19"/>
        <v>3112282</v>
      </c>
      <c r="K95" s="109">
        <f t="shared" si="19"/>
        <v>68250</v>
      </c>
      <c r="L95" s="1"/>
    </row>
    <row r="96" spans="1:12" x14ac:dyDescent="0.2">
      <c r="A96" s="389"/>
      <c r="B96" s="376"/>
      <c r="C96" s="63" t="s">
        <v>22</v>
      </c>
      <c r="D96" s="4">
        <f>D60+D29</f>
        <v>254000</v>
      </c>
      <c r="E96" s="4">
        <f>E60+E29</f>
        <v>254000</v>
      </c>
      <c r="F96" s="4">
        <f t="shared" ref="F96:K96" si="20">F60+F29</f>
        <v>0</v>
      </c>
      <c r="G96" s="4">
        <f t="shared" si="20"/>
        <v>0</v>
      </c>
      <c r="H96" s="4">
        <f t="shared" si="20"/>
        <v>0</v>
      </c>
      <c r="I96" s="4">
        <f t="shared" si="20"/>
        <v>0</v>
      </c>
      <c r="J96" s="4">
        <f t="shared" si="20"/>
        <v>254000</v>
      </c>
      <c r="K96" s="107">
        <f t="shared" si="20"/>
        <v>0</v>
      </c>
    </row>
    <row r="97" spans="1:12" x14ac:dyDescent="0.2">
      <c r="A97" s="389"/>
      <c r="B97" s="376"/>
      <c r="C97" s="63" t="s">
        <v>33</v>
      </c>
      <c r="D97" s="4">
        <f>D61</f>
        <v>72000</v>
      </c>
      <c r="E97" s="4">
        <f>E61</f>
        <v>72000</v>
      </c>
      <c r="F97" s="4">
        <f t="shared" ref="F97:K97" si="21">F61</f>
        <v>0</v>
      </c>
      <c r="G97" s="4">
        <f t="shared" si="21"/>
        <v>0</v>
      </c>
      <c r="H97" s="4">
        <f t="shared" si="21"/>
        <v>0</v>
      </c>
      <c r="I97" s="4">
        <f t="shared" si="21"/>
        <v>0</v>
      </c>
      <c r="J97" s="4">
        <f t="shared" si="21"/>
        <v>72000</v>
      </c>
      <c r="K97" s="107">
        <f t="shared" si="21"/>
        <v>0</v>
      </c>
    </row>
    <row r="98" spans="1:12" x14ac:dyDescent="0.2">
      <c r="A98" s="389"/>
      <c r="B98" s="376"/>
      <c r="C98" s="63" t="s">
        <v>89</v>
      </c>
      <c r="D98" s="4">
        <f>D30</f>
        <v>1870</v>
      </c>
      <c r="E98" s="4">
        <f>E30</f>
        <v>1870</v>
      </c>
      <c r="F98" s="4">
        <f t="shared" ref="F98:K98" si="22">F30</f>
        <v>0</v>
      </c>
      <c r="G98" s="4">
        <f t="shared" si="22"/>
        <v>0</v>
      </c>
      <c r="H98" s="4">
        <f t="shared" si="22"/>
        <v>0</v>
      </c>
      <c r="I98" s="4">
        <f t="shared" si="22"/>
        <v>0</v>
      </c>
      <c r="J98" s="4">
        <f t="shared" si="22"/>
        <v>1870</v>
      </c>
      <c r="K98" s="107">
        <f t="shared" si="22"/>
        <v>0</v>
      </c>
    </row>
    <row r="99" spans="1:12" x14ac:dyDescent="0.2">
      <c r="A99" s="389"/>
      <c r="B99" s="376"/>
      <c r="C99" s="63" t="s">
        <v>34</v>
      </c>
      <c r="D99" s="4">
        <f>D62</f>
        <v>230000</v>
      </c>
      <c r="E99" s="4">
        <f>E62</f>
        <v>230000</v>
      </c>
      <c r="F99" s="4">
        <f t="shared" ref="F99:K99" si="23">F62</f>
        <v>0</v>
      </c>
      <c r="G99" s="4">
        <f t="shared" si="23"/>
        <v>0</v>
      </c>
      <c r="H99" s="4">
        <f t="shared" si="23"/>
        <v>0</v>
      </c>
      <c r="I99" s="4">
        <f t="shared" si="23"/>
        <v>0</v>
      </c>
      <c r="J99" s="4">
        <f t="shared" si="23"/>
        <v>230000</v>
      </c>
      <c r="K99" s="107">
        <f t="shared" si="23"/>
        <v>0</v>
      </c>
    </row>
    <row r="100" spans="1:12" x14ac:dyDescent="0.2">
      <c r="A100" s="389"/>
      <c r="B100" s="376"/>
      <c r="C100" s="63" t="s">
        <v>10</v>
      </c>
      <c r="D100" s="4">
        <f>D63+D46</f>
        <v>8009100</v>
      </c>
      <c r="E100" s="4">
        <f>E63+E46</f>
        <v>8009100</v>
      </c>
      <c r="F100" s="4">
        <f t="shared" ref="F100:K100" si="24">F63+F46</f>
        <v>0</v>
      </c>
      <c r="G100" s="4">
        <f t="shared" si="24"/>
        <v>0</v>
      </c>
      <c r="H100" s="4">
        <f t="shared" si="24"/>
        <v>0</v>
      </c>
      <c r="I100" s="4">
        <f t="shared" si="24"/>
        <v>0</v>
      </c>
      <c r="J100" s="4">
        <f t="shared" si="24"/>
        <v>8009100</v>
      </c>
      <c r="K100" s="107">
        <f t="shared" si="24"/>
        <v>750000</v>
      </c>
    </row>
    <row r="101" spans="1:12" x14ac:dyDescent="0.2">
      <c r="A101" s="389"/>
      <c r="B101" s="376"/>
      <c r="C101" s="63" t="s">
        <v>2</v>
      </c>
      <c r="D101" s="4">
        <f>D64+D47+D31+D56</f>
        <v>31883770</v>
      </c>
      <c r="E101" s="4">
        <f>E64+E47+E31+E56</f>
        <v>31800770</v>
      </c>
      <c r="F101" s="4">
        <f t="shared" ref="F101:K101" si="25">F64+F47+F31+F56</f>
        <v>-126342</v>
      </c>
      <c r="G101" s="4">
        <f t="shared" si="25"/>
        <v>0</v>
      </c>
      <c r="H101" s="4">
        <f t="shared" si="25"/>
        <v>0</v>
      </c>
      <c r="I101" s="4">
        <f t="shared" si="25"/>
        <v>0</v>
      </c>
      <c r="J101" s="4">
        <f t="shared" si="25"/>
        <v>31674428</v>
      </c>
      <c r="K101" s="108">
        <f t="shared" si="25"/>
        <v>3577983</v>
      </c>
    </row>
    <row r="102" spans="1:12" x14ac:dyDescent="0.2">
      <c r="A102" s="389"/>
      <c r="B102" s="376"/>
      <c r="C102" s="63" t="s">
        <v>35</v>
      </c>
      <c r="D102" s="4">
        <f>D65</f>
        <v>292100</v>
      </c>
      <c r="E102" s="4">
        <f>E65</f>
        <v>292100</v>
      </c>
      <c r="F102" s="4">
        <f t="shared" ref="F102:K102" si="26">F65</f>
        <v>0</v>
      </c>
      <c r="G102" s="4">
        <f t="shared" si="26"/>
        <v>0</v>
      </c>
      <c r="H102" s="4">
        <f t="shared" si="26"/>
        <v>0</v>
      </c>
      <c r="I102" s="4">
        <f t="shared" si="26"/>
        <v>0</v>
      </c>
      <c r="J102" s="4">
        <f t="shared" si="26"/>
        <v>292100</v>
      </c>
      <c r="K102" s="107">
        <f t="shared" si="26"/>
        <v>6370</v>
      </c>
    </row>
    <row r="103" spans="1:12" x14ac:dyDescent="0.2">
      <c r="A103" s="389"/>
      <c r="B103" s="376"/>
      <c r="C103" s="63" t="s">
        <v>117</v>
      </c>
      <c r="D103" s="4">
        <f>D32</f>
        <v>0</v>
      </c>
      <c r="E103" s="4">
        <f t="shared" ref="E103:K103" si="27">E32</f>
        <v>0</v>
      </c>
      <c r="F103" s="4">
        <f t="shared" si="27"/>
        <v>24420</v>
      </c>
      <c r="G103" s="4">
        <f t="shared" si="27"/>
        <v>0</v>
      </c>
      <c r="H103" s="4">
        <f t="shared" si="27"/>
        <v>0</v>
      </c>
      <c r="I103" s="4">
        <f t="shared" si="27"/>
        <v>0</v>
      </c>
      <c r="J103" s="4">
        <f t="shared" si="27"/>
        <v>24420</v>
      </c>
      <c r="K103" s="108">
        <f t="shared" si="27"/>
        <v>24420</v>
      </c>
    </row>
    <row r="104" spans="1:12" x14ac:dyDescent="0.2">
      <c r="A104" s="389"/>
      <c r="B104" s="376"/>
      <c r="C104" s="63" t="s">
        <v>11</v>
      </c>
      <c r="D104" s="4">
        <f>D66+D48+D33</f>
        <v>5188185</v>
      </c>
      <c r="E104" s="4">
        <f>E66+E48+E33</f>
        <v>5188185</v>
      </c>
      <c r="F104" s="4">
        <f t="shared" ref="F104:K104" si="28">F66+F48+F33</f>
        <v>1922</v>
      </c>
      <c r="G104" s="4">
        <f t="shared" si="28"/>
        <v>0</v>
      </c>
      <c r="H104" s="4">
        <f t="shared" si="28"/>
        <v>0</v>
      </c>
      <c r="I104" s="4">
        <f t="shared" si="28"/>
        <v>0</v>
      </c>
      <c r="J104" s="4">
        <f t="shared" si="28"/>
        <v>5190107</v>
      </c>
      <c r="K104" s="107">
        <f t="shared" si="28"/>
        <v>110381</v>
      </c>
    </row>
    <row r="105" spans="1:12" x14ac:dyDescent="0.2">
      <c r="A105" s="389"/>
      <c r="B105" s="376"/>
      <c r="C105" s="63" t="s">
        <v>91</v>
      </c>
      <c r="D105" s="4">
        <f>D34</f>
        <v>0</v>
      </c>
      <c r="E105" s="4">
        <f>E34</f>
        <v>83000</v>
      </c>
      <c r="F105" s="4">
        <f t="shared" ref="F105:K105" si="29">F34</f>
        <v>0</v>
      </c>
      <c r="G105" s="4">
        <f t="shared" si="29"/>
        <v>0</v>
      </c>
      <c r="H105" s="4">
        <f t="shared" si="29"/>
        <v>0</v>
      </c>
      <c r="I105" s="4">
        <f t="shared" si="29"/>
        <v>0</v>
      </c>
      <c r="J105" s="4">
        <f t="shared" si="29"/>
        <v>83000</v>
      </c>
      <c r="K105" s="107">
        <f t="shared" si="29"/>
        <v>83000</v>
      </c>
    </row>
    <row r="106" spans="1:12" x14ac:dyDescent="0.2">
      <c r="A106" s="389"/>
      <c r="B106" s="376"/>
      <c r="C106" s="63" t="s">
        <v>12</v>
      </c>
      <c r="D106" s="4">
        <f>D67+D49</f>
        <v>229492</v>
      </c>
      <c r="E106" s="4">
        <f>E67+E49</f>
        <v>229492</v>
      </c>
      <c r="F106" s="4">
        <f t="shared" ref="F106:K106" si="30">F67+F49</f>
        <v>100000</v>
      </c>
      <c r="G106" s="4">
        <f t="shared" si="30"/>
        <v>0</v>
      </c>
      <c r="H106" s="4">
        <f t="shared" si="30"/>
        <v>0</v>
      </c>
      <c r="I106" s="4">
        <f t="shared" si="30"/>
        <v>0</v>
      </c>
      <c r="J106" s="4">
        <f t="shared" si="30"/>
        <v>329492</v>
      </c>
      <c r="K106" s="107">
        <f t="shared" si="30"/>
        <v>101600</v>
      </c>
    </row>
    <row r="107" spans="1:12" x14ac:dyDescent="0.2">
      <c r="A107" s="389"/>
      <c r="B107" s="376"/>
      <c r="C107" s="65" t="s">
        <v>95</v>
      </c>
      <c r="D107" s="66">
        <f>D67+D66+D65+D64+D63+D62+D61+D60+D49+D48+D47+D46+D34+D33+D31+D30+D29+D56+D32</f>
        <v>46160517</v>
      </c>
      <c r="E107" s="66">
        <f>E67+E66+E65+E64+E63+E62+E61+E60+E49+E48+E47+E46+E34+E33+E31+E30+E29+E56+E32</f>
        <v>46160517</v>
      </c>
      <c r="F107" s="66">
        <f t="shared" ref="F107:K107" si="31">F67+F66+F65+F64+F63+F62+F61+F60+F49+F48+F47+F46+F34+F33+F31+F30+F29+F56+F32</f>
        <v>0</v>
      </c>
      <c r="G107" s="66">
        <f t="shared" si="31"/>
        <v>0</v>
      </c>
      <c r="H107" s="66">
        <f t="shared" si="31"/>
        <v>0</v>
      </c>
      <c r="I107" s="66">
        <f t="shared" si="31"/>
        <v>0</v>
      </c>
      <c r="J107" s="66">
        <f t="shared" si="31"/>
        <v>46160517</v>
      </c>
      <c r="K107" s="110">
        <f t="shared" si="31"/>
        <v>4653754</v>
      </c>
      <c r="L107" s="1"/>
    </row>
    <row r="108" spans="1:12" x14ac:dyDescent="0.2">
      <c r="A108" s="389"/>
      <c r="B108" s="376"/>
      <c r="C108" s="63" t="s">
        <v>36</v>
      </c>
      <c r="D108" s="4">
        <f>D68</f>
        <v>0</v>
      </c>
      <c r="E108" s="4">
        <f>E68</f>
        <v>0</v>
      </c>
      <c r="F108" s="4">
        <f t="shared" ref="F108:K108" si="32">F68</f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  <c r="K108" s="107">
        <f t="shared" si="32"/>
        <v>0</v>
      </c>
    </row>
    <row r="109" spans="1:12" x14ac:dyDescent="0.2">
      <c r="A109" s="389"/>
      <c r="B109" s="376"/>
      <c r="C109" s="63" t="s">
        <v>23</v>
      </c>
      <c r="D109" s="4">
        <f>D42+D40+D38+D35</f>
        <v>19744030</v>
      </c>
      <c r="E109" s="4">
        <f>E42+E40+E38+E35</f>
        <v>19744030</v>
      </c>
      <c r="F109" s="4">
        <f t="shared" ref="F109:K109" si="33">F42+F40+F38+F35</f>
        <v>0</v>
      </c>
      <c r="G109" s="4">
        <f t="shared" si="33"/>
        <v>0</v>
      </c>
      <c r="H109" s="4">
        <f t="shared" si="33"/>
        <v>0</v>
      </c>
      <c r="I109" s="4">
        <f t="shared" si="33"/>
        <v>0</v>
      </c>
      <c r="J109" s="4">
        <f t="shared" si="33"/>
        <v>19744030</v>
      </c>
      <c r="K109" s="107">
        <f t="shared" si="33"/>
        <v>6930003</v>
      </c>
    </row>
    <row r="110" spans="1:12" x14ac:dyDescent="0.2">
      <c r="A110" s="389"/>
      <c r="B110" s="376"/>
      <c r="C110" s="63" t="s">
        <v>5</v>
      </c>
      <c r="D110" s="4">
        <f>D43+D39+D36</f>
        <v>16308950</v>
      </c>
      <c r="E110" s="4">
        <f>E43+E39+E36</f>
        <v>16308950</v>
      </c>
      <c r="F110" s="4">
        <f t="shared" ref="F110:K110" si="34">F43+F39+F36</f>
        <v>0</v>
      </c>
      <c r="G110" s="4">
        <f t="shared" si="34"/>
        <v>0</v>
      </c>
      <c r="H110" s="4">
        <f t="shared" si="34"/>
        <v>0</v>
      </c>
      <c r="I110" s="4">
        <f t="shared" si="34"/>
        <v>0</v>
      </c>
      <c r="J110" s="4">
        <f t="shared" si="34"/>
        <v>16308950</v>
      </c>
      <c r="K110" s="107">
        <f t="shared" si="34"/>
        <v>5469651</v>
      </c>
    </row>
    <row r="111" spans="1:12" x14ac:dyDescent="0.2">
      <c r="A111" s="389"/>
      <c r="B111" s="376"/>
      <c r="C111" s="65" t="s">
        <v>96</v>
      </c>
      <c r="D111" s="66">
        <f>D43+D42+D40+D39+D38+D36+D35</f>
        <v>36052980</v>
      </c>
      <c r="E111" s="66">
        <f>E43+E42+E40+E39+E38+E36+E35</f>
        <v>36052980</v>
      </c>
      <c r="F111" s="66">
        <f t="shared" ref="F111:K111" si="35">F43+F42+F40+F39+F38+F36+F35</f>
        <v>0</v>
      </c>
      <c r="G111" s="66">
        <f t="shared" si="35"/>
        <v>0</v>
      </c>
      <c r="H111" s="66">
        <f t="shared" si="35"/>
        <v>0</v>
      </c>
      <c r="I111" s="66">
        <f t="shared" si="35"/>
        <v>0</v>
      </c>
      <c r="J111" s="66">
        <f t="shared" si="35"/>
        <v>36052980</v>
      </c>
      <c r="K111" s="109">
        <f t="shared" si="35"/>
        <v>12399654</v>
      </c>
      <c r="L111" s="1"/>
    </row>
    <row r="112" spans="1:12" x14ac:dyDescent="0.2">
      <c r="A112" s="389"/>
      <c r="B112" s="376"/>
      <c r="C112" s="63" t="s">
        <v>31</v>
      </c>
      <c r="D112" s="4">
        <f>D69+D50</f>
        <v>388897</v>
      </c>
      <c r="E112" s="4">
        <f>E69+E50</f>
        <v>388897</v>
      </c>
      <c r="F112" s="4">
        <f t="shared" ref="F112:K112" si="36">F69+F50</f>
        <v>315503</v>
      </c>
      <c r="G112" s="4">
        <f t="shared" si="36"/>
        <v>0</v>
      </c>
      <c r="H112" s="4">
        <f t="shared" si="36"/>
        <v>0</v>
      </c>
      <c r="I112" s="4">
        <f t="shared" si="36"/>
        <v>0</v>
      </c>
      <c r="J112" s="4">
        <f t="shared" si="36"/>
        <v>704400</v>
      </c>
      <c r="K112" s="107">
        <f t="shared" si="36"/>
        <v>704400</v>
      </c>
    </row>
    <row r="113" spans="1:12" x14ac:dyDescent="0.2">
      <c r="A113" s="389"/>
      <c r="B113" s="376"/>
      <c r="C113" s="63" t="s">
        <v>32</v>
      </c>
      <c r="D113" s="4">
        <f>D51+D70</f>
        <v>0</v>
      </c>
      <c r="E113" s="4">
        <f t="shared" ref="E113:K113" si="37">E51+E70</f>
        <v>0</v>
      </c>
      <c r="F113" s="4">
        <f t="shared" si="37"/>
        <v>1729878</v>
      </c>
      <c r="G113" s="4">
        <f t="shared" si="37"/>
        <v>88218</v>
      </c>
      <c r="H113" s="4">
        <f t="shared" si="37"/>
        <v>0</v>
      </c>
      <c r="I113" s="4">
        <f t="shared" si="37"/>
        <v>0</v>
      </c>
      <c r="J113" s="4">
        <f t="shared" si="37"/>
        <v>1818096</v>
      </c>
      <c r="K113" s="108">
        <f t="shared" si="37"/>
        <v>1818096</v>
      </c>
    </row>
    <row r="114" spans="1:12" x14ac:dyDescent="0.2">
      <c r="A114" s="389"/>
      <c r="B114" s="376"/>
      <c r="C114" s="63" t="s">
        <v>13</v>
      </c>
      <c r="D114" s="4">
        <f t="shared" ref="D114:K115" si="38">D71+D52</f>
        <v>4296741</v>
      </c>
      <c r="E114" s="4">
        <f t="shared" si="38"/>
        <v>4296741</v>
      </c>
      <c r="F114" s="4">
        <f t="shared" si="38"/>
        <v>-2045381</v>
      </c>
      <c r="G114" s="4">
        <f t="shared" si="38"/>
        <v>427200</v>
      </c>
      <c r="H114" s="4">
        <f t="shared" si="38"/>
        <v>0</v>
      </c>
      <c r="I114" s="4">
        <f t="shared" si="38"/>
        <v>0</v>
      </c>
      <c r="J114" s="4">
        <f t="shared" si="38"/>
        <v>2678560</v>
      </c>
      <c r="K114" s="107">
        <f t="shared" si="38"/>
        <v>2568661</v>
      </c>
    </row>
    <row r="115" spans="1:12" x14ac:dyDescent="0.2">
      <c r="A115" s="389"/>
      <c r="B115" s="376"/>
      <c r="C115" s="63" t="s">
        <v>14</v>
      </c>
      <c r="D115" s="4">
        <f t="shared" si="38"/>
        <v>1265122</v>
      </c>
      <c r="E115" s="4">
        <f t="shared" si="38"/>
        <v>1265122</v>
      </c>
      <c r="F115" s="4">
        <f t="shared" si="38"/>
        <v>0</v>
      </c>
      <c r="G115" s="4">
        <f t="shared" si="38"/>
        <v>139163</v>
      </c>
      <c r="H115" s="4">
        <f t="shared" si="38"/>
        <v>0</v>
      </c>
      <c r="I115" s="4">
        <f t="shared" si="38"/>
        <v>0</v>
      </c>
      <c r="J115" s="4">
        <f t="shared" si="38"/>
        <v>1404285</v>
      </c>
      <c r="K115" s="107">
        <f t="shared" si="38"/>
        <v>1374613</v>
      </c>
    </row>
    <row r="116" spans="1:12" x14ac:dyDescent="0.2">
      <c r="A116" s="389"/>
      <c r="B116" s="376"/>
      <c r="C116" s="65" t="s">
        <v>97</v>
      </c>
      <c r="D116" s="66">
        <f>D72+D71+D69+D53+D52+D51+D50</f>
        <v>5950760</v>
      </c>
      <c r="E116" s="66">
        <f>E72+E71+E69+E53+E52+E51+E50</f>
        <v>5950760</v>
      </c>
      <c r="F116" s="66">
        <f t="shared" ref="F116:K116" si="39">F72+F71+F69+F53+F52+F51+F50</f>
        <v>-1729878</v>
      </c>
      <c r="G116" s="66">
        <f t="shared" si="39"/>
        <v>566363</v>
      </c>
      <c r="H116" s="66">
        <f t="shared" si="39"/>
        <v>0</v>
      </c>
      <c r="I116" s="66">
        <f t="shared" si="39"/>
        <v>0</v>
      </c>
      <c r="J116" s="66">
        <f t="shared" si="39"/>
        <v>4787245</v>
      </c>
      <c r="K116" s="109">
        <f t="shared" si="39"/>
        <v>4647674</v>
      </c>
      <c r="L116" s="1"/>
    </row>
    <row r="117" spans="1:12" x14ac:dyDescent="0.2">
      <c r="A117" s="389"/>
      <c r="B117" s="376"/>
      <c r="C117" s="63" t="s">
        <v>15</v>
      </c>
      <c r="D117" s="4">
        <f t="shared" ref="D117:K118" si="40">D73+D54</f>
        <v>4121943</v>
      </c>
      <c r="E117" s="4">
        <f t="shared" si="40"/>
        <v>4121943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0</v>
      </c>
      <c r="J117" s="4">
        <f t="shared" si="40"/>
        <v>4121943</v>
      </c>
      <c r="K117" s="107">
        <f t="shared" si="40"/>
        <v>2302859</v>
      </c>
    </row>
    <row r="118" spans="1:12" x14ac:dyDescent="0.2">
      <c r="A118" s="389"/>
      <c r="B118" s="376"/>
      <c r="C118" s="63" t="s">
        <v>16</v>
      </c>
      <c r="D118" s="4">
        <f t="shared" si="40"/>
        <v>1112924</v>
      </c>
      <c r="E118" s="4">
        <f t="shared" si="40"/>
        <v>1112924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0</v>
      </c>
      <c r="J118" s="4">
        <f t="shared" si="40"/>
        <v>1112924</v>
      </c>
      <c r="K118" s="107">
        <f t="shared" si="40"/>
        <v>351957</v>
      </c>
    </row>
    <row r="119" spans="1:12" x14ac:dyDescent="0.2">
      <c r="A119" s="389"/>
      <c r="B119" s="376"/>
      <c r="C119" s="65" t="s">
        <v>98</v>
      </c>
      <c r="D119" s="66">
        <f>D74+D73+D55+D54</f>
        <v>5234867</v>
      </c>
      <c r="E119" s="66">
        <f>E74+E73+E55+E54</f>
        <v>5234867</v>
      </c>
      <c r="F119" s="66">
        <f t="shared" ref="F119:K119" si="41">F74+F73+F55+F54</f>
        <v>0</v>
      </c>
      <c r="G119" s="66">
        <f t="shared" si="41"/>
        <v>0</v>
      </c>
      <c r="H119" s="66">
        <f t="shared" si="41"/>
        <v>0</v>
      </c>
      <c r="I119" s="66">
        <f t="shared" si="41"/>
        <v>0</v>
      </c>
      <c r="J119" s="66">
        <f t="shared" si="41"/>
        <v>5234867</v>
      </c>
      <c r="K119" s="109">
        <f t="shared" si="41"/>
        <v>2654816</v>
      </c>
      <c r="L119" s="1"/>
    </row>
    <row r="120" spans="1:12" x14ac:dyDescent="0.2">
      <c r="A120" s="389"/>
      <c r="B120" s="376"/>
      <c r="C120" s="65" t="s">
        <v>110</v>
      </c>
      <c r="D120" s="66">
        <f>D41</f>
        <v>4500000</v>
      </c>
      <c r="E120" s="66">
        <f t="shared" ref="E120:K120" si="42">E41</f>
        <v>4500000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0</v>
      </c>
      <c r="J120" s="66">
        <f t="shared" si="42"/>
        <v>4500000</v>
      </c>
      <c r="K120" s="110">
        <f t="shared" si="42"/>
        <v>2200239</v>
      </c>
      <c r="L120" s="1"/>
    </row>
    <row r="121" spans="1:12" x14ac:dyDescent="0.2">
      <c r="A121" s="389"/>
      <c r="B121" s="376"/>
      <c r="C121" s="63" t="s">
        <v>3</v>
      </c>
      <c r="D121" s="67">
        <f>D37</f>
        <v>313437148</v>
      </c>
      <c r="E121" s="67">
        <f>E37</f>
        <v>313437148</v>
      </c>
      <c r="F121" s="67">
        <f t="shared" ref="F121:K121" si="43">F37</f>
        <v>0</v>
      </c>
      <c r="G121" s="67">
        <f t="shared" si="43"/>
        <v>0</v>
      </c>
      <c r="H121" s="67">
        <f t="shared" si="43"/>
        <v>6029120</v>
      </c>
      <c r="I121" s="67">
        <f t="shared" si="43"/>
        <v>12724484</v>
      </c>
      <c r="J121" s="67">
        <f t="shared" si="43"/>
        <v>332190752</v>
      </c>
      <c r="K121" s="111">
        <f t="shared" si="43"/>
        <v>127347864</v>
      </c>
      <c r="L121" s="1"/>
    </row>
    <row r="122" spans="1:12" x14ac:dyDescent="0.2">
      <c r="A122" s="390"/>
      <c r="B122" s="391"/>
      <c r="C122" s="65" t="s">
        <v>99</v>
      </c>
      <c r="D122" s="66">
        <f>SUM(D29:D74)</f>
        <v>426209554</v>
      </c>
      <c r="E122" s="66">
        <f>SUM(E29:E74)</f>
        <v>426209554</v>
      </c>
      <c r="F122" s="66">
        <f t="shared" ref="F122:K122" si="44">SUM(F29:F74)</f>
        <v>0</v>
      </c>
      <c r="G122" s="66">
        <f t="shared" si="44"/>
        <v>654581</v>
      </c>
      <c r="H122" s="66">
        <f t="shared" si="44"/>
        <v>6029120</v>
      </c>
      <c r="I122" s="66">
        <f t="shared" si="44"/>
        <v>12724484</v>
      </c>
      <c r="J122" s="66">
        <f t="shared" si="44"/>
        <v>445617739</v>
      </c>
      <c r="K122" s="109">
        <f t="shared" si="44"/>
        <v>156672347</v>
      </c>
      <c r="L122" s="1"/>
    </row>
    <row r="123" spans="1:12" x14ac:dyDescent="0.2">
      <c r="A123" s="1"/>
      <c r="B123" s="98"/>
      <c r="C123" s="1"/>
      <c r="D123" s="1"/>
      <c r="E123" s="1"/>
      <c r="F123" s="68"/>
      <c r="G123" s="1"/>
      <c r="H123" s="1"/>
      <c r="I123" s="1"/>
      <c r="J123" s="1"/>
      <c r="K123" s="112"/>
      <c r="L123" s="1"/>
    </row>
    <row r="124" spans="1:12" x14ac:dyDescent="0.2">
      <c r="C124" s="5"/>
      <c r="D124" s="5"/>
      <c r="F124" s="2"/>
    </row>
    <row r="125" spans="1:12" x14ac:dyDescent="0.2">
      <c r="C125" s="5"/>
      <c r="D125" s="5"/>
      <c r="F125" s="2"/>
    </row>
  </sheetData>
  <mergeCells count="37">
    <mergeCell ref="A29:A37"/>
    <mergeCell ref="B29:B34"/>
    <mergeCell ref="B35:B37"/>
    <mergeCell ref="A81:B122"/>
    <mergeCell ref="A38:A39"/>
    <mergeCell ref="B38:B39"/>
    <mergeCell ref="A40:A41"/>
    <mergeCell ref="B40:B41"/>
    <mergeCell ref="A42:A43"/>
    <mergeCell ref="B42:B43"/>
    <mergeCell ref="A44:A55"/>
    <mergeCell ref="B44:B55"/>
    <mergeCell ref="A56:A74"/>
    <mergeCell ref="B57:B74"/>
    <mergeCell ref="A75:C75"/>
    <mergeCell ref="A12:A13"/>
    <mergeCell ref="B12:B13"/>
    <mergeCell ref="A20:A24"/>
    <mergeCell ref="B20:B22"/>
    <mergeCell ref="A28:C28"/>
    <mergeCell ref="A15:A19"/>
    <mergeCell ref="B15:B17"/>
    <mergeCell ref="B18:B19"/>
    <mergeCell ref="B23:B24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8" scale="79" orientation="landscape" r:id="rId1"/>
  <rowBreaks count="1" manualBreakCount="1">
    <brk id="7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3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51" bestFit="1" customWidth="1"/>
    <col min="2" max="2" width="9.140625" style="96"/>
    <col min="3" max="3" width="8" customWidth="1"/>
    <col min="4" max="4" width="14.5703125" customWidth="1"/>
    <col min="5" max="5" width="14" customWidth="1"/>
    <col min="6" max="8" width="12.85546875" customWidth="1"/>
    <col min="9" max="9" width="14.42578125" customWidth="1"/>
    <col min="10" max="10" width="13.7109375" customWidth="1"/>
  </cols>
  <sheetData>
    <row r="1" spans="1:10" ht="12.75" customHeight="1" x14ac:dyDescent="0.2">
      <c r="A1" s="426" t="s">
        <v>82</v>
      </c>
      <c r="B1" s="427"/>
      <c r="C1" s="427"/>
      <c r="D1" s="427"/>
      <c r="E1" s="427"/>
      <c r="F1" s="427"/>
      <c r="G1" s="427"/>
      <c r="H1" s="427"/>
      <c r="I1" s="427"/>
      <c r="J1" s="427"/>
    </row>
    <row r="2" spans="1:10" x14ac:dyDescent="0.2">
      <c r="E2" s="2"/>
    </row>
    <row r="3" spans="1:10" x14ac:dyDescent="0.2">
      <c r="E3" s="3"/>
    </row>
    <row r="4" spans="1:10" ht="12.75" customHeight="1" x14ac:dyDescent="0.2">
      <c r="A4" s="428" t="s">
        <v>19</v>
      </c>
      <c r="B4" s="430" t="s">
        <v>0</v>
      </c>
      <c r="C4" s="428" t="s">
        <v>44</v>
      </c>
      <c r="D4" s="428" t="s">
        <v>21</v>
      </c>
      <c r="E4" s="432" t="s">
        <v>115</v>
      </c>
      <c r="F4" s="433"/>
      <c r="G4" s="433"/>
      <c r="H4" s="434"/>
      <c r="I4" s="424" t="s">
        <v>112</v>
      </c>
      <c r="J4" s="424" t="s">
        <v>111</v>
      </c>
    </row>
    <row r="5" spans="1:10" ht="42.75" customHeight="1" x14ac:dyDescent="0.2">
      <c r="A5" s="429"/>
      <c r="B5" s="431"/>
      <c r="C5" s="429"/>
      <c r="D5" s="429"/>
      <c r="E5" s="91" t="s">
        <v>43</v>
      </c>
      <c r="F5" s="94" t="s">
        <v>118</v>
      </c>
      <c r="G5" s="94" t="s">
        <v>119</v>
      </c>
      <c r="H5" s="99" t="s">
        <v>120</v>
      </c>
      <c r="I5" s="425"/>
      <c r="J5" s="425"/>
    </row>
    <row r="6" spans="1:10" x14ac:dyDescent="0.2">
      <c r="A6" s="370" t="s">
        <v>38</v>
      </c>
      <c r="B6" s="378" t="s">
        <v>1</v>
      </c>
      <c r="C6" s="41" t="s">
        <v>27</v>
      </c>
      <c r="D6" s="42">
        <v>0</v>
      </c>
      <c r="E6" s="43">
        <f>I6-D6-F6-G6-H6</f>
        <v>0</v>
      </c>
      <c r="F6" s="38">
        <f>'2019.05.31'!G6</f>
        <v>0</v>
      </c>
      <c r="G6" s="38">
        <f>'2019.05.31'!H6</f>
        <v>0</v>
      </c>
      <c r="H6" s="38">
        <f>'2019.05.31'!I6</f>
        <v>0</v>
      </c>
      <c r="I6" s="74">
        <f>'2019.05.31'!J6</f>
        <v>0</v>
      </c>
      <c r="J6" s="74">
        <f>'2019.05.31'!K6</f>
        <v>0</v>
      </c>
    </row>
    <row r="7" spans="1:10" x14ac:dyDescent="0.2">
      <c r="A7" s="370"/>
      <c r="B7" s="378"/>
      <c r="C7" s="41" t="s">
        <v>39</v>
      </c>
      <c r="D7" s="42">
        <v>0</v>
      </c>
      <c r="E7" s="43">
        <f t="shared" ref="E7:E27" si="0">I7-D7-F7-G7-H7</f>
        <v>0</v>
      </c>
      <c r="F7" s="38">
        <f>'2019.05.31'!G7</f>
        <v>0</v>
      </c>
      <c r="G7" s="38">
        <f>'2019.05.31'!H7</f>
        <v>0</v>
      </c>
      <c r="H7" s="38">
        <f>'2019.05.31'!I7</f>
        <v>0</v>
      </c>
      <c r="I7" s="74">
        <f>'2019.05.31'!J7</f>
        <v>0</v>
      </c>
      <c r="J7" s="74">
        <f>'2019.05.31'!K7</f>
        <v>0</v>
      </c>
    </row>
    <row r="8" spans="1:10" x14ac:dyDescent="0.2">
      <c r="A8" s="370"/>
      <c r="B8" s="378"/>
      <c r="C8" s="41" t="s">
        <v>40</v>
      </c>
      <c r="D8" s="42">
        <v>1500</v>
      </c>
      <c r="E8" s="43">
        <f t="shared" si="0"/>
        <v>0</v>
      </c>
      <c r="F8" s="38">
        <f>'2019.05.31'!G8</f>
        <v>0</v>
      </c>
      <c r="G8" s="38">
        <f>'2019.05.31'!H8</f>
        <v>0</v>
      </c>
      <c r="H8" s="38">
        <f>'2019.05.31'!I8</f>
        <v>0</v>
      </c>
      <c r="I8" s="74">
        <f>'2019.05.31'!J8</f>
        <v>1500</v>
      </c>
      <c r="J8" s="74">
        <f>'2019.05.31'!K8</f>
        <v>796</v>
      </c>
    </row>
    <row r="9" spans="1:10" x14ac:dyDescent="0.2">
      <c r="A9" s="370"/>
      <c r="B9" s="379" t="s">
        <v>4</v>
      </c>
      <c r="C9" s="41" t="s">
        <v>25</v>
      </c>
      <c r="D9" s="42">
        <v>2468000</v>
      </c>
      <c r="E9" s="43">
        <f t="shared" si="0"/>
        <v>0</v>
      </c>
      <c r="F9" s="38">
        <f>'2019.05.31'!G9</f>
        <v>0</v>
      </c>
      <c r="G9" s="38">
        <f>'2019.05.31'!H9</f>
        <v>6029120</v>
      </c>
      <c r="H9" s="38">
        <f>'2019.05.31'!I9</f>
        <v>12724484</v>
      </c>
      <c r="I9" s="74">
        <f>'2019.05.31'!J9</f>
        <v>21221604</v>
      </c>
      <c r="J9" s="74">
        <f>'2019.05.31'!K9</f>
        <v>0</v>
      </c>
    </row>
    <row r="10" spans="1:10" x14ac:dyDescent="0.2">
      <c r="A10" s="370"/>
      <c r="B10" s="380"/>
      <c r="C10" s="41" t="s">
        <v>28</v>
      </c>
      <c r="D10" s="42">
        <v>10810958</v>
      </c>
      <c r="E10" s="43">
        <f t="shared" si="0"/>
        <v>0</v>
      </c>
      <c r="F10" s="38">
        <f>'2019.05.31'!G10</f>
        <v>0</v>
      </c>
      <c r="G10" s="38">
        <f>'2019.05.31'!H10</f>
        <v>0</v>
      </c>
      <c r="H10" s="38">
        <f>'2019.05.31'!I10</f>
        <v>0</v>
      </c>
      <c r="I10" s="74">
        <f>'2019.05.31'!J10</f>
        <v>10810958</v>
      </c>
      <c r="J10" s="74">
        <f>'2019.05.31'!K10</f>
        <v>10810958</v>
      </c>
    </row>
    <row r="11" spans="1:10" x14ac:dyDescent="0.2">
      <c r="A11" s="83" t="s">
        <v>45</v>
      </c>
      <c r="B11" s="97" t="s">
        <v>4</v>
      </c>
      <c r="C11" s="41" t="s">
        <v>25</v>
      </c>
      <c r="D11" s="42">
        <v>16258950</v>
      </c>
      <c r="E11" s="43">
        <f t="shared" si="0"/>
        <v>0</v>
      </c>
      <c r="F11" s="38">
        <f>'2019.05.31'!G11</f>
        <v>0</v>
      </c>
      <c r="G11" s="38">
        <f>'2019.05.31'!H11</f>
        <v>0</v>
      </c>
      <c r="H11" s="38">
        <f>'2019.05.31'!I11</f>
        <v>0</v>
      </c>
      <c r="I11" s="74">
        <f>'2019.05.31'!J11</f>
        <v>16258950</v>
      </c>
      <c r="J11" s="74">
        <f>'2019.05.31'!K11</f>
        <v>5033739</v>
      </c>
    </row>
    <row r="12" spans="1:10" x14ac:dyDescent="0.2">
      <c r="A12" s="339" t="s">
        <v>50</v>
      </c>
      <c r="B12" s="341" t="s">
        <v>4</v>
      </c>
      <c r="C12" s="41" t="s">
        <v>25</v>
      </c>
      <c r="D12" s="42">
        <v>7005263</v>
      </c>
      <c r="E12" s="43">
        <f t="shared" si="0"/>
        <v>0</v>
      </c>
      <c r="F12" s="38">
        <f>'2019.05.31'!G12</f>
        <v>0</v>
      </c>
      <c r="G12" s="38">
        <f>'2019.05.31'!H12</f>
        <v>0</v>
      </c>
      <c r="H12" s="38">
        <f>'2019.05.31'!I12</f>
        <v>0</v>
      </c>
      <c r="I12" s="74">
        <f>'2019.05.31'!J12</f>
        <v>7005263</v>
      </c>
      <c r="J12" s="74">
        <f>'2019.05.31'!K12</f>
        <v>3482094</v>
      </c>
    </row>
    <row r="13" spans="1:10" x14ac:dyDescent="0.2">
      <c r="A13" s="340"/>
      <c r="B13" s="342"/>
      <c r="C13" s="41" t="s">
        <v>37</v>
      </c>
      <c r="D13" s="42">
        <v>4500000</v>
      </c>
      <c r="E13" s="43">
        <f t="shared" si="0"/>
        <v>0</v>
      </c>
      <c r="F13" s="38">
        <f>'2019.05.31'!G13</f>
        <v>0</v>
      </c>
      <c r="G13" s="38">
        <f>'2019.05.31'!H13</f>
        <v>0</v>
      </c>
      <c r="H13" s="38">
        <f>'2019.05.31'!I13</f>
        <v>0</v>
      </c>
      <c r="I13" s="74">
        <f>'2019.05.31'!J13</f>
        <v>4500000</v>
      </c>
      <c r="J13" s="74">
        <f>'2019.05.31'!K13</f>
        <v>3706121</v>
      </c>
    </row>
    <row r="14" spans="1:10" x14ac:dyDescent="0.2">
      <c r="A14" s="82" t="s">
        <v>26</v>
      </c>
      <c r="B14" s="97" t="s">
        <v>4</v>
      </c>
      <c r="C14" s="41" t="s">
        <v>25</v>
      </c>
      <c r="D14" s="42">
        <v>19746500</v>
      </c>
      <c r="E14" s="43">
        <f t="shared" si="0"/>
        <v>0</v>
      </c>
      <c r="F14" s="38">
        <f>'2019.05.31'!G14</f>
        <v>0</v>
      </c>
      <c r="G14" s="38">
        <f>'2019.05.31'!H14</f>
        <v>0</v>
      </c>
      <c r="H14" s="38">
        <f>'2019.05.31'!I14</f>
        <v>0</v>
      </c>
      <c r="I14" s="74">
        <f>'2019.05.31'!J14</f>
        <v>19746500</v>
      </c>
      <c r="J14" s="74">
        <f>'2019.05.31'!K14</f>
        <v>7212167</v>
      </c>
    </row>
    <row r="15" spans="1:10" x14ac:dyDescent="0.2">
      <c r="A15" s="339" t="s">
        <v>46</v>
      </c>
      <c r="B15" s="381" t="s">
        <v>4</v>
      </c>
      <c r="C15" s="41" t="s">
        <v>25</v>
      </c>
      <c r="D15" s="42">
        <v>0</v>
      </c>
      <c r="E15" s="43">
        <f t="shared" si="0"/>
        <v>0</v>
      </c>
      <c r="F15" s="38">
        <f>'2019.05.31'!G15</f>
        <v>0</v>
      </c>
      <c r="G15" s="38">
        <f>'2019.05.31'!H15</f>
        <v>0</v>
      </c>
      <c r="H15" s="38">
        <f>'2019.05.31'!I15</f>
        <v>0</v>
      </c>
      <c r="I15" s="74">
        <f>'2019.05.31'!J15</f>
        <v>0</v>
      </c>
      <c r="J15" s="74">
        <f>'2019.05.31'!K15</f>
        <v>0</v>
      </c>
    </row>
    <row r="16" spans="1:10" x14ac:dyDescent="0.2">
      <c r="A16" s="367"/>
      <c r="B16" s="381"/>
      <c r="C16" s="41" t="s">
        <v>37</v>
      </c>
      <c r="D16" s="42">
        <v>0</v>
      </c>
      <c r="E16" s="43">
        <f t="shared" si="0"/>
        <v>0</v>
      </c>
      <c r="F16" s="38">
        <f>'2019.05.31'!G16</f>
        <v>0</v>
      </c>
      <c r="G16" s="38">
        <f>'2019.05.31'!H16</f>
        <v>0</v>
      </c>
      <c r="H16" s="38">
        <f>'2019.05.31'!I16</f>
        <v>0</v>
      </c>
      <c r="I16" s="74">
        <f>'2019.05.31'!J16</f>
        <v>0</v>
      </c>
      <c r="J16" s="74">
        <f>'2019.05.31'!K16</f>
        <v>0</v>
      </c>
    </row>
    <row r="17" spans="1:10" x14ac:dyDescent="0.2">
      <c r="A17" s="367"/>
      <c r="B17" s="381"/>
      <c r="C17" s="41" t="s">
        <v>28</v>
      </c>
      <c r="D17" s="42">
        <v>199713</v>
      </c>
      <c r="E17" s="43">
        <f t="shared" si="0"/>
        <v>0</v>
      </c>
      <c r="F17" s="38">
        <f>'2019.05.31'!G17</f>
        <v>0</v>
      </c>
      <c r="G17" s="38">
        <f>'2019.05.31'!H17</f>
        <v>0</v>
      </c>
      <c r="H17" s="38">
        <f>'2019.05.31'!I17</f>
        <v>0</v>
      </c>
      <c r="I17" s="74">
        <f>'2019.05.31'!J17</f>
        <v>199713</v>
      </c>
      <c r="J17" s="74">
        <f>'2019.05.31'!K17</f>
        <v>199713</v>
      </c>
    </row>
    <row r="18" spans="1:10" x14ac:dyDescent="0.2">
      <c r="A18" s="367"/>
      <c r="B18" s="381" t="s">
        <v>8</v>
      </c>
      <c r="C18" s="41" t="s">
        <v>40</v>
      </c>
      <c r="D18" s="42">
        <v>0</v>
      </c>
      <c r="E18" s="43">
        <f t="shared" si="0"/>
        <v>0</v>
      </c>
      <c r="F18" s="38">
        <f>'2019.05.31'!G18</f>
        <v>0</v>
      </c>
      <c r="G18" s="38">
        <f>'2019.05.31'!H18</f>
        <v>0</v>
      </c>
      <c r="H18" s="38">
        <f>'2019.05.31'!I18</f>
        <v>0</v>
      </c>
      <c r="I18" s="74">
        <f>'2019.05.31'!J18</f>
        <v>0</v>
      </c>
      <c r="J18" s="74">
        <f>'2019.05.31'!K18</f>
        <v>0</v>
      </c>
    </row>
    <row r="19" spans="1:10" x14ac:dyDescent="0.2">
      <c r="A19" s="367"/>
      <c r="B19" s="381"/>
      <c r="C19" s="41" t="s">
        <v>41</v>
      </c>
      <c r="D19" s="42">
        <v>0</v>
      </c>
      <c r="E19" s="43">
        <f t="shared" si="0"/>
        <v>0</v>
      </c>
      <c r="F19" s="38">
        <f>'2019.05.31'!G19</f>
        <v>0</v>
      </c>
      <c r="G19" s="38">
        <f>'2019.05.31'!H19</f>
        <v>0</v>
      </c>
      <c r="H19" s="38">
        <f>'2019.05.31'!I19</f>
        <v>0</v>
      </c>
      <c r="I19" s="74">
        <f>'2019.05.31'!J19</f>
        <v>0</v>
      </c>
      <c r="J19" s="74">
        <f>'2019.05.31'!K19</f>
        <v>0</v>
      </c>
    </row>
    <row r="20" spans="1:10" x14ac:dyDescent="0.2">
      <c r="A20" s="348" t="s">
        <v>47</v>
      </c>
      <c r="B20" s="341" t="s">
        <v>4</v>
      </c>
      <c r="C20" s="41" t="s">
        <v>25</v>
      </c>
      <c r="D20" s="42">
        <v>37214812</v>
      </c>
      <c r="E20" s="43">
        <f t="shared" si="0"/>
        <v>0</v>
      </c>
      <c r="F20" s="38">
        <f>'2019.05.31'!G20</f>
        <v>0</v>
      </c>
      <c r="G20" s="38">
        <f>'2019.05.31'!H20</f>
        <v>0</v>
      </c>
      <c r="H20" s="38">
        <f>'2019.05.31'!I20</f>
        <v>0</v>
      </c>
      <c r="I20" s="74">
        <f>'2019.05.31'!J20</f>
        <v>37214812</v>
      </c>
      <c r="J20" s="74">
        <f>'2019.05.31'!K20</f>
        <v>396817</v>
      </c>
    </row>
    <row r="21" spans="1:10" x14ac:dyDescent="0.2">
      <c r="A21" s="349"/>
      <c r="B21" s="382"/>
      <c r="C21" s="41" t="s">
        <v>37</v>
      </c>
      <c r="D21" s="42">
        <v>0</v>
      </c>
      <c r="E21" s="43">
        <f t="shared" si="0"/>
        <v>0</v>
      </c>
      <c r="F21" s="38">
        <f>'2019.05.31'!G21</f>
        <v>654581</v>
      </c>
      <c r="G21" s="38">
        <f>'2019.05.31'!H21</f>
        <v>0</v>
      </c>
      <c r="H21" s="38">
        <f>'2019.05.31'!I21</f>
        <v>0</v>
      </c>
      <c r="I21" s="74">
        <f>'2019.05.31'!J21</f>
        <v>654581</v>
      </c>
      <c r="J21" s="74">
        <f>'2019.05.31'!K21</f>
        <v>654581</v>
      </c>
    </row>
    <row r="22" spans="1:10" x14ac:dyDescent="0.2">
      <c r="A22" s="349"/>
      <c r="B22" s="342"/>
      <c r="C22" s="41" t="s">
        <v>28</v>
      </c>
      <c r="D22" s="42">
        <v>17033910</v>
      </c>
      <c r="E22" s="43">
        <f t="shared" si="0"/>
        <v>0</v>
      </c>
      <c r="F22" s="38">
        <f>'2019.05.31'!G22</f>
        <v>0</v>
      </c>
      <c r="G22" s="38">
        <f>'2019.05.31'!H22</f>
        <v>0</v>
      </c>
      <c r="H22" s="38">
        <f>'2019.05.31'!I22</f>
        <v>0</v>
      </c>
      <c r="I22" s="74">
        <f>'2019.05.31'!J22</f>
        <v>17033910</v>
      </c>
      <c r="J22" s="74">
        <f>'2019.05.31'!K22</f>
        <v>17033910</v>
      </c>
    </row>
    <row r="23" spans="1:10" x14ac:dyDescent="0.2">
      <c r="A23" s="349"/>
      <c r="B23" s="341" t="s">
        <v>17</v>
      </c>
      <c r="C23" s="41" t="s">
        <v>41</v>
      </c>
      <c r="D23" s="42">
        <v>0</v>
      </c>
      <c r="E23" s="43">
        <f t="shared" ref="E23" si="1">I23-D23-F23-G23-H23</f>
        <v>100</v>
      </c>
      <c r="F23" s="38">
        <f>'2019.05.31'!G23</f>
        <v>0</v>
      </c>
      <c r="G23" s="38">
        <f>'2019.05.31'!H23</f>
        <v>0</v>
      </c>
      <c r="H23" s="38">
        <f>'2019.05.31'!I23</f>
        <v>0</v>
      </c>
      <c r="I23" s="74">
        <f>'2019.05.31'!J23</f>
        <v>100</v>
      </c>
      <c r="J23" s="74">
        <f>'2019.05.31'!K23</f>
        <v>100</v>
      </c>
    </row>
    <row r="24" spans="1:10" x14ac:dyDescent="0.2">
      <c r="A24" s="350"/>
      <c r="B24" s="342"/>
      <c r="C24" s="41" t="s">
        <v>40</v>
      </c>
      <c r="D24" s="42">
        <v>800</v>
      </c>
      <c r="E24" s="43">
        <f t="shared" si="0"/>
        <v>-100</v>
      </c>
      <c r="F24" s="38">
        <f>'2019.05.31'!G24</f>
        <v>0</v>
      </c>
      <c r="G24" s="38">
        <f>'2019.05.31'!H24</f>
        <v>0</v>
      </c>
      <c r="H24" s="38">
        <f>'2019.05.31'!I24</f>
        <v>0</v>
      </c>
      <c r="I24" s="74">
        <f>'2019.05.31'!J24</f>
        <v>700</v>
      </c>
      <c r="J24" s="74">
        <f>'2019.05.31'!K24</f>
        <v>0</v>
      </c>
    </row>
    <row r="25" spans="1:10" x14ac:dyDescent="0.2">
      <c r="A25" s="9" t="s">
        <v>29</v>
      </c>
      <c r="B25" s="97" t="s">
        <v>4</v>
      </c>
      <c r="C25" s="41" t="s">
        <v>25</v>
      </c>
      <c r="D25" s="51">
        <v>260269918</v>
      </c>
      <c r="E25" s="43">
        <f t="shared" si="0"/>
        <v>0</v>
      </c>
      <c r="F25" s="38">
        <f>'2019.05.31'!G25</f>
        <v>0</v>
      </c>
      <c r="G25" s="38">
        <f>'2019.05.31'!H25</f>
        <v>0</v>
      </c>
      <c r="H25" s="38">
        <f>'2019.05.31'!I25</f>
        <v>0</v>
      </c>
      <c r="I25" s="74">
        <f>'2019.05.31'!J25</f>
        <v>260269918</v>
      </c>
      <c r="J25" s="74">
        <f>'2019.05.31'!K25</f>
        <v>114017683</v>
      </c>
    </row>
    <row r="26" spans="1:10" x14ac:dyDescent="0.2">
      <c r="A26" s="9" t="s">
        <v>87</v>
      </c>
      <c r="B26" s="97" t="s">
        <v>4</v>
      </c>
      <c r="C26" s="41" t="s">
        <v>25</v>
      </c>
      <c r="D26" s="51">
        <v>3196558</v>
      </c>
      <c r="E26" s="43">
        <f t="shared" si="0"/>
        <v>0</v>
      </c>
      <c r="F26" s="38">
        <f>'2019.05.31'!G26</f>
        <v>0</v>
      </c>
      <c r="G26" s="38">
        <f>'2019.05.31'!H26</f>
        <v>0</v>
      </c>
      <c r="H26" s="38">
        <f>'2019.05.31'!I26</f>
        <v>0</v>
      </c>
      <c r="I26" s="74">
        <f>'2019.05.31'!J26</f>
        <v>3196558</v>
      </c>
      <c r="J26" s="74">
        <f>'2019.05.31'!K26</f>
        <v>1014769</v>
      </c>
    </row>
    <row r="27" spans="1:10" x14ac:dyDescent="0.2">
      <c r="A27" s="10" t="s">
        <v>42</v>
      </c>
      <c r="B27" s="97" t="s">
        <v>4</v>
      </c>
      <c r="C27" s="41" t="s">
        <v>25</v>
      </c>
      <c r="D27" s="42">
        <v>47502672</v>
      </c>
      <c r="E27" s="43">
        <f t="shared" si="0"/>
        <v>0</v>
      </c>
      <c r="F27" s="38">
        <f>'2019.05.31'!G27</f>
        <v>0</v>
      </c>
      <c r="G27" s="38">
        <f>'2019.05.31'!H27</f>
        <v>0</v>
      </c>
      <c r="H27" s="38">
        <f>'2019.05.31'!I27</f>
        <v>0</v>
      </c>
      <c r="I27" s="74">
        <f>'2019.05.31'!J27</f>
        <v>47502672</v>
      </c>
      <c r="J27" s="74">
        <f>'2019.05.31'!K27</f>
        <v>18429678</v>
      </c>
    </row>
    <row r="28" spans="1:10" ht="34.5" customHeight="1" x14ac:dyDescent="0.2">
      <c r="A28" s="435" t="s">
        <v>85</v>
      </c>
      <c r="B28" s="436"/>
      <c r="C28" s="437"/>
      <c r="D28" s="92">
        <f>SUM(D6:D27)</f>
        <v>426209554</v>
      </c>
      <c r="E28" s="92">
        <f t="shared" ref="E28:I28" si="2">SUM(E6:E27)</f>
        <v>0</v>
      </c>
      <c r="F28" s="92">
        <f t="shared" si="2"/>
        <v>654581</v>
      </c>
      <c r="G28" s="92">
        <f t="shared" si="2"/>
        <v>6029120</v>
      </c>
      <c r="H28" s="92">
        <f t="shared" si="2"/>
        <v>12724484</v>
      </c>
      <c r="I28" s="92">
        <f t="shared" si="2"/>
        <v>445617739</v>
      </c>
      <c r="J28" s="92">
        <f t="shared" ref="J28" si="3">SUM(J6:J27)</f>
        <v>181993126</v>
      </c>
    </row>
    <row r="29" spans="1:10" x14ac:dyDescent="0.2">
      <c r="A29" s="339" t="s">
        <v>18</v>
      </c>
      <c r="B29" s="368" t="s">
        <v>1</v>
      </c>
      <c r="C29" s="41" t="s">
        <v>22</v>
      </c>
      <c r="D29" s="44">
        <v>24000</v>
      </c>
      <c r="E29" s="43">
        <f t="shared" ref="E29:E74" si="4">I29-D29-F29-G29-H29</f>
        <v>0</v>
      </c>
      <c r="F29" s="38">
        <f>'2019.05.31'!G29</f>
        <v>0</v>
      </c>
      <c r="G29" s="38">
        <f>'2019.05.31'!H29</f>
        <v>0</v>
      </c>
      <c r="H29" s="38">
        <f>'2019.05.31'!I29</f>
        <v>0</v>
      </c>
      <c r="I29" s="4">
        <f>'2019.05.31'!J29</f>
        <v>24000</v>
      </c>
      <c r="J29" s="74">
        <f>'2019.05.31'!K29</f>
        <v>0</v>
      </c>
    </row>
    <row r="30" spans="1:10" x14ac:dyDescent="0.2">
      <c r="A30" s="367"/>
      <c r="B30" s="369"/>
      <c r="C30" s="41" t="s">
        <v>89</v>
      </c>
      <c r="D30" s="38">
        <v>1870</v>
      </c>
      <c r="E30" s="43">
        <f t="shared" si="4"/>
        <v>0</v>
      </c>
      <c r="F30" s="38">
        <f>'2019.05.31'!G30</f>
        <v>0</v>
      </c>
      <c r="G30" s="38">
        <f>'2019.05.31'!H30</f>
        <v>0</v>
      </c>
      <c r="H30" s="38">
        <f>'2019.05.31'!I30</f>
        <v>0</v>
      </c>
      <c r="I30" s="4">
        <f>'2019.05.31'!J30</f>
        <v>1870</v>
      </c>
      <c r="J30" s="74">
        <f>'2019.05.31'!K30</f>
        <v>0</v>
      </c>
    </row>
    <row r="31" spans="1:10" x14ac:dyDescent="0.2">
      <c r="A31" s="367"/>
      <c r="B31" s="369"/>
      <c r="C31" s="39" t="s">
        <v>2</v>
      </c>
      <c r="D31" s="38">
        <v>17684057</v>
      </c>
      <c r="E31" s="43">
        <f t="shared" si="4"/>
        <v>-109342</v>
      </c>
      <c r="F31" s="38">
        <f>'2019.05.31'!G31</f>
        <v>0</v>
      </c>
      <c r="G31" s="38">
        <f>'2019.05.31'!H31</f>
        <v>0</v>
      </c>
      <c r="H31" s="38">
        <f>'2019.05.31'!I31</f>
        <v>0</v>
      </c>
      <c r="I31" s="4">
        <f>'2019.05.31'!J31</f>
        <v>17574715</v>
      </c>
      <c r="J31" s="74">
        <f>'2019.05.31'!K31</f>
        <v>3367975</v>
      </c>
    </row>
    <row r="32" spans="1:10" x14ac:dyDescent="0.2">
      <c r="A32" s="367"/>
      <c r="B32" s="369"/>
      <c r="C32" s="39" t="s">
        <v>117</v>
      </c>
      <c r="D32" s="38">
        <v>0</v>
      </c>
      <c r="E32" s="43">
        <f t="shared" si="4"/>
        <v>24420</v>
      </c>
      <c r="F32" s="38">
        <f>'2019.05.31'!G32</f>
        <v>0</v>
      </c>
      <c r="G32" s="38">
        <f>'2019.05.31'!H32</f>
        <v>0</v>
      </c>
      <c r="H32" s="38">
        <f>'2019.05.31'!I32</f>
        <v>0</v>
      </c>
      <c r="I32" s="4">
        <f>'2019.05.31'!J32</f>
        <v>24420</v>
      </c>
      <c r="J32" s="74">
        <f>'2019.05.31'!K32</f>
        <v>24420</v>
      </c>
    </row>
    <row r="33" spans="1:10" x14ac:dyDescent="0.2">
      <c r="A33" s="367"/>
      <c r="B33" s="369"/>
      <c r="C33" s="41" t="s">
        <v>11</v>
      </c>
      <c r="D33" s="38">
        <v>60264</v>
      </c>
      <c r="E33" s="43">
        <f t="shared" si="4"/>
        <v>1922</v>
      </c>
      <c r="F33" s="38">
        <f>'2019.05.31'!G33</f>
        <v>0</v>
      </c>
      <c r="G33" s="38">
        <f>'2019.05.31'!H33</f>
        <v>0</v>
      </c>
      <c r="H33" s="38">
        <f>'2019.05.31'!I33</f>
        <v>0</v>
      </c>
      <c r="I33" s="4">
        <f>'2019.05.31'!J33</f>
        <v>62186</v>
      </c>
      <c r="J33" s="74">
        <f>'2019.05.31'!K33</f>
        <v>53681</v>
      </c>
    </row>
    <row r="34" spans="1:10" x14ac:dyDescent="0.2">
      <c r="A34" s="367"/>
      <c r="B34" s="423"/>
      <c r="C34" s="41" t="s">
        <v>91</v>
      </c>
      <c r="D34" s="38">
        <v>0</v>
      </c>
      <c r="E34" s="43">
        <f t="shared" si="4"/>
        <v>83000</v>
      </c>
      <c r="F34" s="38">
        <f>'2019.05.31'!G34</f>
        <v>0</v>
      </c>
      <c r="G34" s="38">
        <f>'2019.05.31'!H34</f>
        <v>0</v>
      </c>
      <c r="H34" s="38">
        <f>'2019.05.31'!I34</f>
        <v>0</v>
      </c>
      <c r="I34" s="4">
        <f>'2019.05.31'!J34</f>
        <v>83000</v>
      </c>
      <c r="J34" s="74">
        <f>'2019.05.31'!K34</f>
        <v>83000</v>
      </c>
    </row>
    <row r="35" spans="1:10" x14ac:dyDescent="0.2">
      <c r="A35" s="367"/>
      <c r="B35" s="341" t="s">
        <v>4</v>
      </c>
      <c r="C35" s="41" t="s">
        <v>23</v>
      </c>
      <c r="D35" s="38">
        <v>2267</v>
      </c>
      <c r="E35" s="43">
        <f t="shared" si="4"/>
        <v>0</v>
      </c>
      <c r="F35" s="38">
        <f>'2019.05.31'!G35</f>
        <v>0</v>
      </c>
      <c r="G35" s="38">
        <f>'2019.05.31'!H35</f>
        <v>0</v>
      </c>
      <c r="H35" s="38">
        <f>'2019.05.31'!I35</f>
        <v>0</v>
      </c>
      <c r="I35" s="4">
        <f>'2019.05.31'!J35</f>
        <v>2267</v>
      </c>
      <c r="J35" s="74">
        <f>'2019.05.31'!K35</f>
        <v>2267</v>
      </c>
    </row>
    <row r="36" spans="1:10" x14ac:dyDescent="0.2">
      <c r="A36" s="367"/>
      <c r="B36" s="383"/>
      <c r="C36" s="41" t="s">
        <v>5</v>
      </c>
      <c r="D36" s="42">
        <v>0</v>
      </c>
      <c r="E36" s="43">
        <f t="shared" si="4"/>
        <v>0</v>
      </c>
      <c r="F36" s="38">
        <f>'2019.05.31'!G36</f>
        <v>0</v>
      </c>
      <c r="G36" s="38">
        <f>'2019.05.31'!H36</f>
        <v>0</v>
      </c>
      <c r="H36" s="38">
        <f>'2019.05.31'!I36</f>
        <v>0</v>
      </c>
      <c r="I36" s="4">
        <f>'2019.05.31'!J36</f>
        <v>0</v>
      </c>
      <c r="J36" s="74">
        <f>'2019.05.31'!K36</f>
        <v>0</v>
      </c>
    </row>
    <row r="37" spans="1:10" x14ac:dyDescent="0.2">
      <c r="A37" s="367"/>
      <c r="B37" s="383"/>
      <c r="C37" s="39" t="s">
        <v>3</v>
      </c>
      <c r="D37" s="38">
        <v>313437148</v>
      </c>
      <c r="E37" s="43">
        <f t="shared" si="4"/>
        <v>0</v>
      </c>
      <c r="F37" s="38">
        <f>'2019.05.31'!G37</f>
        <v>0</v>
      </c>
      <c r="G37" s="38">
        <f>'2019.05.31'!H37</f>
        <v>6029120</v>
      </c>
      <c r="H37" s="38">
        <f>'2019.05.31'!I37</f>
        <v>12724484</v>
      </c>
      <c r="I37" s="4">
        <f>'2019.05.31'!J37</f>
        <v>332190752</v>
      </c>
      <c r="J37" s="74">
        <f>'2019.05.31'!K37</f>
        <v>127347864</v>
      </c>
    </row>
    <row r="38" spans="1:10" x14ac:dyDescent="0.2">
      <c r="A38" s="339" t="s">
        <v>20</v>
      </c>
      <c r="B38" s="368" t="s">
        <v>6</v>
      </c>
      <c r="C38" s="41" t="s">
        <v>23</v>
      </c>
      <c r="D38" s="42">
        <v>0</v>
      </c>
      <c r="E38" s="43">
        <f t="shared" si="4"/>
        <v>0</v>
      </c>
      <c r="F38" s="38">
        <f>'2019.05.31'!G38</f>
        <v>0</v>
      </c>
      <c r="G38" s="38">
        <f>'2019.05.31'!H38</f>
        <v>0</v>
      </c>
      <c r="H38" s="38">
        <f>'2019.05.31'!I38</f>
        <v>0</v>
      </c>
      <c r="I38" s="4">
        <f>'2019.05.31'!J38</f>
        <v>0</v>
      </c>
      <c r="J38" s="74">
        <f>'2019.05.31'!K38</f>
        <v>0</v>
      </c>
    </row>
    <row r="39" spans="1:10" x14ac:dyDescent="0.2">
      <c r="A39" s="358"/>
      <c r="B39" s="369"/>
      <c r="C39" s="39" t="s">
        <v>5</v>
      </c>
      <c r="D39" s="38">
        <v>16258950</v>
      </c>
      <c r="E39" s="43">
        <f t="shared" si="4"/>
        <v>0</v>
      </c>
      <c r="F39" s="38">
        <f>'2019.05.31'!G39</f>
        <v>0</v>
      </c>
      <c r="G39" s="38">
        <f>'2019.05.31'!H39</f>
        <v>0</v>
      </c>
      <c r="H39" s="38">
        <f>'2019.05.31'!I39</f>
        <v>0</v>
      </c>
      <c r="I39" s="4">
        <f>'2019.05.31'!J39</f>
        <v>16258950</v>
      </c>
      <c r="J39" s="74">
        <f>'2019.05.31'!K39</f>
        <v>5419651</v>
      </c>
    </row>
    <row r="40" spans="1:10" x14ac:dyDescent="0.2">
      <c r="A40" s="339" t="s">
        <v>24</v>
      </c>
      <c r="B40" s="341" t="s">
        <v>4</v>
      </c>
      <c r="C40" s="41" t="s">
        <v>23</v>
      </c>
      <c r="D40" s="38">
        <v>7005263</v>
      </c>
      <c r="E40" s="43">
        <f t="shared" si="4"/>
        <v>0</v>
      </c>
      <c r="F40" s="38">
        <f>'2019.05.31'!G40</f>
        <v>0</v>
      </c>
      <c r="G40" s="38">
        <f>'2019.05.31'!H40</f>
        <v>0</v>
      </c>
      <c r="H40" s="38">
        <f>'2019.05.31'!I40</f>
        <v>0</v>
      </c>
      <c r="I40" s="4">
        <f>'2019.05.31'!J40</f>
        <v>7005263</v>
      </c>
      <c r="J40" s="74">
        <f>'2019.05.31'!K40</f>
        <v>1842527</v>
      </c>
    </row>
    <row r="41" spans="1:10" x14ac:dyDescent="0.2">
      <c r="A41" s="340"/>
      <c r="B41" s="342"/>
      <c r="C41" s="41" t="s">
        <v>90</v>
      </c>
      <c r="D41" s="38">
        <v>4500000</v>
      </c>
      <c r="E41" s="43">
        <f t="shared" si="4"/>
        <v>0</v>
      </c>
      <c r="F41" s="38">
        <f>'2019.05.31'!G41</f>
        <v>0</v>
      </c>
      <c r="G41" s="38">
        <f>'2019.05.31'!H41</f>
        <v>0</v>
      </c>
      <c r="H41" s="38">
        <f>'2019.05.31'!I41</f>
        <v>0</v>
      </c>
      <c r="I41" s="4">
        <f>'2019.05.31'!J41</f>
        <v>4500000</v>
      </c>
      <c r="J41" s="74">
        <f>'2019.05.31'!K41</f>
        <v>2200239</v>
      </c>
    </row>
    <row r="42" spans="1:10" x14ac:dyDescent="0.2">
      <c r="A42" s="339" t="s">
        <v>30</v>
      </c>
      <c r="B42" s="341" t="s">
        <v>4</v>
      </c>
      <c r="C42" s="41" t="s">
        <v>23</v>
      </c>
      <c r="D42" s="38">
        <v>12736500</v>
      </c>
      <c r="E42" s="43">
        <f t="shared" si="4"/>
        <v>0</v>
      </c>
      <c r="F42" s="38">
        <f>'2019.05.31'!G42</f>
        <v>0</v>
      </c>
      <c r="G42" s="38">
        <f>'2019.05.31'!H42</f>
        <v>0</v>
      </c>
      <c r="H42" s="38">
        <f>'2019.05.31'!I42</f>
        <v>0</v>
      </c>
      <c r="I42" s="4">
        <f>'2019.05.31'!J42</f>
        <v>12736500</v>
      </c>
      <c r="J42" s="74">
        <f>'2019.05.31'!K42</f>
        <v>5085209</v>
      </c>
    </row>
    <row r="43" spans="1:10" x14ac:dyDescent="0.2">
      <c r="A43" s="340"/>
      <c r="B43" s="342"/>
      <c r="C43" s="41" t="s">
        <v>5</v>
      </c>
      <c r="D43" s="38">
        <v>50000</v>
      </c>
      <c r="E43" s="43">
        <f t="shared" si="4"/>
        <v>0</v>
      </c>
      <c r="F43" s="38">
        <f>'2019.05.31'!G43</f>
        <v>0</v>
      </c>
      <c r="G43" s="38">
        <f>'2019.05.31'!H43</f>
        <v>0</v>
      </c>
      <c r="H43" s="38">
        <f>'2019.05.31'!I43</f>
        <v>0</v>
      </c>
      <c r="I43" s="4">
        <f>'2019.05.31'!J43</f>
        <v>50000</v>
      </c>
      <c r="J43" s="74">
        <f>'2019.05.31'!K43</f>
        <v>50000</v>
      </c>
    </row>
    <row r="44" spans="1:10" x14ac:dyDescent="0.2">
      <c r="A44" s="339" t="s">
        <v>48</v>
      </c>
      <c r="B44" s="368" t="s">
        <v>8</v>
      </c>
      <c r="C44" s="39" t="s">
        <v>7</v>
      </c>
      <c r="D44" s="38">
        <v>0</v>
      </c>
      <c r="E44" s="43">
        <f t="shared" si="4"/>
        <v>0</v>
      </c>
      <c r="F44" s="38">
        <f>'2019.05.31'!G44</f>
        <v>0</v>
      </c>
      <c r="G44" s="38">
        <f>'2019.05.31'!H44</f>
        <v>0</v>
      </c>
      <c r="H44" s="38">
        <f>'2019.05.31'!I44</f>
        <v>0</v>
      </c>
      <c r="I44" s="4">
        <f>'2019.05.31'!J44</f>
        <v>0</v>
      </c>
      <c r="J44" s="74">
        <f>'2019.05.31'!K44</f>
        <v>0</v>
      </c>
    </row>
    <row r="45" spans="1:10" x14ac:dyDescent="0.2">
      <c r="A45" s="367"/>
      <c r="B45" s="369"/>
      <c r="C45" s="39" t="s">
        <v>9</v>
      </c>
      <c r="D45" s="38">
        <v>0</v>
      </c>
      <c r="E45" s="43">
        <f t="shared" si="4"/>
        <v>0</v>
      </c>
      <c r="F45" s="38">
        <f>'2019.05.31'!G45</f>
        <v>0</v>
      </c>
      <c r="G45" s="38">
        <f>'2019.05.31'!H45</f>
        <v>0</v>
      </c>
      <c r="H45" s="38">
        <f>'2019.05.31'!I45</f>
        <v>0</v>
      </c>
      <c r="I45" s="4">
        <f>'2019.05.31'!J45</f>
        <v>0</v>
      </c>
      <c r="J45" s="74">
        <f>'2019.05.31'!K45</f>
        <v>0</v>
      </c>
    </row>
    <row r="46" spans="1:10" x14ac:dyDescent="0.2">
      <c r="A46" s="367"/>
      <c r="B46" s="369"/>
      <c r="C46" s="39" t="s">
        <v>10</v>
      </c>
      <c r="D46" s="38">
        <v>0</v>
      </c>
      <c r="E46" s="43">
        <f t="shared" si="4"/>
        <v>0</v>
      </c>
      <c r="F46" s="38">
        <f>'2019.05.31'!G46</f>
        <v>0</v>
      </c>
      <c r="G46" s="38">
        <f>'2019.05.31'!H46</f>
        <v>0</v>
      </c>
      <c r="H46" s="38">
        <f>'2019.05.31'!I46</f>
        <v>0</v>
      </c>
      <c r="I46" s="4">
        <f>'2019.05.31'!J46</f>
        <v>0</v>
      </c>
      <c r="J46" s="74">
        <f>'2019.05.31'!K46</f>
        <v>0</v>
      </c>
    </row>
    <row r="47" spans="1:10" x14ac:dyDescent="0.2">
      <c r="A47" s="367"/>
      <c r="B47" s="369"/>
      <c r="C47" s="39" t="s">
        <v>2</v>
      </c>
      <c r="D47" s="38">
        <v>199713</v>
      </c>
      <c r="E47" s="43">
        <f t="shared" si="4"/>
        <v>-100000</v>
      </c>
      <c r="F47" s="38">
        <f>'2019.05.31'!G47</f>
        <v>0</v>
      </c>
      <c r="G47" s="38">
        <f>'2019.05.31'!H47</f>
        <v>0</v>
      </c>
      <c r="H47" s="38">
        <f>'2019.05.31'!I47</f>
        <v>0</v>
      </c>
      <c r="I47" s="4">
        <f>'2019.05.31'!J47</f>
        <v>99713</v>
      </c>
      <c r="J47" s="74">
        <v>500</v>
      </c>
    </row>
    <row r="48" spans="1:10" x14ac:dyDescent="0.2">
      <c r="A48" s="367"/>
      <c r="B48" s="369"/>
      <c r="C48" s="39" t="s">
        <v>11</v>
      </c>
      <c r="D48" s="38">
        <v>0</v>
      </c>
      <c r="E48" s="43">
        <f t="shared" si="4"/>
        <v>0</v>
      </c>
      <c r="F48" s="38">
        <f>'2019.05.31'!G48</f>
        <v>0</v>
      </c>
      <c r="G48" s="38">
        <f>'2019.05.31'!H48</f>
        <v>0</v>
      </c>
      <c r="H48" s="38">
        <f>'2019.05.31'!I48</f>
        <v>0</v>
      </c>
      <c r="I48" s="4">
        <f>'2019.05.31'!J48</f>
        <v>0</v>
      </c>
      <c r="J48" s="74">
        <f>'2019.05.31'!K48</f>
        <v>0</v>
      </c>
    </row>
    <row r="49" spans="1:10" x14ac:dyDescent="0.2">
      <c r="A49" s="367"/>
      <c r="B49" s="369"/>
      <c r="C49" s="39" t="s">
        <v>12</v>
      </c>
      <c r="D49" s="38">
        <v>0</v>
      </c>
      <c r="E49" s="43">
        <f t="shared" si="4"/>
        <v>100000</v>
      </c>
      <c r="F49" s="38">
        <f>'2019.05.31'!G49</f>
        <v>0</v>
      </c>
      <c r="G49" s="38">
        <f>'2019.05.31'!H49</f>
        <v>0</v>
      </c>
      <c r="H49" s="38">
        <f>'2019.05.31'!I49</f>
        <v>0</v>
      </c>
      <c r="I49" s="4">
        <f>'2019.05.31'!J49</f>
        <v>100000</v>
      </c>
      <c r="J49" s="74">
        <f>'2019.05.31'!K49</f>
        <v>100000</v>
      </c>
    </row>
    <row r="50" spans="1:10" x14ac:dyDescent="0.2">
      <c r="A50" s="367"/>
      <c r="B50" s="369"/>
      <c r="C50" s="41" t="s">
        <v>31</v>
      </c>
      <c r="D50" s="38">
        <v>0</v>
      </c>
      <c r="E50" s="43">
        <f t="shared" si="4"/>
        <v>0</v>
      </c>
      <c r="F50" s="38">
        <f>'2019.05.31'!G50</f>
        <v>0</v>
      </c>
      <c r="G50" s="38">
        <f>'2019.05.31'!H50</f>
        <v>0</v>
      </c>
      <c r="H50" s="38">
        <f>'2019.05.31'!I50</f>
        <v>0</v>
      </c>
      <c r="I50" s="4">
        <f>'2019.05.31'!J50</f>
        <v>0</v>
      </c>
      <c r="J50" s="74">
        <f>'2019.05.31'!K50</f>
        <v>0</v>
      </c>
    </row>
    <row r="51" spans="1:10" x14ac:dyDescent="0.2">
      <c r="A51" s="367"/>
      <c r="B51" s="369"/>
      <c r="C51" s="41" t="s">
        <v>32</v>
      </c>
      <c r="D51" s="38">
        <v>0</v>
      </c>
      <c r="E51" s="43">
        <f t="shared" si="4"/>
        <v>0</v>
      </c>
      <c r="F51" s="38">
        <f>'2019.05.31'!G51</f>
        <v>0</v>
      </c>
      <c r="G51" s="38">
        <f>'2019.05.31'!H51</f>
        <v>0</v>
      </c>
      <c r="H51" s="38">
        <f>'2019.05.31'!I51</f>
        <v>0</v>
      </c>
      <c r="I51" s="4">
        <f>'2019.05.31'!J51</f>
        <v>0</v>
      </c>
      <c r="J51" s="74">
        <f>'2019.05.31'!K51</f>
        <v>0</v>
      </c>
    </row>
    <row r="52" spans="1:10" x14ac:dyDescent="0.2">
      <c r="A52" s="367"/>
      <c r="B52" s="369"/>
      <c r="C52" s="39" t="s">
        <v>13</v>
      </c>
      <c r="D52" s="38">
        <v>0</v>
      </c>
      <c r="E52" s="43">
        <f t="shared" si="4"/>
        <v>0</v>
      </c>
      <c r="F52" s="38">
        <f>'2019.05.31'!G52</f>
        <v>0</v>
      </c>
      <c r="G52" s="38">
        <f>'2019.05.31'!H52</f>
        <v>0</v>
      </c>
      <c r="H52" s="38">
        <f>'2019.05.31'!I52</f>
        <v>0</v>
      </c>
      <c r="I52" s="4">
        <f>'2019.05.31'!J52</f>
        <v>0</v>
      </c>
      <c r="J52" s="74">
        <f>'2019.05.31'!K52</f>
        <v>0</v>
      </c>
    </row>
    <row r="53" spans="1:10" x14ac:dyDescent="0.2">
      <c r="A53" s="367"/>
      <c r="B53" s="369"/>
      <c r="C53" s="39" t="s">
        <v>14</v>
      </c>
      <c r="D53" s="38">
        <v>0</v>
      </c>
      <c r="E53" s="43">
        <f t="shared" si="4"/>
        <v>0</v>
      </c>
      <c r="F53" s="38">
        <f>'2019.05.31'!G53</f>
        <v>0</v>
      </c>
      <c r="G53" s="38">
        <f>'2019.05.31'!H53</f>
        <v>0</v>
      </c>
      <c r="H53" s="38">
        <f>'2019.05.31'!I53</f>
        <v>0</v>
      </c>
      <c r="I53" s="4">
        <f>'2019.05.31'!J53</f>
        <v>0</v>
      </c>
      <c r="J53" s="74">
        <f>'2019.05.31'!K53</f>
        <v>0</v>
      </c>
    </row>
    <row r="54" spans="1:10" x14ac:dyDescent="0.2">
      <c r="A54" s="367"/>
      <c r="B54" s="369"/>
      <c r="C54" s="39" t="s">
        <v>15</v>
      </c>
      <c r="D54" s="38">
        <v>0</v>
      </c>
      <c r="E54" s="43">
        <f t="shared" si="4"/>
        <v>0</v>
      </c>
      <c r="F54" s="38">
        <f>'2019.05.31'!G54</f>
        <v>0</v>
      </c>
      <c r="G54" s="38">
        <f>'2019.05.31'!H54</f>
        <v>0</v>
      </c>
      <c r="H54" s="38">
        <f>'2019.05.31'!I54</f>
        <v>0</v>
      </c>
      <c r="I54" s="4">
        <f>'2019.05.31'!J54</f>
        <v>0</v>
      </c>
      <c r="J54" s="74">
        <f>'2019.05.31'!K54</f>
        <v>0</v>
      </c>
    </row>
    <row r="55" spans="1:10" x14ac:dyDescent="0.2">
      <c r="A55" s="367"/>
      <c r="B55" s="369"/>
      <c r="C55" s="39" t="s">
        <v>16</v>
      </c>
      <c r="D55" s="38">
        <v>0</v>
      </c>
      <c r="E55" s="43">
        <f t="shared" si="4"/>
        <v>0</v>
      </c>
      <c r="F55" s="38">
        <f>'2019.05.31'!G55</f>
        <v>0</v>
      </c>
      <c r="G55" s="38">
        <f>'2019.05.31'!H55</f>
        <v>0</v>
      </c>
      <c r="H55" s="38">
        <f>'2019.05.31'!I55</f>
        <v>0</v>
      </c>
      <c r="I55" s="4">
        <f>'2019.05.31'!J55</f>
        <v>0</v>
      </c>
      <c r="J55" s="74">
        <f>'2019.05.31'!K55</f>
        <v>0</v>
      </c>
    </row>
    <row r="56" spans="1:10" x14ac:dyDescent="0.2">
      <c r="A56" s="393" t="s">
        <v>49</v>
      </c>
      <c r="B56" s="95" t="s">
        <v>1</v>
      </c>
      <c r="C56" s="39" t="s">
        <v>2</v>
      </c>
      <c r="D56" s="39">
        <v>0</v>
      </c>
      <c r="E56" s="43">
        <f t="shared" si="4"/>
        <v>8</v>
      </c>
      <c r="F56" s="38">
        <f>'2019.05.31'!G56</f>
        <v>0</v>
      </c>
      <c r="G56" s="38">
        <f>'2019.05.31'!H56</f>
        <v>0</v>
      </c>
      <c r="H56" s="38">
        <f>'2019.05.31'!I56</f>
        <v>0</v>
      </c>
      <c r="I56" s="4">
        <f>'2019.05.31'!J56</f>
        <v>8</v>
      </c>
      <c r="J56" s="74">
        <f>'2019.05.31'!K56</f>
        <v>8</v>
      </c>
    </row>
    <row r="57" spans="1:10" ht="12.75" customHeight="1" x14ac:dyDescent="0.2">
      <c r="A57" s="394"/>
      <c r="B57" s="392" t="s">
        <v>17</v>
      </c>
      <c r="C57" s="39" t="s">
        <v>7</v>
      </c>
      <c r="D57" s="38">
        <v>970000</v>
      </c>
      <c r="E57" s="43">
        <f t="shared" si="4"/>
        <v>0</v>
      </c>
      <c r="F57" s="38">
        <f>'2019.05.31'!G57</f>
        <v>0</v>
      </c>
      <c r="G57" s="38">
        <f>'2019.05.31'!H57</f>
        <v>0</v>
      </c>
      <c r="H57" s="38">
        <f>'2019.05.31'!I57</f>
        <v>0</v>
      </c>
      <c r="I57" s="4">
        <f>'2019.05.31'!J57</f>
        <v>970000</v>
      </c>
      <c r="J57" s="74">
        <f>'2019.05.31'!K57</f>
        <v>350000</v>
      </c>
    </row>
    <row r="58" spans="1:10" x14ac:dyDescent="0.2">
      <c r="A58" s="394"/>
      <c r="B58" s="392"/>
      <c r="C58" s="41" t="s">
        <v>88</v>
      </c>
      <c r="D58" s="38">
        <v>10791000</v>
      </c>
      <c r="E58" s="43">
        <f t="shared" si="4"/>
        <v>0</v>
      </c>
      <c r="F58" s="38">
        <f>'2019.05.31'!G58</f>
        <v>0</v>
      </c>
      <c r="G58" s="38">
        <f>'2019.05.31'!H58</f>
        <v>0</v>
      </c>
      <c r="H58" s="38">
        <f>'2019.05.31'!I58</f>
        <v>0</v>
      </c>
      <c r="I58" s="4">
        <f>'2019.05.31'!J58</f>
        <v>10791000</v>
      </c>
      <c r="J58" s="74">
        <f>'2019.05.31'!K58</f>
        <v>532000</v>
      </c>
    </row>
    <row r="59" spans="1:10" x14ac:dyDescent="0.2">
      <c r="A59" s="394"/>
      <c r="B59" s="392"/>
      <c r="C59" s="39" t="s">
        <v>9</v>
      </c>
      <c r="D59" s="38">
        <v>3112282</v>
      </c>
      <c r="E59" s="43">
        <f t="shared" si="4"/>
        <v>0</v>
      </c>
      <c r="F59" s="38">
        <f>'2019.05.31'!G59</f>
        <v>0</v>
      </c>
      <c r="G59" s="38">
        <f>'2019.05.31'!H59</f>
        <v>0</v>
      </c>
      <c r="H59" s="38">
        <f>'2019.05.31'!I59</f>
        <v>0</v>
      </c>
      <c r="I59" s="4">
        <f>'2019.05.31'!J59</f>
        <v>3112282</v>
      </c>
      <c r="J59" s="74">
        <f>'2019.05.31'!K59</f>
        <v>68250</v>
      </c>
    </row>
    <row r="60" spans="1:10" x14ac:dyDescent="0.2">
      <c r="A60" s="394"/>
      <c r="B60" s="392"/>
      <c r="C60" s="41" t="s">
        <v>22</v>
      </c>
      <c r="D60" s="38">
        <v>230000</v>
      </c>
      <c r="E60" s="43">
        <f t="shared" si="4"/>
        <v>0</v>
      </c>
      <c r="F60" s="38">
        <f>'2019.05.31'!G60</f>
        <v>0</v>
      </c>
      <c r="G60" s="38">
        <f>'2019.05.31'!H60</f>
        <v>0</v>
      </c>
      <c r="H60" s="38">
        <f>'2019.05.31'!I60</f>
        <v>0</v>
      </c>
      <c r="I60" s="4">
        <f>'2019.05.31'!J60</f>
        <v>230000</v>
      </c>
      <c r="J60" s="74">
        <f>'2019.05.31'!K60</f>
        <v>0</v>
      </c>
    </row>
    <row r="61" spans="1:10" x14ac:dyDescent="0.2">
      <c r="A61" s="394"/>
      <c r="B61" s="392"/>
      <c r="C61" s="41" t="s">
        <v>33</v>
      </c>
      <c r="D61" s="38">
        <v>72000</v>
      </c>
      <c r="E61" s="43">
        <f t="shared" si="4"/>
        <v>0</v>
      </c>
      <c r="F61" s="38">
        <f>'2019.05.31'!G61</f>
        <v>0</v>
      </c>
      <c r="G61" s="38">
        <f>'2019.05.31'!H61</f>
        <v>0</v>
      </c>
      <c r="H61" s="38">
        <f>'2019.05.31'!I61</f>
        <v>0</v>
      </c>
      <c r="I61" s="4">
        <f>'2019.05.31'!J61</f>
        <v>72000</v>
      </c>
      <c r="J61" s="74">
        <f>'2019.05.31'!K61</f>
        <v>0</v>
      </c>
    </row>
    <row r="62" spans="1:10" x14ac:dyDescent="0.2">
      <c r="A62" s="394"/>
      <c r="B62" s="392"/>
      <c r="C62" s="41" t="s">
        <v>34</v>
      </c>
      <c r="D62" s="38">
        <v>230000</v>
      </c>
      <c r="E62" s="43">
        <f t="shared" si="4"/>
        <v>0</v>
      </c>
      <c r="F62" s="38">
        <f>'2019.05.31'!G62</f>
        <v>0</v>
      </c>
      <c r="G62" s="38">
        <f>'2019.05.31'!H62</f>
        <v>0</v>
      </c>
      <c r="H62" s="38">
        <f>'2019.05.31'!I62</f>
        <v>0</v>
      </c>
      <c r="I62" s="4">
        <f>'2019.05.31'!J62</f>
        <v>230000</v>
      </c>
      <c r="J62" s="74">
        <f>'2019.05.31'!K62</f>
        <v>0</v>
      </c>
    </row>
    <row r="63" spans="1:10" x14ac:dyDescent="0.2">
      <c r="A63" s="394"/>
      <c r="B63" s="392"/>
      <c r="C63" s="41" t="s">
        <v>10</v>
      </c>
      <c r="D63" s="38">
        <v>8009100</v>
      </c>
      <c r="E63" s="43">
        <f t="shared" si="4"/>
        <v>0</v>
      </c>
      <c r="F63" s="38">
        <f>'2019.05.31'!G63</f>
        <v>0</v>
      </c>
      <c r="G63" s="38">
        <f>'2019.05.31'!H63</f>
        <v>0</v>
      </c>
      <c r="H63" s="38">
        <f>'2019.05.31'!I63</f>
        <v>0</v>
      </c>
      <c r="I63" s="4">
        <f>'2019.05.31'!J63</f>
        <v>8009100</v>
      </c>
      <c r="J63" s="74">
        <f>'2019.05.31'!K63</f>
        <v>750000</v>
      </c>
    </row>
    <row r="64" spans="1:10" x14ac:dyDescent="0.2">
      <c r="A64" s="394"/>
      <c r="B64" s="392"/>
      <c r="C64" s="41" t="s">
        <v>2</v>
      </c>
      <c r="D64" s="38">
        <v>14000000</v>
      </c>
      <c r="E64" s="43">
        <f t="shared" si="4"/>
        <v>-8</v>
      </c>
      <c r="F64" s="38">
        <f>'2019.05.31'!G64</f>
        <v>0</v>
      </c>
      <c r="G64" s="38">
        <f>'2019.05.31'!H64</f>
        <v>0</v>
      </c>
      <c r="H64" s="38">
        <f>'2019.05.31'!I64</f>
        <v>0</v>
      </c>
      <c r="I64" s="4">
        <f>'2019.05.31'!J64</f>
        <v>13999992</v>
      </c>
      <c r="J64" s="74">
        <f>'2019.05.31'!K64</f>
        <v>210000</v>
      </c>
    </row>
    <row r="65" spans="1:11" x14ac:dyDescent="0.2">
      <c r="A65" s="394"/>
      <c r="B65" s="392"/>
      <c r="C65" s="41" t="s">
        <v>35</v>
      </c>
      <c r="D65" s="38">
        <v>292100</v>
      </c>
      <c r="E65" s="43">
        <f t="shared" si="4"/>
        <v>0</v>
      </c>
      <c r="F65" s="38">
        <f>'2019.05.31'!G65</f>
        <v>0</v>
      </c>
      <c r="G65" s="38">
        <f>'2019.05.31'!H65</f>
        <v>0</v>
      </c>
      <c r="H65" s="38">
        <f>'2019.05.31'!I65</f>
        <v>0</v>
      </c>
      <c r="I65" s="4">
        <f>'2019.05.31'!J65</f>
        <v>292100</v>
      </c>
      <c r="J65" s="74">
        <v>0</v>
      </c>
    </row>
    <row r="66" spans="1:11" x14ac:dyDescent="0.2">
      <c r="A66" s="394"/>
      <c r="B66" s="392"/>
      <c r="C66" s="41" t="s">
        <v>11</v>
      </c>
      <c r="D66" s="38">
        <v>5127921</v>
      </c>
      <c r="E66" s="43">
        <f t="shared" si="4"/>
        <v>0</v>
      </c>
      <c r="F66" s="38">
        <f>'2019.05.31'!G66</f>
        <v>0</v>
      </c>
      <c r="G66" s="38">
        <f>'2019.05.31'!H66</f>
        <v>0</v>
      </c>
      <c r="H66" s="38">
        <f>'2019.05.31'!I66</f>
        <v>0</v>
      </c>
      <c r="I66" s="4">
        <f>'2019.05.31'!J66</f>
        <v>5127921</v>
      </c>
      <c r="J66" s="74">
        <f>'2019.05.31'!K66</f>
        <v>56700</v>
      </c>
    </row>
    <row r="67" spans="1:11" x14ac:dyDescent="0.2">
      <c r="A67" s="394"/>
      <c r="B67" s="392"/>
      <c r="C67" s="41" t="s">
        <v>12</v>
      </c>
      <c r="D67" s="38">
        <v>229492</v>
      </c>
      <c r="E67" s="43">
        <f t="shared" si="4"/>
        <v>0</v>
      </c>
      <c r="F67" s="38">
        <f>'2019.05.31'!G67</f>
        <v>0</v>
      </c>
      <c r="G67" s="38">
        <f>'2019.05.31'!H67</f>
        <v>0</v>
      </c>
      <c r="H67" s="38">
        <f>'2019.05.31'!I67</f>
        <v>0</v>
      </c>
      <c r="I67" s="4">
        <f>'2019.05.31'!J67</f>
        <v>229492</v>
      </c>
      <c r="J67" s="74">
        <f>'2019.05.31'!K67</f>
        <v>1600</v>
      </c>
    </row>
    <row r="68" spans="1:11" x14ac:dyDescent="0.2">
      <c r="A68" s="394"/>
      <c r="B68" s="392"/>
      <c r="C68" s="41" t="s">
        <v>36</v>
      </c>
      <c r="D68" s="38">
        <v>0</v>
      </c>
      <c r="E68" s="43">
        <f t="shared" si="4"/>
        <v>0</v>
      </c>
      <c r="F68" s="38">
        <f>'2019.05.31'!G68</f>
        <v>0</v>
      </c>
      <c r="G68" s="38">
        <f>'2019.05.31'!H68</f>
        <v>0</v>
      </c>
      <c r="H68" s="38">
        <f>'2019.05.31'!I68</f>
        <v>0</v>
      </c>
      <c r="I68" s="4">
        <f>'2019.05.31'!J68</f>
        <v>0</v>
      </c>
      <c r="J68" s="74">
        <f>'2019.05.31'!K68</f>
        <v>0</v>
      </c>
    </row>
    <row r="69" spans="1:11" x14ac:dyDescent="0.2">
      <c r="A69" s="394"/>
      <c r="B69" s="392"/>
      <c r="C69" s="41" t="s">
        <v>31</v>
      </c>
      <c r="D69" s="38">
        <v>388897</v>
      </c>
      <c r="E69" s="43">
        <f t="shared" si="4"/>
        <v>315503</v>
      </c>
      <c r="F69" s="38">
        <f>'2019.05.31'!G69</f>
        <v>0</v>
      </c>
      <c r="G69" s="38">
        <f>'2019.05.31'!H69</f>
        <v>0</v>
      </c>
      <c r="H69" s="38">
        <f>'2019.05.31'!I69</f>
        <v>0</v>
      </c>
      <c r="I69" s="4">
        <f>'2019.05.31'!J69</f>
        <v>704400</v>
      </c>
      <c r="J69" s="74">
        <f>'2019.05.31'!K69</f>
        <v>704400</v>
      </c>
    </row>
    <row r="70" spans="1:11" x14ac:dyDescent="0.2">
      <c r="A70" s="394"/>
      <c r="B70" s="392"/>
      <c r="C70" s="41" t="s">
        <v>32</v>
      </c>
      <c r="D70" s="38">
        <v>0</v>
      </c>
      <c r="E70" s="43">
        <f t="shared" ref="E70" si="5">I70-D70-F70-G70-H70</f>
        <v>1729878</v>
      </c>
      <c r="F70" s="38">
        <f>'2019.05.31'!G70</f>
        <v>88218</v>
      </c>
      <c r="G70" s="38">
        <f>'2019.05.31'!H70</f>
        <v>0</v>
      </c>
      <c r="H70" s="38">
        <f>'2019.05.31'!I70</f>
        <v>0</v>
      </c>
      <c r="I70" s="4">
        <f>'2019.05.31'!J70</f>
        <v>1818096</v>
      </c>
      <c r="J70" s="74">
        <f>'2019.05.31'!K70</f>
        <v>1818096</v>
      </c>
    </row>
    <row r="71" spans="1:11" x14ac:dyDescent="0.2">
      <c r="A71" s="394"/>
      <c r="B71" s="392"/>
      <c r="C71" s="41" t="s">
        <v>13</v>
      </c>
      <c r="D71" s="38">
        <v>4296741</v>
      </c>
      <c r="E71" s="43">
        <f t="shared" si="4"/>
        <v>-2045381</v>
      </c>
      <c r="F71" s="38">
        <f>'2019.05.31'!G71</f>
        <v>427200</v>
      </c>
      <c r="G71" s="38">
        <f>'2019.05.31'!H71</f>
        <v>0</v>
      </c>
      <c r="H71" s="38">
        <f>'2019.05.31'!I71</f>
        <v>0</v>
      </c>
      <c r="I71" s="4">
        <f>'2019.05.31'!J71</f>
        <v>2678560</v>
      </c>
      <c r="J71" s="74">
        <f>'2019.05.31'!K71</f>
        <v>2568661</v>
      </c>
    </row>
    <row r="72" spans="1:11" x14ac:dyDescent="0.2">
      <c r="A72" s="394"/>
      <c r="B72" s="392"/>
      <c r="C72" s="41" t="s">
        <v>14</v>
      </c>
      <c r="D72" s="38">
        <v>1265122</v>
      </c>
      <c r="E72" s="43">
        <f t="shared" si="4"/>
        <v>0</v>
      </c>
      <c r="F72" s="38">
        <f>'2019.05.31'!G72</f>
        <v>139163</v>
      </c>
      <c r="G72" s="38">
        <f>'2019.05.31'!H72</f>
        <v>0</v>
      </c>
      <c r="H72" s="38">
        <f>'2019.05.31'!I72</f>
        <v>0</v>
      </c>
      <c r="I72" s="4">
        <f>'2019.05.31'!J72</f>
        <v>1404285</v>
      </c>
      <c r="J72" s="74">
        <f>'2019.05.31'!K72</f>
        <v>1374613</v>
      </c>
    </row>
    <row r="73" spans="1:11" x14ac:dyDescent="0.2">
      <c r="A73" s="394"/>
      <c r="B73" s="392"/>
      <c r="C73" s="41" t="s">
        <v>15</v>
      </c>
      <c r="D73" s="38">
        <v>4121943</v>
      </c>
      <c r="E73" s="43">
        <f t="shared" si="4"/>
        <v>0</v>
      </c>
      <c r="F73" s="38">
        <f>'2019.05.31'!G73</f>
        <v>0</v>
      </c>
      <c r="G73" s="38">
        <f>'2019.05.31'!H73</f>
        <v>0</v>
      </c>
      <c r="H73" s="38">
        <f>'2019.05.31'!I73</f>
        <v>0</v>
      </c>
      <c r="I73" s="4">
        <f>'2019.05.31'!J73</f>
        <v>4121943</v>
      </c>
      <c r="J73" s="74">
        <f>'2019.05.31'!K73</f>
        <v>2302859</v>
      </c>
    </row>
    <row r="74" spans="1:11" x14ac:dyDescent="0.2">
      <c r="A74" s="395"/>
      <c r="B74" s="392"/>
      <c r="C74" s="41" t="s">
        <v>16</v>
      </c>
      <c r="D74" s="38">
        <v>1112924</v>
      </c>
      <c r="E74" s="43">
        <f t="shared" si="4"/>
        <v>0</v>
      </c>
      <c r="F74" s="38">
        <f>'2019.05.31'!G74</f>
        <v>0</v>
      </c>
      <c r="G74" s="38">
        <f>'2019.05.31'!H74</f>
        <v>0</v>
      </c>
      <c r="H74" s="38">
        <f>'2019.05.31'!I74</f>
        <v>0</v>
      </c>
      <c r="I74" s="4">
        <f>'2019.05.31'!J74</f>
        <v>1112924</v>
      </c>
      <c r="J74" s="74">
        <f>'2019.05.31'!K74</f>
        <v>351957</v>
      </c>
    </row>
    <row r="75" spans="1:11" ht="23.25" customHeight="1" x14ac:dyDescent="0.2">
      <c r="A75" s="435" t="s">
        <v>86</v>
      </c>
      <c r="B75" s="436"/>
      <c r="C75" s="437"/>
      <c r="D75" s="92">
        <f>SUM(D29:D74)</f>
        <v>426209554</v>
      </c>
      <c r="E75" s="92">
        <f t="shared" ref="E75:J75" si="6">SUM(E29:E74)</f>
        <v>0</v>
      </c>
      <c r="F75" s="92">
        <f t="shared" si="6"/>
        <v>654581</v>
      </c>
      <c r="G75" s="92">
        <f t="shared" si="6"/>
        <v>6029120</v>
      </c>
      <c r="H75" s="92">
        <f t="shared" si="6"/>
        <v>12724484</v>
      </c>
      <c r="I75" s="92">
        <f t="shared" si="6"/>
        <v>445617739</v>
      </c>
      <c r="J75" s="92">
        <f t="shared" si="6"/>
        <v>156666477</v>
      </c>
    </row>
    <row r="76" spans="1:11" x14ac:dyDescent="0.2">
      <c r="E76" s="2"/>
    </row>
    <row r="77" spans="1:11" x14ac:dyDescent="0.2">
      <c r="E77" s="2"/>
    </row>
    <row r="78" spans="1:11" x14ac:dyDescent="0.2">
      <c r="C78" s="5"/>
      <c r="D78" s="5"/>
      <c r="E78" s="2"/>
    </row>
    <row r="79" spans="1:11" ht="15.75" x14ac:dyDescent="0.25">
      <c r="A79" s="64" t="s">
        <v>100</v>
      </c>
      <c r="E79" s="2"/>
      <c r="J79" s="55"/>
    </row>
    <row r="80" spans="1:11" x14ac:dyDescent="0.2">
      <c r="F80" s="73">
        <v>43616</v>
      </c>
      <c r="J80" s="55"/>
      <c r="K80" s="55"/>
    </row>
    <row r="81" spans="1:11" s="85" customFormat="1" ht="43.5" customHeight="1" x14ac:dyDescent="0.2">
      <c r="A81" s="387" t="s">
        <v>101</v>
      </c>
      <c r="B81" s="388"/>
      <c r="C81" s="84" t="s">
        <v>44</v>
      </c>
      <c r="D81" s="86" t="s">
        <v>21</v>
      </c>
      <c r="E81" s="87" t="s">
        <v>43</v>
      </c>
      <c r="F81" s="86" t="s">
        <v>118</v>
      </c>
      <c r="G81" s="100" t="s">
        <v>119</v>
      </c>
      <c r="H81" s="86" t="s">
        <v>120</v>
      </c>
      <c r="I81" s="86" t="s">
        <v>112</v>
      </c>
      <c r="J81" s="88" t="s">
        <v>111</v>
      </c>
    </row>
    <row r="82" spans="1:11" x14ac:dyDescent="0.2">
      <c r="A82" s="389"/>
      <c r="B82" s="376"/>
      <c r="C82" s="63" t="s">
        <v>25</v>
      </c>
      <c r="D82" s="4">
        <f>D27+D26+D25+D20+D15+D14+D12+D11+D9</f>
        <v>393662673</v>
      </c>
      <c r="E82" s="4">
        <f t="shared" ref="E82:J82" si="7">E27+E26+E25+E20+E15+E14+E12+E11+E9</f>
        <v>0</v>
      </c>
      <c r="F82" s="4">
        <f t="shared" si="7"/>
        <v>0</v>
      </c>
      <c r="G82" s="4">
        <f t="shared" si="7"/>
        <v>6029120</v>
      </c>
      <c r="H82" s="4">
        <f t="shared" si="7"/>
        <v>12724484</v>
      </c>
      <c r="I82" s="4">
        <f t="shared" si="7"/>
        <v>412416277</v>
      </c>
      <c r="J82" s="4">
        <f t="shared" si="7"/>
        <v>149586947</v>
      </c>
    </row>
    <row r="83" spans="1:11" x14ac:dyDescent="0.2">
      <c r="A83" s="389"/>
      <c r="B83" s="376"/>
      <c r="C83" s="63" t="s">
        <v>37</v>
      </c>
      <c r="D83" s="4">
        <f>D21+D16+D13</f>
        <v>4500000</v>
      </c>
      <c r="E83" s="4">
        <f t="shared" ref="E83:J83" si="8">E21+E16+E13</f>
        <v>0</v>
      </c>
      <c r="F83" s="4">
        <f t="shared" si="8"/>
        <v>654581</v>
      </c>
      <c r="G83" s="4">
        <f t="shared" si="8"/>
        <v>0</v>
      </c>
      <c r="H83" s="4">
        <f t="shared" si="8"/>
        <v>0</v>
      </c>
      <c r="I83" s="4">
        <f t="shared" si="8"/>
        <v>5154581</v>
      </c>
      <c r="J83" s="4">
        <f t="shared" si="8"/>
        <v>4360702</v>
      </c>
    </row>
    <row r="84" spans="1:11" x14ac:dyDescent="0.2">
      <c r="A84" s="389"/>
      <c r="B84" s="376"/>
      <c r="C84" s="63" t="s">
        <v>27</v>
      </c>
      <c r="D84" s="4">
        <f t="shared" ref="D84:J85" si="9">D6</f>
        <v>0</v>
      </c>
      <c r="E84" s="4">
        <f t="shared" si="9"/>
        <v>0</v>
      </c>
      <c r="F84" s="4">
        <f t="shared" si="9"/>
        <v>0</v>
      </c>
      <c r="G84" s="4">
        <f t="shared" si="9"/>
        <v>0</v>
      </c>
      <c r="H84" s="4">
        <f t="shared" si="9"/>
        <v>0</v>
      </c>
      <c r="I84" s="4">
        <f t="shared" si="9"/>
        <v>0</v>
      </c>
      <c r="J84" s="4">
        <f t="shared" si="9"/>
        <v>0</v>
      </c>
    </row>
    <row r="85" spans="1:11" x14ac:dyDescent="0.2">
      <c r="A85" s="389"/>
      <c r="B85" s="376"/>
      <c r="C85" s="63" t="s">
        <v>39</v>
      </c>
      <c r="D85" s="4">
        <f t="shared" si="9"/>
        <v>0</v>
      </c>
      <c r="E85" s="4">
        <f t="shared" si="9"/>
        <v>0</v>
      </c>
      <c r="F85" s="4">
        <f t="shared" si="9"/>
        <v>0</v>
      </c>
      <c r="G85" s="4">
        <f t="shared" si="9"/>
        <v>0</v>
      </c>
      <c r="H85" s="4">
        <f t="shared" si="9"/>
        <v>0</v>
      </c>
      <c r="I85" s="4">
        <f t="shared" si="9"/>
        <v>0</v>
      </c>
      <c r="J85" s="4">
        <f t="shared" si="9"/>
        <v>0</v>
      </c>
    </row>
    <row r="86" spans="1:11" x14ac:dyDescent="0.2">
      <c r="A86" s="389"/>
      <c r="B86" s="376"/>
      <c r="C86" s="63" t="s">
        <v>40</v>
      </c>
      <c r="D86" s="4">
        <f>D24+D18+D8</f>
        <v>2300</v>
      </c>
      <c r="E86" s="4">
        <f t="shared" ref="E86:J86" si="10">E24+E18+E8</f>
        <v>-100</v>
      </c>
      <c r="F86" s="4">
        <f t="shared" si="10"/>
        <v>0</v>
      </c>
      <c r="G86" s="4">
        <f t="shared" si="10"/>
        <v>0</v>
      </c>
      <c r="H86" s="4">
        <f t="shared" si="10"/>
        <v>0</v>
      </c>
      <c r="I86" s="4">
        <f t="shared" si="10"/>
        <v>2200</v>
      </c>
      <c r="J86" s="4">
        <f t="shared" si="10"/>
        <v>796</v>
      </c>
    </row>
    <row r="87" spans="1:11" x14ac:dyDescent="0.2">
      <c r="A87" s="389"/>
      <c r="B87" s="376"/>
      <c r="C87" s="63" t="s">
        <v>41</v>
      </c>
      <c r="D87" s="4">
        <f>D19+D23</f>
        <v>0</v>
      </c>
      <c r="E87" s="4">
        <f t="shared" ref="E87:J87" si="11">E19+E23</f>
        <v>100</v>
      </c>
      <c r="F87" s="4">
        <f t="shared" si="11"/>
        <v>0</v>
      </c>
      <c r="G87" s="4">
        <f t="shared" si="11"/>
        <v>0</v>
      </c>
      <c r="H87" s="4">
        <f t="shared" si="11"/>
        <v>0</v>
      </c>
      <c r="I87" s="4">
        <f t="shared" si="11"/>
        <v>100</v>
      </c>
      <c r="J87" s="4">
        <f t="shared" si="11"/>
        <v>100</v>
      </c>
    </row>
    <row r="88" spans="1:11" x14ac:dyDescent="0.2">
      <c r="A88" s="389"/>
      <c r="B88" s="376"/>
      <c r="C88" s="65" t="s">
        <v>93</v>
      </c>
      <c r="D88" s="66">
        <f>+D24+D8+D7+D6</f>
        <v>2300</v>
      </c>
      <c r="E88" s="66">
        <f t="shared" ref="E88:J88" si="12">+E24+E8+E7+E6</f>
        <v>-100</v>
      </c>
      <c r="F88" s="66">
        <f t="shared" si="12"/>
        <v>0</v>
      </c>
      <c r="G88" s="66">
        <f t="shared" si="12"/>
        <v>0</v>
      </c>
      <c r="H88" s="66">
        <f t="shared" si="12"/>
        <v>0</v>
      </c>
      <c r="I88" s="66">
        <f t="shared" si="12"/>
        <v>2200</v>
      </c>
      <c r="J88" s="66">
        <f t="shared" si="12"/>
        <v>796</v>
      </c>
      <c r="K88" s="1"/>
    </row>
    <row r="89" spans="1:11" x14ac:dyDescent="0.2">
      <c r="A89" s="389"/>
      <c r="B89" s="376"/>
      <c r="C89" s="63" t="s">
        <v>28</v>
      </c>
      <c r="D89" s="4">
        <f>D22+D17+D10</f>
        <v>28044581</v>
      </c>
      <c r="E89" s="4">
        <f t="shared" ref="E89:J89" si="13">E22+E17+E10</f>
        <v>0</v>
      </c>
      <c r="F89" s="4">
        <f t="shared" si="13"/>
        <v>0</v>
      </c>
      <c r="G89" s="4">
        <f t="shared" si="13"/>
        <v>0</v>
      </c>
      <c r="H89" s="4">
        <f t="shared" si="13"/>
        <v>0</v>
      </c>
      <c r="I89" s="4">
        <f t="shared" si="13"/>
        <v>28044581</v>
      </c>
      <c r="J89" s="4">
        <f t="shared" si="13"/>
        <v>28044581</v>
      </c>
    </row>
    <row r="90" spans="1:11" x14ac:dyDescent="0.2">
      <c r="A90" s="389"/>
      <c r="B90" s="376"/>
      <c r="C90" s="65" t="s">
        <v>92</v>
      </c>
      <c r="D90" s="66">
        <f>D22+D17+D10</f>
        <v>28044581</v>
      </c>
      <c r="E90" s="66">
        <f t="shared" ref="E90:J90" si="14">E22+E17+E10</f>
        <v>0</v>
      </c>
      <c r="F90" s="66">
        <f t="shared" si="14"/>
        <v>0</v>
      </c>
      <c r="G90" s="66">
        <f t="shared" si="14"/>
        <v>0</v>
      </c>
      <c r="H90" s="66">
        <f t="shared" si="14"/>
        <v>0</v>
      </c>
      <c r="I90" s="66">
        <f t="shared" si="14"/>
        <v>28044581</v>
      </c>
      <c r="J90" s="66">
        <f t="shared" si="14"/>
        <v>28044581</v>
      </c>
      <c r="K90" s="1"/>
    </row>
    <row r="91" spans="1:11" x14ac:dyDescent="0.2">
      <c r="A91" s="389"/>
      <c r="B91" s="376"/>
      <c r="C91" s="65" t="s">
        <v>102</v>
      </c>
      <c r="D91" s="66">
        <f>SUM(D6:D27)</f>
        <v>426209554</v>
      </c>
      <c r="E91" s="66">
        <f t="shared" ref="E91:J91" si="15">SUM(E6:E27)</f>
        <v>0</v>
      </c>
      <c r="F91" s="66">
        <f t="shared" si="15"/>
        <v>654581</v>
      </c>
      <c r="G91" s="66">
        <f t="shared" si="15"/>
        <v>6029120</v>
      </c>
      <c r="H91" s="66">
        <f t="shared" si="15"/>
        <v>12724484</v>
      </c>
      <c r="I91" s="66">
        <f t="shared" si="15"/>
        <v>445617739</v>
      </c>
      <c r="J91" s="66">
        <f t="shared" si="15"/>
        <v>181993126</v>
      </c>
      <c r="K91" s="1"/>
    </row>
    <row r="92" spans="1:11" x14ac:dyDescent="0.2">
      <c r="A92" s="389"/>
      <c r="B92" s="376"/>
      <c r="C92" s="63" t="s">
        <v>7</v>
      </c>
      <c r="D92" s="4">
        <f>D57+D44</f>
        <v>970000</v>
      </c>
      <c r="E92" s="4">
        <f t="shared" ref="E92:J92" si="16">E57+E44</f>
        <v>0</v>
      </c>
      <c r="F92" s="4">
        <f t="shared" si="16"/>
        <v>0</v>
      </c>
      <c r="G92" s="4">
        <f t="shared" si="16"/>
        <v>0</v>
      </c>
      <c r="H92" s="4">
        <f t="shared" si="16"/>
        <v>0</v>
      </c>
      <c r="I92" s="4">
        <f t="shared" si="16"/>
        <v>970000</v>
      </c>
      <c r="J92" s="4">
        <f t="shared" si="16"/>
        <v>350000</v>
      </c>
    </row>
    <row r="93" spans="1:11" x14ac:dyDescent="0.2">
      <c r="A93" s="389"/>
      <c r="B93" s="376"/>
      <c r="C93" s="63" t="s">
        <v>88</v>
      </c>
      <c r="D93" s="4">
        <f>D58</f>
        <v>10791000</v>
      </c>
      <c r="E93" s="4">
        <f t="shared" ref="E93:J93" si="17">E58</f>
        <v>0</v>
      </c>
      <c r="F93" s="4">
        <f t="shared" si="17"/>
        <v>0</v>
      </c>
      <c r="G93" s="4">
        <f t="shared" si="17"/>
        <v>0</v>
      </c>
      <c r="H93" s="4">
        <f t="shared" si="17"/>
        <v>0</v>
      </c>
      <c r="I93" s="4">
        <f t="shared" si="17"/>
        <v>10791000</v>
      </c>
      <c r="J93" s="4">
        <f t="shared" si="17"/>
        <v>532000</v>
      </c>
    </row>
    <row r="94" spans="1:11" x14ac:dyDescent="0.2">
      <c r="A94" s="389"/>
      <c r="B94" s="376"/>
      <c r="C94" s="65" t="s">
        <v>94</v>
      </c>
      <c r="D94" s="66">
        <f>D58+D57</f>
        <v>11761000</v>
      </c>
      <c r="E94" s="66">
        <f t="shared" ref="E94:J94" si="18">E58+E57</f>
        <v>0</v>
      </c>
      <c r="F94" s="66">
        <f t="shared" si="18"/>
        <v>0</v>
      </c>
      <c r="G94" s="66">
        <f t="shared" si="18"/>
        <v>0</v>
      </c>
      <c r="H94" s="66">
        <f t="shared" si="18"/>
        <v>0</v>
      </c>
      <c r="I94" s="66">
        <f t="shared" si="18"/>
        <v>11761000</v>
      </c>
      <c r="J94" s="66">
        <f t="shared" si="18"/>
        <v>882000</v>
      </c>
      <c r="K94" s="1"/>
    </row>
    <row r="95" spans="1:11" x14ac:dyDescent="0.2">
      <c r="A95" s="389"/>
      <c r="B95" s="376"/>
      <c r="C95" s="65" t="s">
        <v>9</v>
      </c>
      <c r="D95" s="66">
        <f>D59+D45</f>
        <v>3112282</v>
      </c>
      <c r="E95" s="66">
        <f t="shared" ref="E95:J95" si="19">E59+E45</f>
        <v>0</v>
      </c>
      <c r="F95" s="66">
        <f t="shared" si="19"/>
        <v>0</v>
      </c>
      <c r="G95" s="66">
        <f t="shared" si="19"/>
        <v>0</v>
      </c>
      <c r="H95" s="66">
        <f t="shared" si="19"/>
        <v>0</v>
      </c>
      <c r="I95" s="66">
        <f t="shared" si="19"/>
        <v>3112282</v>
      </c>
      <c r="J95" s="66">
        <f t="shared" si="19"/>
        <v>68250</v>
      </c>
      <c r="K95" s="1"/>
    </row>
    <row r="96" spans="1:11" x14ac:dyDescent="0.2">
      <c r="A96" s="389"/>
      <c r="B96" s="376"/>
      <c r="C96" s="63" t="s">
        <v>22</v>
      </c>
      <c r="D96" s="4">
        <f>D60+D29</f>
        <v>254000</v>
      </c>
      <c r="E96" s="4">
        <f t="shared" ref="E96:J96" si="20">E60+E29</f>
        <v>0</v>
      </c>
      <c r="F96" s="4">
        <f t="shared" si="20"/>
        <v>0</v>
      </c>
      <c r="G96" s="4">
        <f t="shared" si="20"/>
        <v>0</v>
      </c>
      <c r="H96" s="4">
        <f t="shared" si="20"/>
        <v>0</v>
      </c>
      <c r="I96" s="4">
        <f t="shared" si="20"/>
        <v>254000</v>
      </c>
      <c r="J96" s="4">
        <f t="shared" si="20"/>
        <v>0</v>
      </c>
    </row>
    <row r="97" spans="1:11" x14ac:dyDescent="0.2">
      <c r="A97" s="389"/>
      <c r="B97" s="376"/>
      <c r="C97" s="63" t="s">
        <v>33</v>
      </c>
      <c r="D97" s="4">
        <f>D61</f>
        <v>72000</v>
      </c>
      <c r="E97" s="4">
        <f t="shared" ref="E97:J97" si="21">E61</f>
        <v>0</v>
      </c>
      <c r="F97" s="4">
        <f t="shared" si="21"/>
        <v>0</v>
      </c>
      <c r="G97" s="4">
        <f t="shared" si="21"/>
        <v>0</v>
      </c>
      <c r="H97" s="4">
        <f t="shared" si="21"/>
        <v>0</v>
      </c>
      <c r="I97" s="4">
        <f t="shared" si="21"/>
        <v>72000</v>
      </c>
      <c r="J97" s="4">
        <f t="shared" si="21"/>
        <v>0</v>
      </c>
    </row>
    <row r="98" spans="1:11" x14ac:dyDescent="0.2">
      <c r="A98" s="389"/>
      <c r="B98" s="376"/>
      <c r="C98" s="63" t="s">
        <v>89</v>
      </c>
      <c r="D98" s="4">
        <f>D30</f>
        <v>1870</v>
      </c>
      <c r="E98" s="4">
        <f t="shared" ref="E98:J98" si="22">E30</f>
        <v>0</v>
      </c>
      <c r="F98" s="4">
        <f t="shared" si="22"/>
        <v>0</v>
      </c>
      <c r="G98" s="4">
        <f t="shared" si="22"/>
        <v>0</v>
      </c>
      <c r="H98" s="4">
        <f t="shared" si="22"/>
        <v>0</v>
      </c>
      <c r="I98" s="4">
        <f t="shared" si="22"/>
        <v>1870</v>
      </c>
      <c r="J98" s="4">
        <f t="shared" si="22"/>
        <v>0</v>
      </c>
    </row>
    <row r="99" spans="1:11" x14ac:dyDescent="0.2">
      <c r="A99" s="389"/>
      <c r="B99" s="376"/>
      <c r="C99" s="63" t="s">
        <v>34</v>
      </c>
      <c r="D99" s="4">
        <f>D62</f>
        <v>230000</v>
      </c>
      <c r="E99" s="4">
        <f t="shared" ref="E99:J99" si="23">E62</f>
        <v>0</v>
      </c>
      <c r="F99" s="4">
        <f t="shared" si="23"/>
        <v>0</v>
      </c>
      <c r="G99" s="4">
        <f t="shared" si="23"/>
        <v>0</v>
      </c>
      <c r="H99" s="4">
        <f t="shared" si="23"/>
        <v>0</v>
      </c>
      <c r="I99" s="4">
        <f t="shared" si="23"/>
        <v>230000</v>
      </c>
      <c r="J99" s="4">
        <f t="shared" si="23"/>
        <v>0</v>
      </c>
    </row>
    <row r="100" spans="1:11" x14ac:dyDescent="0.2">
      <c r="A100" s="389"/>
      <c r="B100" s="376"/>
      <c r="C100" s="63" t="s">
        <v>10</v>
      </c>
      <c r="D100" s="4">
        <f>D63+D46</f>
        <v>8009100</v>
      </c>
      <c r="E100" s="4">
        <f t="shared" ref="E100:J100" si="24">E63+E46</f>
        <v>0</v>
      </c>
      <c r="F100" s="4">
        <f t="shared" si="24"/>
        <v>0</v>
      </c>
      <c r="G100" s="4">
        <f t="shared" si="24"/>
        <v>0</v>
      </c>
      <c r="H100" s="4">
        <f t="shared" si="24"/>
        <v>0</v>
      </c>
      <c r="I100" s="4">
        <f t="shared" si="24"/>
        <v>8009100</v>
      </c>
      <c r="J100" s="4">
        <f t="shared" si="24"/>
        <v>750000</v>
      </c>
    </row>
    <row r="101" spans="1:11" x14ac:dyDescent="0.2">
      <c r="A101" s="389"/>
      <c r="B101" s="376"/>
      <c r="C101" s="63" t="s">
        <v>2</v>
      </c>
      <c r="D101" s="4">
        <f>D64+D47+D31+D56</f>
        <v>31883770</v>
      </c>
      <c r="E101" s="4">
        <f t="shared" ref="E101:J101" si="25">E64+E47+E31+E56</f>
        <v>-209342</v>
      </c>
      <c r="F101" s="4">
        <f t="shared" si="25"/>
        <v>0</v>
      </c>
      <c r="G101" s="4">
        <f t="shared" si="25"/>
        <v>0</v>
      </c>
      <c r="H101" s="4">
        <f t="shared" si="25"/>
        <v>0</v>
      </c>
      <c r="I101" s="4">
        <f t="shared" si="25"/>
        <v>31674428</v>
      </c>
      <c r="J101" s="4">
        <f t="shared" si="25"/>
        <v>3578483</v>
      </c>
    </row>
    <row r="102" spans="1:11" x14ac:dyDescent="0.2">
      <c r="A102" s="389"/>
      <c r="B102" s="376"/>
      <c r="C102" s="63" t="s">
        <v>35</v>
      </c>
      <c r="D102" s="4">
        <f>D65</f>
        <v>292100</v>
      </c>
      <c r="E102" s="4">
        <f t="shared" ref="E102:J102" si="26">E65</f>
        <v>0</v>
      </c>
      <c r="F102" s="4">
        <f t="shared" si="26"/>
        <v>0</v>
      </c>
      <c r="G102" s="4">
        <f t="shared" si="26"/>
        <v>0</v>
      </c>
      <c r="H102" s="4">
        <f t="shared" si="26"/>
        <v>0</v>
      </c>
      <c r="I102" s="4">
        <f t="shared" si="26"/>
        <v>292100</v>
      </c>
      <c r="J102" s="4">
        <f t="shared" si="26"/>
        <v>0</v>
      </c>
    </row>
    <row r="103" spans="1:11" x14ac:dyDescent="0.2">
      <c r="A103" s="389"/>
      <c r="B103" s="376"/>
      <c r="C103" s="63" t="s">
        <v>117</v>
      </c>
      <c r="D103" s="4">
        <f>D32</f>
        <v>0</v>
      </c>
      <c r="E103" s="4">
        <f t="shared" ref="E103:J103" si="27">E32</f>
        <v>24420</v>
      </c>
      <c r="F103" s="4">
        <f t="shared" si="27"/>
        <v>0</v>
      </c>
      <c r="G103" s="4">
        <f t="shared" si="27"/>
        <v>0</v>
      </c>
      <c r="H103" s="4">
        <f t="shared" si="27"/>
        <v>0</v>
      </c>
      <c r="I103" s="4">
        <f t="shared" si="27"/>
        <v>24420</v>
      </c>
      <c r="J103" s="4">
        <f t="shared" si="27"/>
        <v>24420</v>
      </c>
    </row>
    <row r="104" spans="1:11" x14ac:dyDescent="0.2">
      <c r="A104" s="389"/>
      <c r="B104" s="376"/>
      <c r="C104" s="63" t="s">
        <v>11</v>
      </c>
      <c r="D104" s="4">
        <f>D66+D48+D33</f>
        <v>5188185</v>
      </c>
      <c r="E104" s="4">
        <f t="shared" ref="E104:J104" si="28">E66+E48+E33</f>
        <v>1922</v>
      </c>
      <c r="F104" s="4">
        <f t="shared" si="28"/>
        <v>0</v>
      </c>
      <c r="G104" s="4">
        <f t="shared" si="28"/>
        <v>0</v>
      </c>
      <c r="H104" s="4">
        <f t="shared" si="28"/>
        <v>0</v>
      </c>
      <c r="I104" s="4">
        <f t="shared" si="28"/>
        <v>5190107</v>
      </c>
      <c r="J104" s="4">
        <f t="shared" si="28"/>
        <v>110381</v>
      </c>
    </row>
    <row r="105" spans="1:11" x14ac:dyDescent="0.2">
      <c r="A105" s="389"/>
      <c r="B105" s="376"/>
      <c r="C105" s="63" t="s">
        <v>91</v>
      </c>
      <c r="D105" s="4">
        <f>D34</f>
        <v>0</v>
      </c>
      <c r="E105" s="4">
        <f t="shared" ref="E105:J105" si="29">E34</f>
        <v>83000</v>
      </c>
      <c r="F105" s="4">
        <f t="shared" si="29"/>
        <v>0</v>
      </c>
      <c r="G105" s="4">
        <f t="shared" si="29"/>
        <v>0</v>
      </c>
      <c r="H105" s="4">
        <f t="shared" si="29"/>
        <v>0</v>
      </c>
      <c r="I105" s="4">
        <f t="shared" si="29"/>
        <v>83000</v>
      </c>
      <c r="J105" s="4">
        <f t="shared" si="29"/>
        <v>83000</v>
      </c>
    </row>
    <row r="106" spans="1:11" x14ac:dyDescent="0.2">
      <c r="A106" s="389"/>
      <c r="B106" s="376"/>
      <c r="C106" s="63" t="s">
        <v>12</v>
      </c>
      <c r="D106" s="4">
        <f>D67+D49</f>
        <v>229492</v>
      </c>
      <c r="E106" s="4">
        <f t="shared" ref="E106:J106" si="30">E67+E49</f>
        <v>100000</v>
      </c>
      <c r="F106" s="4">
        <f t="shared" si="30"/>
        <v>0</v>
      </c>
      <c r="G106" s="4">
        <f t="shared" si="30"/>
        <v>0</v>
      </c>
      <c r="H106" s="4">
        <f t="shared" si="30"/>
        <v>0</v>
      </c>
      <c r="I106" s="4">
        <f t="shared" si="30"/>
        <v>329492</v>
      </c>
      <c r="J106" s="4">
        <f t="shared" si="30"/>
        <v>101600</v>
      </c>
    </row>
    <row r="107" spans="1:11" x14ac:dyDescent="0.2">
      <c r="A107" s="389"/>
      <c r="B107" s="376"/>
      <c r="C107" s="65" t="s">
        <v>95</v>
      </c>
      <c r="D107" s="66">
        <f>D67+D66+D65+D64+D63+D62+D61+D60+D49+D48+D47+D46+D34+D33+D31+D30+D29+D56+D32</f>
        <v>46160517</v>
      </c>
      <c r="E107" s="66">
        <f t="shared" ref="E107:J107" si="31">E67+E66+E65+E64+E63+E62+E61+E60+E49+E48+E47+E46+E34+E33+E31+E30+E29+E56+E32</f>
        <v>0</v>
      </c>
      <c r="F107" s="66">
        <f t="shared" si="31"/>
        <v>0</v>
      </c>
      <c r="G107" s="66">
        <f t="shared" si="31"/>
        <v>0</v>
      </c>
      <c r="H107" s="66">
        <f t="shared" si="31"/>
        <v>0</v>
      </c>
      <c r="I107" s="66">
        <f t="shared" si="31"/>
        <v>46160517</v>
      </c>
      <c r="J107" s="66">
        <f t="shared" si="31"/>
        <v>4647884</v>
      </c>
      <c r="K107" s="1"/>
    </row>
    <row r="108" spans="1:11" x14ac:dyDescent="0.2">
      <c r="A108" s="389"/>
      <c r="B108" s="376"/>
      <c r="C108" s="63" t="s">
        <v>36</v>
      </c>
      <c r="D108" s="4">
        <f>D68</f>
        <v>0</v>
      </c>
      <c r="E108" s="4">
        <f t="shared" ref="E108:J108" si="32">E68</f>
        <v>0</v>
      </c>
      <c r="F108" s="4">
        <f t="shared" si="32"/>
        <v>0</v>
      </c>
      <c r="G108" s="4">
        <f t="shared" si="32"/>
        <v>0</v>
      </c>
      <c r="H108" s="4">
        <f t="shared" si="32"/>
        <v>0</v>
      </c>
      <c r="I108" s="4">
        <f t="shared" si="32"/>
        <v>0</v>
      </c>
      <c r="J108" s="4">
        <f t="shared" si="32"/>
        <v>0</v>
      </c>
    </row>
    <row r="109" spans="1:11" x14ac:dyDescent="0.2">
      <c r="A109" s="389"/>
      <c r="B109" s="376"/>
      <c r="C109" s="63" t="s">
        <v>23</v>
      </c>
      <c r="D109" s="4">
        <f>D42+D40+D38+D35</f>
        <v>19744030</v>
      </c>
      <c r="E109" s="4">
        <f t="shared" ref="E109:J109" si="33">E42+E40+E38+E35</f>
        <v>0</v>
      </c>
      <c r="F109" s="4">
        <f t="shared" si="33"/>
        <v>0</v>
      </c>
      <c r="G109" s="4">
        <f t="shared" si="33"/>
        <v>0</v>
      </c>
      <c r="H109" s="4">
        <f t="shared" si="33"/>
        <v>0</v>
      </c>
      <c r="I109" s="4">
        <f t="shared" si="33"/>
        <v>19744030</v>
      </c>
      <c r="J109" s="4">
        <f t="shared" si="33"/>
        <v>6930003</v>
      </c>
    </row>
    <row r="110" spans="1:11" x14ac:dyDescent="0.2">
      <c r="A110" s="389"/>
      <c r="B110" s="376"/>
      <c r="C110" s="63" t="s">
        <v>5</v>
      </c>
      <c r="D110" s="4">
        <f>D43+D39+D36</f>
        <v>16308950</v>
      </c>
      <c r="E110" s="4">
        <f t="shared" ref="E110:J110" si="34">E43+E39+E36</f>
        <v>0</v>
      </c>
      <c r="F110" s="4">
        <f t="shared" si="34"/>
        <v>0</v>
      </c>
      <c r="G110" s="4">
        <f t="shared" si="34"/>
        <v>0</v>
      </c>
      <c r="H110" s="4">
        <f t="shared" si="34"/>
        <v>0</v>
      </c>
      <c r="I110" s="4">
        <f t="shared" si="34"/>
        <v>16308950</v>
      </c>
      <c r="J110" s="4">
        <f t="shared" si="34"/>
        <v>5469651</v>
      </c>
    </row>
    <row r="111" spans="1:11" x14ac:dyDescent="0.2">
      <c r="A111" s="389"/>
      <c r="B111" s="376"/>
      <c r="C111" s="65" t="s">
        <v>96</v>
      </c>
      <c r="D111" s="66">
        <f>D43+D42+D40+D39+D38+D36+D35</f>
        <v>36052980</v>
      </c>
      <c r="E111" s="66">
        <f t="shared" ref="E111:J111" si="35">E43+E42+E40+E39+E38+E36+E35</f>
        <v>0</v>
      </c>
      <c r="F111" s="66">
        <f t="shared" si="35"/>
        <v>0</v>
      </c>
      <c r="G111" s="66">
        <f t="shared" si="35"/>
        <v>0</v>
      </c>
      <c r="H111" s="66">
        <f t="shared" si="35"/>
        <v>0</v>
      </c>
      <c r="I111" s="66">
        <f t="shared" si="35"/>
        <v>36052980</v>
      </c>
      <c r="J111" s="66">
        <f t="shared" si="35"/>
        <v>12399654</v>
      </c>
      <c r="K111" s="1"/>
    </row>
    <row r="112" spans="1:11" x14ac:dyDescent="0.2">
      <c r="A112" s="389"/>
      <c r="B112" s="376"/>
      <c r="C112" s="63" t="s">
        <v>31</v>
      </c>
      <c r="D112" s="4">
        <f>D69+D50</f>
        <v>388897</v>
      </c>
      <c r="E112" s="4">
        <f t="shared" ref="E112:J112" si="36">E69+E50</f>
        <v>315503</v>
      </c>
      <c r="F112" s="4">
        <f t="shared" si="36"/>
        <v>0</v>
      </c>
      <c r="G112" s="4">
        <f t="shared" si="36"/>
        <v>0</v>
      </c>
      <c r="H112" s="4">
        <f t="shared" si="36"/>
        <v>0</v>
      </c>
      <c r="I112" s="4">
        <f t="shared" si="36"/>
        <v>704400</v>
      </c>
      <c r="J112" s="4">
        <f t="shared" si="36"/>
        <v>704400</v>
      </c>
    </row>
    <row r="113" spans="1:11" x14ac:dyDescent="0.2">
      <c r="A113" s="389"/>
      <c r="B113" s="376"/>
      <c r="C113" s="63" t="s">
        <v>32</v>
      </c>
      <c r="D113" s="4">
        <f>D51+D70</f>
        <v>0</v>
      </c>
      <c r="E113" s="4">
        <f t="shared" ref="E113:J113" si="37">E51+E70</f>
        <v>1729878</v>
      </c>
      <c r="F113" s="4">
        <f t="shared" si="37"/>
        <v>88218</v>
      </c>
      <c r="G113" s="4">
        <f t="shared" si="37"/>
        <v>0</v>
      </c>
      <c r="H113" s="4">
        <f t="shared" si="37"/>
        <v>0</v>
      </c>
      <c r="I113" s="4">
        <f t="shared" si="37"/>
        <v>1818096</v>
      </c>
      <c r="J113" s="4">
        <f t="shared" si="37"/>
        <v>1818096</v>
      </c>
    </row>
    <row r="114" spans="1:11" x14ac:dyDescent="0.2">
      <c r="A114" s="389"/>
      <c r="B114" s="376"/>
      <c r="C114" s="63" t="s">
        <v>13</v>
      </c>
      <c r="D114" s="4">
        <f t="shared" ref="D114:J115" si="38">D71+D52</f>
        <v>4296741</v>
      </c>
      <c r="E114" s="4">
        <f t="shared" si="38"/>
        <v>-2045381</v>
      </c>
      <c r="F114" s="4">
        <f t="shared" si="38"/>
        <v>427200</v>
      </c>
      <c r="G114" s="4">
        <f t="shared" si="38"/>
        <v>0</v>
      </c>
      <c r="H114" s="4">
        <f t="shared" si="38"/>
        <v>0</v>
      </c>
      <c r="I114" s="4">
        <f t="shared" si="38"/>
        <v>2678560</v>
      </c>
      <c r="J114" s="4">
        <f t="shared" si="38"/>
        <v>2568661</v>
      </c>
    </row>
    <row r="115" spans="1:11" x14ac:dyDescent="0.2">
      <c r="A115" s="389"/>
      <c r="B115" s="376"/>
      <c r="C115" s="63" t="s">
        <v>14</v>
      </c>
      <c r="D115" s="4">
        <f t="shared" si="38"/>
        <v>1265122</v>
      </c>
      <c r="E115" s="4">
        <f t="shared" si="38"/>
        <v>0</v>
      </c>
      <c r="F115" s="4">
        <f t="shared" si="38"/>
        <v>139163</v>
      </c>
      <c r="G115" s="4">
        <f t="shared" si="38"/>
        <v>0</v>
      </c>
      <c r="H115" s="4">
        <f t="shared" si="38"/>
        <v>0</v>
      </c>
      <c r="I115" s="4">
        <f t="shared" si="38"/>
        <v>1404285</v>
      </c>
      <c r="J115" s="4">
        <f t="shared" si="38"/>
        <v>1374613</v>
      </c>
    </row>
    <row r="116" spans="1:11" x14ac:dyDescent="0.2">
      <c r="A116" s="389"/>
      <c r="B116" s="376"/>
      <c r="C116" s="65" t="s">
        <v>97</v>
      </c>
      <c r="D116" s="66">
        <f>D72+D71+D69+D53+D52+D51+D50+D70</f>
        <v>5950760</v>
      </c>
      <c r="E116" s="66">
        <f>E72+E71+E69+E53+E52+E51+E50+E70</f>
        <v>0</v>
      </c>
      <c r="F116" s="66">
        <f t="shared" ref="F116:J116" si="39">F72+F71+F69+F53+F52+F51+F50+F70</f>
        <v>654581</v>
      </c>
      <c r="G116" s="66">
        <f t="shared" si="39"/>
        <v>0</v>
      </c>
      <c r="H116" s="66">
        <f t="shared" si="39"/>
        <v>0</v>
      </c>
      <c r="I116" s="66">
        <f t="shared" si="39"/>
        <v>6605341</v>
      </c>
      <c r="J116" s="66">
        <f t="shared" si="39"/>
        <v>6465770</v>
      </c>
      <c r="K116" s="1"/>
    </row>
    <row r="117" spans="1:11" x14ac:dyDescent="0.2">
      <c r="A117" s="389"/>
      <c r="B117" s="376"/>
      <c r="C117" s="63" t="s">
        <v>15</v>
      </c>
      <c r="D117" s="4">
        <f t="shared" ref="D117:J118" si="40">D73+D54</f>
        <v>4121943</v>
      </c>
      <c r="E117" s="4">
        <f t="shared" si="40"/>
        <v>0</v>
      </c>
      <c r="F117" s="4">
        <f t="shared" si="40"/>
        <v>0</v>
      </c>
      <c r="G117" s="4">
        <f t="shared" si="40"/>
        <v>0</v>
      </c>
      <c r="H117" s="4">
        <f t="shared" si="40"/>
        <v>0</v>
      </c>
      <c r="I117" s="4">
        <f t="shared" si="40"/>
        <v>4121943</v>
      </c>
      <c r="J117" s="4">
        <f t="shared" si="40"/>
        <v>2302859</v>
      </c>
    </row>
    <row r="118" spans="1:11" x14ac:dyDescent="0.2">
      <c r="A118" s="389"/>
      <c r="B118" s="376"/>
      <c r="C118" s="63" t="s">
        <v>16</v>
      </c>
      <c r="D118" s="4">
        <f t="shared" si="40"/>
        <v>1112924</v>
      </c>
      <c r="E118" s="4">
        <f t="shared" si="40"/>
        <v>0</v>
      </c>
      <c r="F118" s="4">
        <f t="shared" si="40"/>
        <v>0</v>
      </c>
      <c r="G118" s="4">
        <f t="shared" si="40"/>
        <v>0</v>
      </c>
      <c r="H118" s="4">
        <f t="shared" si="40"/>
        <v>0</v>
      </c>
      <c r="I118" s="4">
        <f t="shared" si="40"/>
        <v>1112924</v>
      </c>
      <c r="J118" s="4">
        <f t="shared" si="40"/>
        <v>351957</v>
      </c>
    </row>
    <row r="119" spans="1:11" x14ac:dyDescent="0.2">
      <c r="A119" s="389"/>
      <c r="B119" s="376"/>
      <c r="C119" s="65" t="s">
        <v>98</v>
      </c>
      <c r="D119" s="66">
        <f>D74+D73+D55+D54</f>
        <v>5234867</v>
      </c>
      <c r="E119" s="66">
        <f t="shared" ref="E119:J119" si="41">E74+E73+E55+E54</f>
        <v>0</v>
      </c>
      <c r="F119" s="66">
        <f t="shared" si="41"/>
        <v>0</v>
      </c>
      <c r="G119" s="66">
        <f t="shared" si="41"/>
        <v>0</v>
      </c>
      <c r="H119" s="66">
        <f t="shared" si="41"/>
        <v>0</v>
      </c>
      <c r="I119" s="66">
        <f t="shared" si="41"/>
        <v>5234867</v>
      </c>
      <c r="J119" s="66">
        <f t="shared" si="41"/>
        <v>2654816</v>
      </c>
      <c r="K119" s="1"/>
    </row>
    <row r="120" spans="1:11" x14ac:dyDescent="0.2">
      <c r="A120" s="389"/>
      <c r="B120" s="376"/>
      <c r="C120" s="65" t="s">
        <v>110</v>
      </c>
      <c r="D120" s="66">
        <f>D41</f>
        <v>4500000</v>
      </c>
      <c r="E120" s="66">
        <f t="shared" ref="E120:J120" si="42">E41</f>
        <v>0</v>
      </c>
      <c r="F120" s="66">
        <f t="shared" si="42"/>
        <v>0</v>
      </c>
      <c r="G120" s="66">
        <f t="shared" si="42"/>
        <v>0</v>
      </c>
      <c r="H120" s="66">
        <f t="shared" si="42"/>
        <v>0</v>
      </c>
      <c r="I120" s="66">
        <f t="shared" si="42"/>
        <v>4500000</v>
      </c>
      <c r="J120" s="66">
        <f t="shared" si="42"/>
        <v>2200239</v>
      </c>
      <c r="K120" s="1"/>
    </row>
    <row r="121" spans="1:11" x14ac:dyDescent="0.2">
      <c r="A121" s="389"/>
      <c r="B121" s="376"/>
      <c r="C121" s="63" t="s">
        <v>3</v>
      </c>
      <c r="D121" s="67">
        <f>D37</f>
        <v>313437148</v>
      </c>
      <c r="E121" s="67">
        <f t="shared" ref="E121:J121" si="43">E37</f>
        <v>0</v>
      </c>
      <c r="F121" s="67">
        <f t="shared" si="43"/>
        <v>0</v>
      </c>
      <c r="G121" s="67">
        <f t="shared" si="43"/>
        <v>6029120</v>
      </c>
      <c r="H121" s="67">
        <f t="shared" si="43"/>
        <v>12724484</v>
      </c>
      <c r="I121" s="67">
        <f t="shared" si="43"/>
        <v>332190752</v>
      </c>
      <c r="J121" s="67">
        <f t="shared" si="43"/>
        <v>127347864</v>
      </c>
      <c r="K121" s="1"/>
    </row>
    <row r="122" spans="1:11" x14ac:dyDescent="0.2">
      <c r="A122" s="390"/>
      <c r="B122" s="391"/>
      <c r="C122" s="65" t="s">
        <v>99</v>
      </c>
      <c r="D122" s="66">
        <f>SUM(D29:D74)</f>
        <v>426209554</v>
      </c>
      <c r="E122" s="66">
        <f t="shared" ref="E122:J122" si="44">SUM(E29:E74)</f>
        <v>0</v>
      </c>
      <c r="F122" s="66">
        <f t="shared" si="44"/>
        <v>654581</v>
      </c>
      <c r="G122" s="66">
        <f t="shared" si="44"/>
        <v>6029120</v>
      </c>
      <c r="H122" s="66">
        <f t="shared" si="44"/>
        <v>12724484</v>
      </c>
      <c r="I122" s="66">
        <f t="shared" si="44"/>
        <v>445617739</v>
      </c>
      <c r="J122" s="66">
        <f t="shared" si="44"/>
        <v>156666477</v>
      </c>
      <c r="K122" s="1"/>
    </row>
    <row r="123" spans="1:11" x14ac:dyDescent="0.2">
      <c r="A123" s="1"/>
      <c r="B123" s="98"/>
      <c r="C123" s="1"/>
      <c r="D123" s="1"/>
      <c r="E123" s="68"/>
      <c r="F123" s="1"/>
      <c r="G123" s="1"/>
      <c r="H123" s="1"/>
      <c r="I123" s="1"/>
      <c r="J123" s="69"/>
      <c r="K123" s="1"/>
    </row>
  </sheetData>
  <mergeCells count="35">
    <mergeCell ref="A44:A55"/>
    <mergeCell ref="B44:B55"/>
    <mergeCell ref="A56:A74"/>
    <mergeCell ref="B57:B74"/>
    <mergeCell ref="A75:C75"/>
    <mergeCell ref="A38:A39"/>
    <mergeCell ref="B38:B39"/>
    <mergeCell ref="A40:A41"/>
    <mergeCell ref="B40:B41"/>
    <mergeCell ref="A42:A43"/>
    <mergeCell ref="B42:B43"/>
    <mergeCell ref="B12:B13"/>
    <mergeCell ref="A20:A24"/>
    <mergeCell ref="B20:B22"/>
    <mergeCell ref="A28:C28"/>
    <mergeCell ref="A29:A37"/>
    <mergeCell ref="B29:B34"/>
    <mergeCell ref="B35:B37"/>
    <mergeCell ref="B23:B24"/>
    <mergeCell ref="A81:B122"/>
    <mergeCell ref="J4:J5"/>
    <mergeCell ref="A1:J1"/>
    <mergeCell ref="A15:A19"/>
    <mergeCell ref="B15:B17"/>
    <mergeCell ref="B18:B19"/>
    <mergeCell ref="A4:A5"/>
    <mergeCell ref="B4:B5"/>
    <mergeCell ref="C4:C5"/>
    <mergeCell ref="D4:D5"/>
    <mergeCell ref="E4:H4"/>
    <mergeCell ref="I4:I5"/>
    <mergeCell ref="A6:A10"/>
    <mergeCell ref="B6:B8"/>
    <mergeCell ref="B9:B10"/>
    <mergeCell ref="A12:A13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1" manualBreakCount="1">
    <brk id="7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7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38" t="s">
        <v>82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40" t="s">
        <v>19</v>
      </c>
      <c r="B4" s="442" t="s">
        <v>0</v>
      </c>
      <c r="C4" s="440" t="s">
        <v>44</v>
      </c>
      <c r="D4" s="440" t="s">
        <v>21</v>
      </c>
      <c r="E4" s="444" t="s">
        <v>112</v>
      </c>
      <c r="F4" s="446" t="s">
        <v>123</v>
      </c>
      <c r="G4" s="447"/>
      <c r="H4" s="447"/>
      <c r="I4" s="448"/>
      <c r="J4" s="444" t="s">
        <v>121</v>
      </c>
      <c r="K4" s="449" t="s">
        <v>122</v>
      </c>
      <c r="L4" s="450" t="s">
        <v>124</v>
      </c>
    </row>
    <row r="5" spans="1:12" ht="32.25" customHeight="1" x14ac:dyDescent="0.2">
      <c r="A5" s="441"/>
      <c r="B5" s="443"/>
      <c r="C5" s="441"/>
      <c r="D5" s="441"/>
      <c r="E5" s="445"/>
      <c r="F5" s="116" t="s">
        <v>43</v>
      </c>
      <c r="G5" s="117" t="s">
        <v>126</v>
      </c>
      <c r="H5" s="117" t="s">
        <v>83</v>
      </c>
      <c r="I5" s="117" t="s">
        <v>83</v>
      </c>
      <c r="J5" s="445"/>
      <c r="K5" s="449"/>
      <c r="L5" s="450"/>
    </row>
    <row r="6" spans="1:12" x14ac:dyDescent="0.2">
      <c r="A6" s="370" t="s">
        <v>38</v>
      </c>
      <c r="B6" s="378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>
        <f>SUM(E6:I6)</f>
        <v>0</v>
      </c>
      <c r="K6" s="103">
        <v>0</v>
      </c>
      <c r="L6" s="4">
        <f>J6-K6</f>
        <v>0</v>
      </c>
    </row>
    <row r="7" spans="1:12" x14ac:dyDescent="0.2">
      <c r="A7" s="370"/>
      <c r="B7" s="378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8" si="0">SUM(E7:I7)</f>
        <v>0</v>
      </c>
      <c r="K7" s="103">
        <v>0</v>
      </c>
      <c r="L7" s="4">
        <f t="shared" ref="L7:L28" si="1">J7-K7</f>
        <v>0</v>
      </c>
    </row>
    <row r="8" spans="1:12" x14ac:dyDescent="0.2">
      <c r="A8" s="370"/>
      <c r="B8" s="378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935</v>
      </c>
      <c r="L8" s="4">
        <f t="shared" si="1"/>
        <v>565</v>
      </c>
    </row>
    <row r="9" spans="1:12" x14ac:dyDescent="0.2">
      <c r="A9" s="370"/>
      <c r="B9" s="379" t="s">
        <v>4</v>
      </c>
      <c r="C9" s="41" t="s">
        <v>25</v>
      </c>
      <c r="D9" s="42">
        <v>2468000</v>
      </c>
      <c r="E9" s="42">
        <v>21221604</v>
      </c>
      <c r="F9" s="43"/>
      <c r="G9" s="38"/>
      <c r="H9" s="38"/>
      <c r="I9" s="38"/>
      <c r="J9" s="4">
        <f t="shared" si="0"/>
        <v>21221604</v>
      </c>
      <c r="K9" s="103">
        <v>0</v>
      </c>
      <c r="L9" s="4">
        <f t="shared" si="1"/>
        <v>21221604</v>
      </c>
    </row>
    <row r="10" spans="1:12" x14ac:dyDescent="0.2">
      <c r="A10" s="370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114" t="s">
        <v>45</v>
      </c>
      <c r="B11" s="97" t="s">
        <v>4</v>
      </c>
      <c r="C11" s="41" t="s">
        <v>25</v>
      </c>
      <c r="D11" s="42">
        <v>16258950</v>
      </c>
      <c r="E11" s="42">
        <v>16258950</v>
      </c>
      <c r="F11" s="43"/>
      <c r="G11" s="38"/>
      <c r="H11" s="38"/>
      <c r="I11" s="38"/>
      <c r="J11" s="4">
        <f t="shared" si="0"/>
        <v>16258950</v>
      </c>
      <c r="K11" s="103">
        <v>6636262</v>
      </c>
      <c r="L11" s="4">
        <f t="shared" si="1"/>
        <v>9622688</v>
      </c>
    </row>
    <row r="12" spans="1:12" x14ac:dyDescent="0.2">
      <c r="A12" s="339" t="s">
        <v>50</v>
      </c>
      <c r="B12" s="341" t="s">
        <v>4</v>
      </c>
      <c r="C12" s="41" t="s">
        <v>25</v>
      </c>
      <c r="D12" s="42">
        <v>7005263</v>
      </c>
      <c r="E12" s="42">
        <v>7005263</v>
      </c>
      <c r="F12" s="43"/>
      <c r="G12" s="38"/>
      <c r="H12" s="38"/>
      <c r="I12" s="38"/>
      <c r="J12" s="4">
        <f t="shared" si="0"/>
        <v>7005263</v>
      </c>
      <c r="K12" s="103">
        <v>2944293</v>
      </c>
      <c r="L12" s="4">
        <f t="shared" si="1"/>
        <v>4060970</v>
      </c>
    </row>
    <row r="13" spans="1:12" x14ac:dyDescent="0.2">
      <c r="A13" s="340"/>
      <c r="B13" s="342"/>
      <c r="C13" s="41" t="s">
        <v>37</v>
      </c>
      <c r="D13" s="42">
        <v>4500000</v>
      </c>
      <c r="E13" s="42">
        <v>4500000</v>
      </c>
      <c r="F13" s="43"/>
      <c r="G13" s="38"/>
      <c r="H13" s="38"/>
      <c r="I13" s="38"/>
      <c r="J13" s="4">
        <f t="shared" si="0"/>
        <v>4500000</v>
      </c>
      <c r="K13" s="103">
        <v>3852610</v>
      </c>
      <c r="L13" s="4">
        <f t="shared" si="1"/>
        <v>647390</v>
      </c>
    </row>
    <row r="14" spans="1:12" x14ac:dyDescent="0.2">
      <c r="A14" s="113" t="s">
        <v>26</v>
      </c>
      <c r="B14" s="97" t="s">
        <v>4</v>
      </c>
      <c r="C14" s="41" t="s">
        <v>25</v>
      </c>
      <c r="D14" s="42">
        <v>19746500</v>
      </c>
      <c r="E14" s="42">
        <v>19746500</v>
      </c>
      <c r="F14" s="43"/>
      <c r="G14" s="38"/>
      <c r="H14" s="38"/>
      <c r="I14" s="38"/>
      <c r="J14" s="4">
        <f t="shared" si="0"/>
        <v>19746500</v>
      </c>
      <c r="K14" s="103">
        <v>8176375</v>
      </c>
      <c r="L14" s="4">
        <f t="shared" si="1"/>
        <v>11570125</v>
      </c>
    </row>
    <row r="15" spans="1:12" x14ac:dyDescent="0.2">
      <c r="A15" s="339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67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67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67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67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48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396817</v>
      </c>
      <c r="L20" s="4">
        <f t="shared" si="1"/>
        <v>36817995</v>
      </c>
    </row>
    <row r="21" spans="1:12" x14ac:dyDescent="0.2">
      <c r="A21" s="349"/>
      <c r="B21" s="382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49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49"/>
      <c r="B23" s="341" t="s">
        <v>17</v>
      </c>
      <c r="C23" s="41" t="s">
        <v>41</v>
      </c>
      <c r="D23" s="42">
        <v>0</v>
      </c>
      <c r="E23" s="42">
        <v>100</v>
      </c>
      <c r="F23" s="43">
        <v>100</v>
      </c>
      <c r="G23" s="38"/>
      <c r="H23" s="38"/>
      <c r="I23" s="38"/>
      <c r="J23" s="4">
        <f t="shared" si="0"/>
        <v>200</v>
      </c>
      <c r="K23" s="103">
        <v>200</v>
      </c>
      <c r="L23" s="120">
        <f t="shared" si="1"/>
        <v>0</v>
      </c>
    </row>
    <row r="24" spans="1:12" x14ac:dyDescent="0.2">
      <c r="A24" s="350"/>
      <c r="B24" s="342"/>
      <c r="C24" s="41" t="s">
        <v>40</v>
      </c>
      <c r="D24" s="42">
        <v>800</v>
      </c>
      <c r="E24" s="42">
        <v>700</v>
      </c>
      <c r="F24" s="43">
        <v>-100</v>
      </c>
      <c r="G24" s="38"/>
      <c r="H24" s="38"/>
      <c r="I24" s="38"/>
      <c r="J24" s="4">
        <f t="shared" si="0"/>
        <v>600</v>
      </c>
      <c r="K24" s="103">
        <v>0</v>
      </c>
      <c r="L24" s="4">
        <f t="shared" si="1"/>
        <v>600</v>
      </c>
    </row>
    <row r="25" spans="1:12" ht="38.25" x14ac:dyDescent="0.2">
      <c r="A25" s="122" t="s">
        <v>125</v>
      </c>
      <c r="B25" s="121" t="s">
        <v>4</v>
      </c>
      <c r="C25" s="126" t="s">
        <v>25</v>
      </c>
      <c r="D25" s="42">
        <v>0</v>
      </c>
      <c r="E25" s="42">
        <v>0</v>
      </c>
      <c r="F25" s="43"/>
      <c r="G25" s="38">
        <v>3250000</v>
      </c>
      <c r="H25" s="38"/>
      <c r="I25" s="38"/>
      <c r="J25" s="4">
        <f t="shared" ref="J25" si="2">SUM(E25:I25)</f>
        <v>3250000</v>
      </c>
      <c r="K25" s="103">
        <v>0</v>
      </c>
      <c r="L25" s="4">
        <f t="shared" ref="L25" si="3">J25-K25</f>
        <v>3250000</v>
      </c>
    </row>
    <row r="26" spans="1:12" x14ac:dyDescent="0.2">
      <c r="A26" s="9" t="s">
        <v>29</v>
      </c>
      <c r="B26" s="97" t="s">
        <v>4</v>
      </c>
      <c r="C26" s="41" t="s">
        <v>25</v>
      </c>
      <c r="D26" s="51">
        <v>260269918</v>
      </c>
      <c r="E26" s="51">
        <v>260269918</v>
      </c>
      <c r="F26" s="43"/>
      <c r="G26" s="38"/>
      <c r="H26" s="38"/>
      <c r="I26" s="38"/>
      <c r="J26" s="4">
        <f t="shared" si="0"/>
        <v>260269918</v>
      </c>
      <c r="K26" s="103">
        <v>129168699</v>
      </c>
      <c r="L26" s="4">
        <f t="shared" si="1"/>
        <v>131101219</v>
      </c>
    </row>
    <row r="27" spans="1:12" x14ac:dyDescent="0.2">
      <c r="A27" s="9" t="s">
        <v>87</v>
      </c>
      <c r="B27" s="97" t="s">
        <v>4</v>
      </c>
      <c r="C27" s="41" t="s">
        <v>25</v>
      </c>
      <c r="D27" s="51">
        <v>3196558</v>
      </c>
      <c r="E27" s="51">
        <v>3196558</v>
      </c>
      <c r="F27" s="43"/>
      <c r="G27" s="38"/>
      <c r="H27" s="38"/>
      <c r="I27" s="38"/>
      <c r="J27" s="4">
        <f t="shared" si="0"/>
        <v>3196558</v>
      </c>
      <c r="K27" s="103">
        <v>1014769</v>
      </c>
      <c r="L27" s="4">
        <f t="shared" si="1"/>
        <v>2181789</v>
      </c>
    </row>
    <row r="28" spans="1:12" x14ac:dyDescent="0.2">
      <c r="A28" s="10" t="s">
        <v>42</v>
      </c>
      <c r="B28" s="97" t="s">
        <v>4</v>
      </c>
      <c r="C28" s="41" t="s">
        <v>25</v>
      </c>
      <c r="D28" s="42">
        <v>47502672</v>
      </c>
      <c r="E28" s="42">
        <v>47502672</v>
      </c>
      <c r="F28" s="43"/>
      <c r="G28" s="38"/>
      <c r="H28" s="38"/>
      <c r="I28" s="38"/>
      <c r="J28" s="4">
        <f t="shared" si="0"/>
        <v>47502672</v>
      </c>
      <c r="K28" s="103">
        <v>22169942</v>
      </c>
      <c r="L28" s="4">
        <f t="shared" si="1"/>
        <v>25332730</v>
      </c>
    </row>
    <row r="29" spans="1:12" ht="34.5" customHeight="1" x14ac:dyDescent="0.2">
      <c r="A29" s="451" t="s">
        <v>85</v>
      </c>
      <c r="B29" s="452"/>
      <c r="C29" s="453"/>
      <c r="D29" s="118">
        <f>SUM(D6:D28)</f>
        <v>426209554</v>
      </c>
      <c r="E29" s="118">
        <f t="shared" ref="E29:L29" si="4">SUM(E6:E28)</f>
        <v>445617739</v>
      </c>
      <c r="F29" s="118">
        <f t="shared" si="4"/>
        <v>0</v>
      </c>
      <c r="G29" s="118">
        <f t="shared" si="4"/>
        <v>3250000</v>
      </c>
      <c r="H29" s="118">
        <f t="shared" si="4"/>
        <v>0</v>
      </c>
      <c r="I29" s="118">
        <f t="shared" si="4"/>
        <v>0</v>
      </c>
      <c r="J29" s="118">
        <f t="shared" si="4"/>
        <v>448867739</v>
      </c>
      <c r="K29" s="119">
        <f t="shared" si="4"/>
        <v>203060064</v>
      </c>
      <c r="L29" s="118">
        <f t="shared" si="4"/>
        <v>245807675</v>
      </c>
    </row>
    <row r="30" spans="1:12" x14ac:dyDescent="0.2">
      <c r="A30" s="339" t="s">
        <v>18</v>
      </c>
      <c r="B30" s="368" t="s">
        <v>1</v>
      </c>
      <c r="C30" s="41" t="s">
        <v>22</v>
      </c>
      <c r="D30" s="44">
        <v>24000</v>
      </c>
      <c r="E30" s="44">
        <v>24000</v>
      </c>
      <c r="F30" s="45"/>
      <c r="G30" s="38"/>
      <c r="H30" s="38"/>
      <c r="I30" s="38"/>
      <c r="J30" s="4">
        <f t="shared" ref="J30:J75" si="5">SUM(E30:I30)</f>
        <v>24000</v>
      </c>
      <c r="K30" s="105">
        <v>0</v>
      </c>
      <c r="L30" s="4">
        <f t="shared" ref="L30:L75" si="6">J30-K30</f>
        <v>24000</v>
      </c>
    </row>
    <row r="31" spans="1:12" x14ac:dyDescent="0.2">
      <c r="A31" s="367"/>
      <c r="B31" s="369"/>
      <c r="C31" s="41" t="s">
        <v>89</v>
      </c>
      <c r="D31" s="38">
        <v>1870</v>
      </c>
      <c r="E31" s="38">
        <v>1870</v>
      </c>
      <c r="F31" s="40"/>
      <c r="G31" s="38"/>
      <c r="H31" s="38"/>
      <c r="I31" s="38"/>
      <c r="J31" s="4">
        <f t="shared" si="5"/>
        <v>1870</v>
      </c>
      <c r="K31" s="105">
        <v>0</v>
      </c>
      <c r="L31" s="4">
        <f t="shared" si="6"/>
        <v>1870</v>
      </c>
    </row>
    <row r="32" spans="1:12" x14ac:dyDescent="0.2">
      <c r="A32" s="367"/>
      <c r="B32" s="369"/>
      <c r="C32" s="39" t="s">
        <v>2</v>
      </c>
      <c r="D32" s="38">
        <v>17684057</v>
      </c>
      <c r="E32" s="38">
        <v>17574715</v>
      </c>
      <c r="F32" s="40">
        <v>-8478</v>
      </c>
      <c r="G32" s="38"/>
      <c r="H32" s="38"/>
      <c r="I32" s="38"/>
      <c r="J32" s="4">
        <f t="shared" si="5"/>
        <v>17566237</v>
      </c>
      <c r="K32" s="105">
        <v>4026196</v>
      </c>
      <c r="L32" s="4">
        <f t="shared" si="6"/>
        <v>13540041</v>
      </c>
    </row>
    <row r="33" spans="1:12" x14ac:dyDescent="0.2">
      <c r="A33" s="367"/>
      <c r="B33" s="369"/>
      <c r="C33" s="39" t="s">
        <v>117</v>
      </c>
      <c r="D33" s="38">
        <v>0</v>
      </c>
      <c r="E33" s="38">
        <v>24420</v>
      </c>
      <c r="F33" s="40"/>
      <c r="G33" s="38"/>
      <c r="H33" s="38"/>
      <c r="I33" s="38"/>
      <c r="J33" s="4">
        <f t="shared" si="5"/>
        <v>24420</v>
      </c>
      <c r="K33" s="105">
        <v>24420</v>
      </c>
      <c r="L33" s="4">
        <f t="shared" si="6"/>
        <v>0</v>
      </c>
    </row>
    <row r="34" spans="1:12" x14ac:dyDescent="0.2">
      <c r="A34" s="367"/>
      <c r="B34" s="369"/>
      <c r="C34" s="41" t="s">
        <v>11</v>
      </c>
      <c r="D34" s="38">
        <v>60264</v>
      </c>
      <c r="E34" s="38">
        <v>62186</v>
      </c>
      <c r="F34" s="40">
        <v>8478</v>
      </c>
      <c r="G34" s="38"/>
      <c r="H34" s="38"/>
      <c r="I34" s="38"/>
      <c r="J34" s="4">
        <f t="shared" si="5"/>
        <v>70664</v>
      </c>
      <c r="K34" s="105">
        <v>54896</v>
      </c>
      <c r="L34" s="4">
        <f t="shared" si="6"/>
        <v>15768</v>
      </c>
    </row>
    <row r="35" spans="1:12" x14ac:dyDescent="0.2">
      <c r="A35" s="367"/>
      <c r="B35" s="423"/>
      <c r="C35" s="41" t="s">
        <v>91</v>
      </c>
      <c r="D35" s="38">
        <v>0</v>
      </c>
      <c r="E35" s="38">
        <v>83000</v>
      </c>
      <c r="F35" s="40"/>
      <c r="G35" s="38"/>
      <c r="H35" s="38"/>
      <c r="I35" s="38"/>
      <c r="J35" s="4">
        <f t="shared" si="5"/>
        <v>83000</v>
      </c>
      <c r="K35" s="105">
        <v>83000</v>
      </c>
      <c r="L35" s="4">
        <f t="shared" si="6"/>
        <v>0</v>
      </c>
    </row>
    <row r="36" spans="1:12" x14ac:dyDescent="0.2">
      <c r="A36" s="367"/>
      <c r="B36" s="341" t="s">
        <v>4</v>
      </c>
      <c r="C36" s="41" t="s">
        <v>23</v>
      </c>
      <c r="D36" s="38">
        <v>2267</v>
      </c>
      <c r="E36" s="38">
        <v>2267</v>
      </c>
      <c r="F36" s="40"/>
      <c r="G36" s="38"/>
      <c r="H36" s="38"/>
      <c r="I36" s="38"/>
      <c r="J36" s="4">
        <f t="shared" si="5"/>
        <v>2267</v>
      </c>
      <c r="K36" s="105">
        <v>2267</v>
      </c>
      <c r="L36" s="4">
        <f t="shared" si="6"/>
        <v>0</v>
      </c>
    </row>
    <row r="37" spans="1:12" x14ac:dyDescent="0.2">
      <c r="A37" s="367"/>
      <c r="B37" s="383"/>
      <c r="C37" s="41" t="s">
        <v>5</v>
      </c>
      <c r="D37" s="42">
        <v>0</v>
      </c>
      <c r="E37" s="42">
        <v>0</v>
      </c>
      <c r="F37" s="45"/>
      <c r="G37" s="38"/>
      <c r="H37" s="38"/>
      <c r="I37" s="38"/>
      <c r="J37" s="4">
        <f t="shared" si="5"/>
        <v>0</v>
      </c>
      <c r="K37" s="105">
        <v>0</v>
      </c>
      <c r="L37" s="4">
        <f t="shared" si="6"/>
        <v>0</v>
      </c>
    </row>
    <row r="38" spans="1:12" x14ac:dyDescent="0.2">
      <c r="A38" s="367"/>
      <c r="B38" s="383"/>
      <c r="C38" s="39" t="s">
        <v>3</v>
      </c>
      <c r="D38" s="38">
        <v>313437148</v>
      </c>
      <c r="E38" s="38">
        <v>332190752</v>
      </c>
      <c r="F38" s="43"/>
      <c r="G38" s="38"/>
      <c r="H38" s="38"/>
      <c r="I38" s="38"/>
      <c r="J38" s="4">
        <f t="shared" si="5"/>
        <v>332190752</v>
      </c>
      <c r="K38" s="105">
        <v>152353410</v>
      </c>
      <c r="L38" s="4">
        <f t="shared" si="6"/>
        <v>179837342</v>
      </c>
    </row>
    <row r="39" spans="1:12" x14ac:dyDescent="0.2">
      <c r="A39" s="339" t="s">
        <v>20</v>
      </c>
      <c r="B39" s="368" t="s">
        <v>6</v>
      </c>
      <c r="C39" s="41" t="s">
        <v>23</v>
      </c>
      <c r="D39" s="42">
        <v>0</v>
      </c>
      <c r="E39" s="42">
        <v>0</v>
      </c>
      <c r="F39" s="45"/>
      <c r="G39" s="38"/>
      <c r="H39" s="38"/>
      <c r="I39" s="38"/>
      <c r="J39" s="4">
        <f t="shared" si="5"/>
        <v>0</v>
      </c>
      <c r="K39" s="105">
        <v>0</v>
      </c>
      <c r="L39" s="4">
        <f t="shared" si="6"/>
        <v>0</v>
      </c>
    </row>
    <row r="40" spans="1:12" x14ac:dyDescent="0.2">
      <c r="A40" s="358"/>
      <c r="B40" s="369"/>
      <c r="C40" s="39" t="s">
        <v>5</v>
      </c>
      <c r="D40" s="38">
        <v>16258950</v>
      </c>
      <c r="E40" s="38">
        <v>16258950</v>
      </c>
      <c r="F40" s="43"/>
      <c r="G40" s="38"/>
      <c r="H40" s="38"/>
      <c r="I40" s="38"/>
      <c r="J40" s="4">
        <f t="shared" si="5"/>
        <v>16258950</v>
      </c>
      <c r="K40" s="105">
        <v>6774563</v>
      </c>
      <c r="L40" s="4">
        <f t="shared" si="6"/>
        <v>9484387</v>
      </c>
    </row>
    <row r="41" spans="1:12" x14ac:dyDescent="0.2">
      <c r="A41" s="339" t="s">
        <v>24</v>
      </c>
      <c r="B41" s="341" t="s">
        <v>4</v>
      </c>
      <c r="C41" s="41" t="s">
        <v>23</v>
      </c>
      <c r="D41" s="38">
        <v>7005263</v>
      </c>
      <c r="E41" s="38">
        <v>7005263</v>
      </c>
      <c r="F41" s="40"/>
      <c r="G41" s="38"/>
      <c r="H41" s="38"/>
      <c r="I41" s="38"/>
      <c r="J41" s="4">
        <f t="shared" si="5"/>
        <v>7005263</v>
      </c>
      <c r="K41" s="105">
        <v>1842527</v>
      </c>
      <c r="L41" s="4">
        <f t="shared" si="6"/>
        <v>5162736</v>
      </c>
    </row>
    <row r="42" spans="1:12" x14ac:dyDescent="0.2">
      <c r="A42" s="340"/>
      <c r="B42" s="342"/>
      <c r="C42" s="41" t="s">
        <v>90</v>
      </c>
      <c r="D42" s="38">
        <v>4500000</v>
      </c>
      <c r="E42" s="38">
        <v>4500000</v>
      </c>
      <c r="F42" s="40"/>
      <c r="G42" s="38"/>
      <c r="H42" s="38"/>
      <c r="I42" s="38"/>
      <c r="J42" s="4">
        <f t="shared" si="5"/>
        <v>4500000</v>
      </c>
      <c r="K42" s="105">
        <v>3700239</v>
      </c>
      <c r="L42" s="4">
        <f t="shared" si="6"/>
        <v>799761</v>
      </c>
    </row>
    <row r="43" spans="1:12" x14ac:dyDescent="0.2">
      <c r="A43" s="339" t="s">
        <v>30</v>
      </c>
      <c r="B43" s="341" t="s">
        <v>4</v>
      </c>
      <c r="C43" s="41" t="s">
        <v>23</v>
      </c>
      <c r="D43" s="38">
        <v>12736500</v>
      </c>
      <c r="E43" s="38">
        <v>12736500</v>
      </c>
      <c r="F43" s="40"/>
      <c r="G43" s="38"/>
      <c r="H43" s="38"/>
      <c r="I43" s="38"/>
      <c r="J43" s="4">
        <f t="shared" si="5"/>
        <v>12736500</v>
      </c>
      <c r="K43" s="105">
        <v>5085209</v>
      </c>
      <c r="L43" s="4">
        <f t="shared" si="6"/>
        <v>7651291</v>
      </c>
    </row>
    <row r="44" spans="1:12" x14ac:dyDescent="0.2">
      <c r="A44" s="340"/>
      <c r="B44" s="342"/>
      <c r="C44" s="41" t="s">
        <v>5</v>
      </c>
      <c r="D44" s="38">
        <v>50000</v>
      </c>
      <c r="E44" s="38">
        <v>50000</v>
      </c>
      <c r="F44" s="40"/>
      <c r="G44" s="38"/>
      <c r="H44" s="38"/>
      <c r="I44" s="38"/>
      <c r="J44" s="4">
        <f t="shared" si="5"/>
        <v>50000</v>
      </c>
      <c r="K44" s="105">
        <v>50000</v>
      </c>
      <c r="L44" s="4">
        <f t="shared" si="6"/>
        <v>0</v>
      </c>
    </row>
    <row r="45" spans="1:12" x14ac:dyDescent="0.2">
      <c r="A45" s="339" t="s">
        <v>48</v>
      </c>
      <c r="B45" s="368" t="s">
        <v>8</v>
      </c>
      <c r="C45" s="39" t="s">
        <v>7</v>
      </c>
      <c r="D45" s="38">
        <v>0</v>
      </c>
      <c r="E45" s="38">
        <v>0</v>
      </c>
      <c r="F45" s="43"/>
      <c r="G45" s="38"/>
      <c r="H45" s="38"/>
      <c r="I45" s="38"/>
      <c r="J45" s="4">
        <f t="shared" si="5"/>
        <v>0</v>
      </c>
      <c r="K45" s="105">
        <v>0</v>
      </c>
      <c r="L45" s="4">
        <f t="shared" si="6"/>
        <v>0</v>
      </c>
    </row>
    <row r="46" spans="1:12" x14ac:dyDescent="0.2">
      <c r="A46" s="367"/>
      <c r="B46" s="369"/>
      <c r="C46" s="39" t="s">
        <v>9</v>
      </c>
      <c r="D46" s="38">
        <v>0</v>
      </c>
      <c r="E46" s="38">
        <v>0</v>
      </c>
      <c r="F46" s="43"/>
      <c r="G46" s="38"/>
      <c r="H46" s="38"/>
      <c r="I46" s="38"/>
      <c r="J46" s="4">
        <f t="shared" si="5"/>
        <v>0</v>
      </c>
      <c r="K46" s="105">
        <v>0</v>
      </c>
      <c r="L46" s="4">
        <f t="shared" si="6"/>
        <v>0</v>
      </c>
    </row>
    <row r="47" spans="1:12" x14ac:dyDescent="0.2">
      <c r="A47" s="367"/>
      <c r="B47" s="369"/>
      <c r="C47" s="39" t="s">
        <v>10</v>
      </c>
      <c r="D47" s="38">
        <v>0</v>
      </c>
      <c r="E47" s="38">
        <v>0</v>
      </c>
      <c r="F47" s="40"/>
      <c r="G47" s="38"/>
      <c r="H47" s="38"/>
      <c r="I47" s="38"/>
      <c r="J47" s="4">
        <f t="shared" si="5"/>
        <v>0</v>
      </c>
      <c r="K47" s="105">
        <v>0</v>
      </c>
      <c r="L47" s="4">
        <f t="shared" si="6"/>
        <v>0</v>
      </c>
    </row>
    <row r="48" spans="1:12" x14ac:dyDescent="0.2">
      <c r="A48" s="367"/>
      <c r="B48" s="369"/>
      <c r="C48" s="39" t="s">
        <v>2</v>
      </c>
      <c r="D48" s="38">
        <v>199713</v>
      </c>
      <c r="E48" s="38">
        <v>99713</v>
      </c>
      <c r="F48" s="43"/>
      <c r="G48" s="38"/>
      <c r="H48" s="38"/>
      <c r="I48" s="38"/>
      <c r="J48" s="4">
        <f t="shared" si="5"/>
        <v>99713</v>
      </c>
      <c r="K48" s="105">
        <v>500</v>
      </c>
      <c r="L48" s="4">
        <f t="shared" si="6"/>
        <v>99213</v>
      </c>
    </row>
    <row r="49" spans="1:12" x14ac:dyDescent="0.2">
      <c r="A49" s="367"/>
      <c r="B49" s="369"/>
      <c r="C49" s="39" t="s">
        <v>11</v>
      </c>
      <c r="D49" s="38">
        <v>0</v>
      </c>
      <c r="E49" s="38">
        <v>0</v>
      </c>
      <c r="F49" s="40"/>
      <c r="G49" s="38"/>
      <c r="H49" s="38"/>
      <c r="I49" s="38"/>
      <c r="J49" s="4">
        <f t="shared" si="5"/>
        <v>0</v>
      </c>
      <c r="K49" s="105">
        <v>0</v>
      </c>
      <c r="L49" s="4">
        <f t="shared" si="6"/>
        <v>0</v>
      </c>
    </row>
    <row r="50" spans="1:12" x14ac:dyDescent="0.2">
      <c r="A50" s="367"/>
      <c r="B50" s="369"/>
      <c r="C50" s="39" t="s">
        <v>12</v>
      </c>
      <c r="D50" s="38">
        <v>0</v>
      </c>
      <c r="E50" s="38">
        <v>100000</v>
      </c>
      <c r="F50" s="43"/>
      <c r="G50" s="38"/>
      <c r="H50" s="38"/>
      <c r="I50" s="38"/>
      <c r="J50" s="4">
        <f t="shared" si="5"/>
        <v>100000</v>
      </c>
      <c r="K50" s="105">
        <v>100000</v>
      </c>
      <c r="L50" s="4">
        <f t="shared" si="6"/>
        <v>0</v>
      </c>
    </row>
    <row r="51" spans="1:12" x14ac:dyDescent="0.2">
      <c r="A51" s="367"/>
      <c r="B51" s="369"/>
      <c r="C51" s="41" t="s">
        <v>31</v>
      </c>
      <c r="D51" s="38">
        <v>0</v>
      </c>
      <c r="E51" s="38">
        <v>0</v>
      </c>
      <c r="F51" s="43"/>
      <c r="G51" s="38"/>
      <c r="H51" s="38"/>
      <c r="I51" s="38"/>
      <c r="J51" s="4">
        <f t="shared" si="5"/>
        <v>0</v>
      </c>
      <c r="K51" s="105">
        <v>0</v>
      </c>
      <c r="L51" s="4">
        <f t="shared" si="6"/>
        <v>0</v>
      </c>
    </row>
    <row r="52" spans="1:12" x14ac:dyDescent="0.2">
      <c r="A52" s="367"/>
      <c r="B52" s="369"/>
      <c r="C52" s="41" t="s">
        <v>32</v>
      </c>
      <c r="D52" s="38">
        <v>0</v>
      </c>
      <c r="E52" s="38">
        <v>0</v>
      </c>
      <c r="F52" s="43"/>
      <c r="G52" s="38"/>
      <c r="H52" s="38"/>
      <c r="I52" s="38"/>
      <c r="J52" s="4">
        <f t="shared" si="5"/>
        <v>0</v>
      </c>
      <c r="K52" s="105">
        <v>0</v>
      </c>
      <c r="L52" s="4">
        <f t="shared" si="6"/>
        <v>0</v>
      </c>
    </row>
    <row r="53" spans="1:12" x14ac:dyDescent="0.2">
      <c r="A53" s="367"/>
      <c r="B53" s="369"/>
      <c r="C53" s="39" t="s">
        <v>13</v>
      </c>
      <c r="D53" s="38">
        <v>0</v>
      </c>
      <c r="E53" s="38">
        <v>0</v>
      </c>
      <c r="F53" s="43"/>
      <c r="G53" s="38"/>
      <c r="H53" s="38"/>
      <c r="I53" s="38"/>
      <c r="J53" s="4">
        <f t="shared" si="5"/>
        <v>0</v>
      </c>
      <c r="K53" s="105">
        <v>0</v>
      </c>
      <c r="L53" s="4">
        <f t="shared" si="6"/>
        <v>0</v>
      </c>
    </row>
    <row r="54" spans="1:12" x14ac:dyDescent="0.2">
      <c r="A54" s="367"/>
      <c r="B54" s="369"/>
      <c r="C54" s="39" t="s">
        <v>14</v>
      </c>
      <c r="D54" s="38">
        <v>0</v>
      </c>
      <c r="E54" s="38">
        <v>0</v>
      </c>
      <c r="F54" s="43"/>
      <c r="G54" s="38"/>
      <c r="H54" s="38"/>
      <c r="I54" s="38"/>
      <c r="J54" s="4">
        <f t="shared" si="5"/>
        <v>0</v>
      </c>
      <c r="K54" s="105">
        <v>0</v>
      </c>
      <c r="L54" s="4">
        <f t="shared" si="6"/>
        <v>0</v>
      </c>
    </row>
    <row r="55" spans="1:12" x14ac:dyDescent="0.2">
      <c r="A55" s="367"/>
      <c r="B55" s="369"/>
      <c r="C55" s="39" t="s">
        <v>15</v>
      </c>
      <c r="D55" s="38">
        <v>0</v>
      </c>
      <c r="E55" s="38">
        <v>0</v>
      </c>
      <c r="F55" s="43"/>
      <c r="G55" s="38"/>
      <c r="H55" s="38"/>
      <c r="I55" s="38"/>
      <c r="J55" s="4">
        <f t="shared" si="5"/>
        <v>0</v>
      </c>
      <c r="K55" s="105">
        <v>0</v>
      </c>
      <c r="L55" s="4">
        <f t="shared" si="6"/>
        <v>0</v>
      </c>
    </row>
    <row r="56" spans="1:12" x14ac:dyDescent="0.2">
      <c r="A56" s="367"/>
      <c r="B56" s="369"/>
      <c r="C56" s="39" t="s">
        <v>16</v>
      </c>
      <c r="D56" s="38">
        <v>0</v>
      </c>
      <c r="E56" s="38">
        <v>0</v>
      </c>
      <c r="F56" s="43"/>
      <c r="G56" s="38"/>
      <c r="H56" s="38"/>
      <c r="I56" s="38"/>
      <c r="J56" s="4">
        <f t="shared" si="5"/>
        <v>0</v>
      </c>
      <c r="K56" s="105">
        <v>0</v>
      </c>
      <c r="L56" s="4">
        <f t="shared" si="6"/>
        <v>0</v>
      </c>
    </row>
    <row r="57" spans="1:12" x14ac:dyDescent="0.2">
      <c r="A57" s="393" t="s">
        <v>49</v>
      </c>
      <c r="B57" s="115" t="s">
        <v>1</v>
      </c>
      <c r="C57" s="39" t="s">
        <v>2</v>
      </c>
      <c r="D57" s="39">
        <v>0</v>
      </c>
      <c r="E57" s="38">
        <v>8</v>
      </c>
      <c r="F57" s="43"/>
      <c r="G57" s="38"/>
      <c r="H57" s="38"/>
      <c r="I57" s="38"/>
      <c r="J57" s="4">
        <f t="shared" si="5"/>
        <v>8</v>
      </c>
      <c r="K57" s="105">
        <v>8</v>
      </c>
      <c r="L57" s="4">
        <f t="shared" si="6"/>
        <v>0</v>
      </c>
    </row>
    <row r="58" spans="1:12" ht="12.75" customHeight="1" x14ac:dyDescent="0.2">
      <c r="A58" s="394"/>
      <c r="B58" s="392" t="s">
        <v>17</v>
      </c>
      <c r="C58" s="39" t="s">
        <v>7</v>
      </c>
      <c r="D58" s="38">
        <v>970000</v>
      </c>
      <c r="E58" s="38">
        <v>970000</v>
      </c>
      <c r="F58" s="40"/>
      <c r="G58" s="38"/>
      <c r="H58" s="38"/>
      <c r="I58" s="38"/>
      <c r="J58" s="4">
        <f t="shared" si="5"/>
        <v>970000</v>
      </c>
      <c r="K58" s="105">
        <v>420000</v>
      </c>
      <c r="L58" s="4">
        <f t="shared" si="6"/>
        <v>550000</v>
      </c>
    </row>
    <row r="59" spans="1:12" x14ac:dyDescent="0.2">
      <c r="A59" s="394"/>
      <c r="B59" s="392"/>
      <c r="C59" s="41" t="s">
        <v>88</v>
      </c>
      <c r="D59" s="38">
        <v>10791000</v>
      </c>
      <c r="E59" s="38">
        <v>10791000</v>
      </c>
      <c r="F59" s="40"/>
      <c r="G59" s="38"/>
      <c r="H59" s="38"/>
      <c r="I59" s="38"/>
      <c r="J59" s="4">
        <f t="shared" si="5"/>
        <v>10791000</v>
      </c>
      <c r="K59" s="105">
        <v>634000</v>
      </c>
      <c r="L59" s="4">
        <f t="shared" si="6"/>
        <v>10157000</v>
      </c>
    </row>
    <row r="60" spans="1:12" x14ac:dyDescent="0.2">
      <c r="A60" s="394"/>
      <c r="B60" s="392"/>
      <c r="C60" s="39" t="s">
        <v>9</v>
      </c>
      <c r="D60" s="38">
        <v>3112282</v>
      </c>
      <c r="E60" s="38">
        <v>3112282</v>
      </c>
      <c r="F60" s="40"/>
      <c r="G60" s="38"/>
      <c r="H60" s="38"/>
      <c r="I60" s="38"/>
      <c r="J60" s="4">
        <f t="shared" si="5"/>
        <v>3112282</v>
      </c>
      <c r="K60" s="105">
        <v>81900</v>
      </c>
      <c r="L60" s="4">
        <f t="shared" si="6"/>
        <v>3030382</v>
      </c>
    </row>
    <row r="61" spans="1:12" x14ac:dyDescent="0.2">
      <c r="A61" s="394"/>
      <c r="B61" s="392"/>
      <c r="C61" s="41" t="s">
        <v>22</v>
      </c>
      <c r="D61" s="38">
        <v>230000</v>
      </c>
      <c r="E61" s="38">
        <v>230000</v>
      </c>
      <c r="F61" s="40"/>
      <c r="G61" s="38"/>
      <c r="H61" s="38"/>
      <c r="I61" s="38"/>
      <c r="J61" s="4">
        <f t="shared" si="5"/>
        <v>230000</v>
      </c>
      <c r="K61" s="105">
        <v>0</v>
      </c>
      <c r="L61" s="4">
        <f t="shared" si="6"/>
        <v>230000</v>
      </c>
    </row>
    <row r="62" spans="1:12" x14ac:dyDescent="0.2">
      <c r="A62" s="394"/>
      <c r="B62" s="392"/>
      <c r="C62" s="41" t="s">
        <v>33</v>
      </c>
      <c r="D62" s="38">
        <v>72000</v>
      </c>
      <c r="E62" s="38">
        <v>72000</v>
      </c>
      <c r="F62" s="40"/>
      <c r="G62" s="38"/>
      <c r="H62" s="38"/>
      <c r="I62" s="38"/>
      <c r="J62" s="4">
        <f t="shared" si="5"/>
        <v>72000</v>
      </c>
      <c r="K62" s="105">
        <v>0</v>
      </c>
      <c r="L62" s="4">
        <f t="shared" si="6"/>
        <v>72000</v>
      </c>
    </row>
    <row r="63" spans="1:12" x14ac:dyDescent="0.2">
      <c r="A63" s="394"/>
      <c r="B63" s="392"/>
      <c r="C63" s="41" t="s">
        <v>34</v>
      </c>
      <c r="D63" s="38">
        <v>230000</v>
      </c>
      <c r="E63" s="38">
        <v>230000</v>
      </c>
      <c r="F63" s="40"/>
      <c r="G63" s="38"/>
      <c r="H63" s="38"/>
      <c r="I63" s="38"/>
      <c r="J63" s="4">
        <f t="shared" si="5"/>
        <v>230000</v>
      </c>
      <c r="K63" s="105">
        <v>0</v>
      </c>
      <c r="L63" s="4">
        <f t="shared" si="6"/>
        <v>230000</v>
      </c>
    </row>
    <row r="64" spans="1:12" x14ac:dyDescent="0.2">
      <c r="A64" s="394"/>
      <c r="B64" s="392"/>
      <c r="C64" s="41" t="s">
        <v>10</v>
      </c>
      <c r="D64" s="38">
        <v>8009100</v>
      </c>
      <c r="E64" s="38">
        <v>8009100</v>
      </c>
      <c r="F64" s="40"/>
      <c r="G64" s="38"/>
      <c r="H64" s="38"/>
      <c r="I64" s="38"/>
      <c r="J64" s="4">
        <f t="shared" si="5"/>
        <v>8009100</v>
      </c>
      <c r="K64" s="105">
        <v>750000</v>
      </c>
      <c r="L64" s="4">
        <f t="shared" si="6"/>
        <v>7259100</v>
      </c>
    </row>
    <row r="65" spans="1:12" x14ac:dyDescent="0.2">
      <c r="A65" s="394"/>
      <c r="B65" s="392"/>
      <c r="C65" s="41" t="s">
        <v>2</v>
      </c>
      <c r="D65" s="38">
        <v>14000000</v>
      </c>
      <c r="E65" s="38">
        <v>13999992</v>
      </c>
      <c r="F65" s="40"/>
      <c r="G65" s="38"/>
      <c r="H65" s="38"/>
      <c r="I65" s="38"/>
      <c r="J65" s="4">
        <f t="shared" si="5"/>
        <v>13999992</v>
      </c>
      <c r="K65" s="105">
        <v>2016000</v>
      </c>
      <c r="L65" s="4">
        <f t="shared" si="6"/>
        <v>11983992</v>
      </c>
    </row>
    <row r="66" spans="1:12" x14ac:dyDescent="0.2">
      <c r="A66" s="394"/>
      <c r="B66" s="392"/>
      <c r="C66" s="41" t="s">
        <v>35</v>
      </c>
      <c r="D66" s="38">
        <v>292100</v>
      </c>
      <c r="E66" s="38">
        <v>292100</v>
      </c>
      <c r="F66" s="40"/>
      <c r="G66" s="38"/>
      <c r="H66" s="38"/>
      <c r="I66" s="38"/>
      <c r="J66" s="4">
        <f t="shared" si="5"/>
        <v>292100</v>
      </c>
      <c r="K66" s="105">
        <v>0</v>
      </c>
      <c r="L66" s="4">
        <f t="shared" si="6"/>
        <v>292100</v>
      </c>
    </row>
    <row r="67" spans="1:12" x14ac:dyDescent="0.2">
      <c r="A67" s="394"/>
      <c r="B67" s="392"/>
      <c r="C67" s="41" t="s">
        <v>11</v>
      </c>
      <c r="D67" s="38">
        <v>5127921</v>
      </c>
      <c r="E67" s="38">
        <v>5127921</v>
      </c>
      <c r="F67" s="40"/>
      <c r="G67" s="38"/>
      <c r="H67" s="38"/>
      <c r="I67" s="38"/>
      <c r="J67" s="4">
        <f t="shared" si="5"/>
        <v>5127921</v>
      </c>
      <c r="K67" s="105">
        <v>544320</v>
      </c>
      <c r="L67" s="4">
        <f t="shared" si="6"/>
        <v>4583601</v>
      </c>
    </row>
    <row r="68" spans="1:12" x14ac:dyDescent="0.2">
      <c r="A68" s="394"/>
      <c r="B68" s="392"/>
      <c r="C68" s="41" t="s">
        <v>12</v>
      </c>
      <c r="D68" s="38">
        <v>229492</v>
      </c>
      <c r="E68" s="38">
        <v>229492</v>
      </c>
      <c r="F68" s="40"/>
      <c r="G68" s="38"/>
      <c r="H68" s="38"/>
      <c r="I68" s="38"/>
      <c r="J68" s="4">
        <f t="shared" si="5"/>
        <v>229492</v>
      </c>
      <c r="K68" s="105">
        <v>1600</v>
      </c>
      <c r="L68" s="4">
        <f t="shared" si="6"/>
        <v>227892</v>
      </c>
    </row>
    <row r="69" spans="1:12" x14ac:dyDescent="0.2">
      <c r="A69" s="394"/>
      <c r="B69" s="392"/>
      <c r="C69" s="41" t="s">
        <v>36</v>
      </c>
      <c r="D69" s="38">
        <v>0</v>
      </c>
      <c r="E69" s="38">
        <v>0</v>
      </c>
      <c r="F69" s="40"/>
      <c r="G69" s="38"/>
      <c r="H69" s="38"/>
      <c r="I69" s="38"/>
      <c r="J69" s="4">
        <f t="shared" si="5"/>
        <v>0</v>
      </c>
      <c r="K69" s="105">
        <v>0</v>
      </c>
      <c r="L69" s="4">
        <f t="shared" si="6"/>
        <v>0</v>
      </c>
    </row>
    <row r="70" spans="1:12" x14ac:dyDescent="0.2">
      <c r="A70" s="394"/>
      <c r="B70" s="392"/>
      <c r="C70" s="41" t="s">
        <v>31</v>
      </c>
      <c r="D70" s="38">
        <v>388897</v>
      </c>
      <c r="E70" s="38">
        <v>704400</v>
      </c>
      <c r="F70" s="40"/>
      <c r="G70" s="38"/>
      <c r="H70" s="38"/>
      <c r="I70" s="38"/>
      <c r="J70" s="4">
        <f t="shared" si="5"/>
        <v>704400</v>
      </c>
      <c r="K70" s="105">
        <v>704400</v>
      </c>
      <c r="L70" s="4">
        <f t="shared" si="6"/>
        <v>0</v>
      </c>
    </row>
    <row r="71" spans="1:12" x14ac:dyDescent="0.2">
      <c r="A71" s="394"/>
      <c r="B71" s="392"/>
      <c r="C71" s="41" t="s">
        <v>32</v>
      </c>
      <c r="D71" s="38">
        <v>0</v>
      </c>
      <c r="E71" s="38">
        <v>1818096</v>
      </c>
      <c r="F71" s="40"/>
      <c r="G71" s="38"/>
      <c r="H71" s="38"/>
      <c r="I71" s="38"/>
      <c r="J71" s="4">
        <f t="shared" si="5"/>
        <v>1818096</v>
      </c>
      <c r="K71" s="105">
        <v>1818096</v>
      </c>
      <c r="L71" s="4">
        <f t="shared" si="6"/>
        <v>0</v>
      </c>
    </row>
    <row r="72" spans="1:12" x14ac:dyDescent="0.2">
      <c r="A72" s="394"/>
      <c r="B72" s="392"/>
      <c r="C72" s="41" t="s">
        <v>13</v>
      </c>
      <c r="D72" s="38">
        <v>4296741</v>
      </c>
      <c r="E72" s="38">
        <v>2678560</v>
      </c>
      <c r="F72" s="40"/>
      <c r="G72" s="38"/>
      <c r="H72" s="38"/>
      <c r="I72" s="38"/>
      <c r="J72" s="4">
        <f t="shared" si="5"/>
        <v>2678560</v>
      </c>
      <c r="K72" s="105">
        <v>2568661</v>
      </c>
      <c r="L72" s="4">
        <f t="shared" si="6"/>
        <v>109899</v>
      </c>
    </row>
    <row r="73" spans="1:12" x14ac:dyDescent="0.2">
      <c r="A73" s="394"/>
      <c r="B73" s="392"/>
      <c r="C73" s="41" t="s">
        <v>14</v>
      </c>
      <c r="D73" s="38">
        <v>1265122</v>
      </c>
      <c r="E73" s="38">
        <v>1404285</v>
      </c>
      <c r="F73" s="40"/>
      <c r="G73" s="38"/>
      <c r="H73" s="38"/>
      <c r="I73" s="38"/>
      <c r="J73" s="4">
        <f t="shared" si="5"/>
        <v>1404285</v>
      </c>
      <c r="K73" s="105">
        <v>1374613</v>
      </c>
      <c r="L73" s="4">
        <f t="shared" si="6"/>
        <v>29672</v>
      </c>
    </row>
    <row r="74" spans="1:12" x14ac:dyDescent="0.2">
      <c r="A74" s="394"/>
      <c r="B74" s="392"/>
      <c r="C74" s="41" t="s">
        <v>15</v>
      </c>
      <c r="D74" s="38">
        <v>4121943</v>
      </c>
      <c r="E74" s="38">
        <v>4121943</v>
      </c>
      <c r="F74" s="40"/>
      <c r="G74" s="38"/>
      <c r="H74" s="38"/>
      <c r="I74" s="38"/>
      <c r="J74" s="4">
        <f t="shared" si="5"/>
        <v>4121943</v>
      </c>
      <c r="K74" s="105">
        <v>2302859</v>
      </c>
      <c r="L74" s="4">
        <f t="shared" si="6"/>
        <v>1819084</v>
      </c>
    </row>
    <row r="75" spans="1:12" x14ac:dyDescent="0.2">
      <c r="A75" s="395"/>
      <c r="B75" s="392"/>
      <c r="C75" s="41" t="s">
        <v>16</v>
      </c>
      <c r="D75" s="38">
        <v>1112924</v>
      </c>
      <c r="E75" s="38">
        <v>1112924</v>
      </c>
      <c r="F75" s="40"/>
      <c r="G75" s="38"/>
      <c r="H75" s="38"/>
      <c r="I75" s="38"/>
      <c r="J75" s="4">
        <f t="shared" si="5"/>
        <v>1112924</v>
      </c>
      <c r="K75" s="105">
        <v>351957</v>
      </c>
      <c r="L75" s="4">
        <f t="shared" si="6"/>
        <v>760967</v>
      </c>
    </row>
    <row r="76" spans="1:12" ht="38.25" x14ac:dyDescent="0.2">
      <c r="A76" s="122" t="s">
        <v>127</v>
      </c>
      <c r="B76" s="121" t="s">
        <v>128</v>
      </c>
      <c r="C76" s="126" t="s">
        <v>2</v>
      </c>
      <c r="D76" s="42">
        <v>0</v>
      </c>
      <c r="E76" s="42">
        <v>0</v>
      </c>
      <c r="F76" s="43"/>
      <c r="G76" s="38">
        <v>3250000</v>
      </c>
      <c r="H76" s="38"/>
      <c r="I76" s="38"/>
      <c r="J76" s="4">
        <f t="shared" ref="J76" si="7">SUM(E76:I76)</f>
        <v>3250000</v>
      </c>
      <c r="K76" s="105">
        <v>0</v>
      </c>
      <c r="L76" s="4">
        <f t="shared" ref="L76" si="8">J76-K76</f>
        <v>3250000</v>
      </c>
    </row>
    <row r="77" spans="1:12" ht="23.25" customHeight="1" x14ac:dyDescent="0.2">
      <c r="A77" s="451" t="s">
        <v>86</v>
      </c>
      <c r="B77" s="452"/>
      <c r="C77" s="453"/>
      <c r="D77" s="118">
        <f>SUM(D30:D76)</f>
        <v>426209554</v>
      </c>
      <c r="E77" s="118">
        <f t="shared" ref="E77:L77" si="9">SUM(E30:E76)</f>
        <v>445617739</v>
      </c>
      <c r="F77" s="118">
        <f t="shared" si="9"/>
        <v>0</v>
      </c>
      <c r="G77" s="118">
        <f t="shared" si="9"/>
        <v>3250000</v>
      </c>
      <c r="H77" s="118">
        <f t="shared" si="9"/>
        <v>0</v>
      </c>
      <c r="I77" s="118">
        <f t="shared" si="9"/>
        <v>0</v>
      </c>
      <c r="J77" s="118">
        <f t="shared" si="9"/>
        <v>448867739</v>
      </c>
      <c r="K77" s="118">
        <f t="shared" si="9"/>
        <v>187665641</v>
      </c>
      <c r="L77" s="118">
        <f t="shared" si="9"/>
        <v>261202098</v>
      </c>
    </row>
    <row r="78" spans="1:12" x14ac:dyDescent="0.2">
      <c r="F78" s="2"/>
    </row>
    <row r="79" spans="1:12" x14ac:dyDescent="0.2">
      <c r="F79" s="2"/>
    </row>
    <row r="80" spans="1:12" x14ac:dyDescent="0.2">
      <c r="F80" s="2"/>
    </row>
    <row r="81" spans="1:12" ht="15.75" x14ac:dyDescent="0.25">
      <c r="A81" s="64" t="s">
        <v>100</v>
      </c>
      <c r="F81" s="2"/>
    </row>
    <row r="82" spans="1:12" x14ac:dyDescent="0.2">
      <c r="G82" s="73">
        <v>43646</v>
      </c>
      <c r="L82" s="55"/>
    </row>
    <row r="83" spans="1:12" s="85" customFormat="1" ht="33.75" x14ac:dyDescent="0.2">
      <c r="A83" s="387" t="s">
        <v>101</v>
      </c>
      <c r="B83" s="388"/>
      <c r="C83" s="84" t="s">
        <v>44</v>
      </c>
      <c r="D83" s="86" t="s">
        <v>21</v>
      </c>
      <c r="E83" s="86" t="s">
        <v>112</v>
      </c>
      <c r="F83" s="87" t="s">
        <v>43</v>
      </c>
      <c r="G83" s="100" t="s">
        <v>126</v>
      </c>
      <c r="H83" s="100" t="s">
        <v>83</v>
      </c>
      <c r="I83" s="100" t="s">
        <v>83</v>
      </c>
      <c r="J83" s="86" t="s">
        <v>121</v>
      </c>
      <c r="K83" s="106" t="s">
        <v>122</v>
      </c>
    </row>
    <row r="84" spans="1:12" x14ac:dyDescent="0.2">
      <c r="A84" s="389"/>
      <c r="B84" s="376"/>
      <c r="C84" s="63" t="s">
        <v>25</v>
      </c>
      <c r="D84" s="4">
        <f>D28+D27+D26+D20+D15+D14+D12+D11+D9+D25</f>
        <v>393662673</v>
      </c>
      <c r="E84" s="4">
        <f t="shared" ref="E84:K84" si="10">E28+E27+E26+E20+E15+E14+E12+E11+E9+E25</f>
        <v>412416277</v>
      </c>
      <c r="F84" s="4">
        <f t="shared" si="10"/>
        <v>0</v>
      </c>
      <c r="G84" s="4">
        <f t="shared" si="10"/>
        <v>3250000</v>
      </c>
      <c r="H84" s="4">
        <f t="shared" si="10"/>
        <v>0</v>
      </c>
      <c r="I84" s="4">
        <f t="shared" si="10"/>
        <v>0</v>
      </c>
      <c r="J84" s="4">
        <f t="shared" si="10"/>
        <v>415666277</v>
      </c>
      <c r="K84" s="4">
        <f t="shared" si="10"/>
        <v>170507157</v>
      </c>
    </row>
    <row r="85" spans="1:12" x14ac:dyDescent="0.2">
      <c r="A85" s="389"/>
      <c r="B85" s="376"/>
      <c r="C85" s="63" t="s">
        <v>37</v>
      </c>
      <c r="D85" s="4">
        <f>D21+D16+D13</f>
        <v>4500000</v>
      </c>
      <c r="E85" s="4">
        <f>E21+E16+E13</f>
        <v>5154581</v>
      </c>
      <c r="F85" s="4">
        <f t="shared" ref="F85:K85" si="11">F21+F16+F13</f>
        <v>0</v>
      </c>
      <c r="G85" s="4">
        <f t="shared" si="11"/>
        <v>0</v>
      </c>
      <c r="H85" s="4">
        <f t="shared" si="11"/>
        <v>0</v>
      </c>
      <c r="I85" s="4">
        <f t="shared" si="11"/>
        <v>0</v>
      </c>
      <c r="J85" s="4">
        <f t="shared" si="11"/>
        <v>5154581</v>
      </c>
      <c r="K85" s="107">
        <f t="shared" si="11"/>
        <v>4507191</v>
      </c>
    </row>
    <row r="86" spans="1:12" x14ac:dyDescent="0.2">
      <c r="A86" s="389"/>
      <c r="B86" s="376"/>
      <c r="C86" s="63" t="s">
        <v>27</v>
      </c>
      <c r="D86" s="4">
        <f t="shared" ref="D86:K87" si="12">D6</f>
        <v>0</v>
      </c>
      <c r="E86" s="4">
        <f t="shared" si="12"/>
        <v>0</v>
      </c>
      <c r="F86" s="4">
        <f t="shared" si="12"/>
        <v>0</v>
      </c>
      <c r="G86" s="4">
        <f t="shared" si="12"/>
        <v>0</v>
      </c>
      <c r="H86" s="4">
        <f t="shared" si="12"/>
        <v>0</v>
      </c>
      <c r="I86" s="4">
        <f t="shared" si="12"/>
        <v>0</v>
      </c>
      <c r="J86" s="4">
        <f t="shared" si="12"/>
        <v>0</v>
      </c>
      <c r="K86" s="107">
        <f t="shared" si="12"/>
        <v>0</v>
      </c>
    </row>
    <row r="87" spans="1:12" x14ac:dyDescent="0.2">
      <c r="A87" s="389"/>
      <c r="B87" s="376"/>
      <c r="C87" s="63" t="s">
        <v>39</v>
      </c>
      <c r="D87" s="4">
        <f t="shared" si="12"/>
        <v>0</v>
      </c>
      <c r="E87" s="4">
        <f t="shared" si="12"/>
        <v>0</v>
      </c>
      <c r="F87" s="4">
        <f t="shared" si="12"/>
        <v>0</v>
      </c>
      <c r="G87" s="4">
        <f t="shared" si="12"/>
        <v>0</v>
      </c>
      <c r="H87" s="4">
        <f t="shared" si="12"/>
        <v>0</v>
      </c>
      <c r="I87" s="4">
        <f t="shared" si="12"/>
        <v>0</v>
      </c>
      <c r="J87" s="4">
        <f t="shared" si="12"/>
        <v>0</v>
      </c>
      <c r="K87" s="107">
        <f t="shared" si="12"/>
        <v>0</v>
      </c>
    </row>
    <row r="88" spans="1:12" x14ac:dyDescent="0.2">
      <c r="A88" s="389"/>
      <c r="B88" s="376"/>
      <c r="C88" s="63" t="s">
        <v>40</v>
      </c>
      <c r="D88" s="4">
        <f>D24+D18+D8</f>
        <v>2300</v>
      </c>
      <c r="E88" s="4">
        <f>E24+E18+E8</f>
        <v>2200</v>
      </c>
      <c r="F88" s="4">
        <f t="shared" ref="F88:K88" si="13">F24+F18+F8</f>
        <v>-100</v>
      </c>
      <c r="G88" s="4">
        <f t="shared" si="13"/>
        <v>0</v>
      </c>
      <c r="H88" s="4">
        <f t="shared" si="13"/>
        <v>0</v>
      </c>
      <c r="I88" s="4">
        <f t="shared" si="13"/>
        <v>0</v>
      </c>
      <c r="J88" s="4">
        <f t="shared" si="13"/>
        <v>2100</v>
      </c>
      <c r="K88" s="107">
        <f t="shared" si="13"/>
        <v>935</v>
      </c>
    </row>
    <row r="89" spans="1:12" x14ac:dyDescent="0.2">
      <c r="A89" s="389"/>
      <c r="B89" s="376"/>
      <c r="C89" s="63" t="s">
        <v>41</v>
      </c>
      <c r="D89" s="4">
        <f>D19+D23</f>
        <v>0</v>
      </c>
      <c r="E89" s="4">
        <f t="shared" ref="E89:K89" si="14">E19+E23</f>
        <v>100</v>
      </c>
      <c r="F89" s="4">
        <f t="shared" si="14"/>
        <v>100</v>
      </c>
      <c r="G89" s="4">
        <f t="shared" si="14"/>
        <v>0</v>
      </c>
      <c r="H89" s="4">
        <f t="shared" si="14"/>
        <v>0</v>
      </c>
      <c r="I89" s="4">
        <f t="shared" si="14"/>
        <v>0</v>
      </c>
      <c r="J89" s="4">
        <f t="shared" si="14"/>
        <v>200</v>
      </c>
      <c r="K89" s="108">
        <f t="shared" si="14"/>
        <v>200</v>
      </c>
    </row>
    <row r="90" spans="1:12" x14ac:dyDescent="0.2">
      <c r="A90" s="389"/>
      <c r="B90" s="376"/>
      <c r="C90" s="65" t="s">
        <v>93</v>
      </c>
      <c r="D90" s="66">
        <f>D28+D27+D26+D24+D21+D20+D19+D18+D16+D15+D14+D13+D12+D11+D9+D8+D7+D6</f>
        <v>398164973</v>
      </c>
      <c r="E90" s="66">
        <f>E28+E27+E26+E24+E21+E20+E19+E18+E16+E15+E14+E13+E12+E11+E9+E8+E7+E6</f>
        <v>417573058</v>
      </c>
      <c r="F90" s="66">
        <f t="shared" ref="F90:K90" si="15">F28+F27+F26+F24+F21+F20+F19+F18+F16+F15+F14+F13+F12+F11+F9+F8+F7+F6</f>
        <v>-100</v>
      </c>
      <c r="G90" s="66">
        <f t="shared" si="15"/>
        <v>0</v>
      </c>
      <c r="H90" s="66">
        <f t="shared" si="15"/>
        <v>0</v>
      </c>
      <c r="I90" s="66">
        <f t="shared" si="15"/>
        <v>0</v>
      </c>
      <c r="J90" s="66">
        <f t="shared" si="15"/>
        <v>417572958</v>
      </c>
      <c r="K90" s="109">
        <f t="shared" si="15"/>
        <v>175015283</v>
      </c>
      <c r="L90" s="1"/>
    </row>
    <row r="91" spans="1:12" x14ac:dyDescent="0.2">
      <c r="A91" s="389"/>
      <c r="B91" s="376"/>
      <c r="C91" s="63" t="s">
        <v>28</v>
      </c>
      <c r="D91" s="4">
        <f>D22+D17+D10</f>
        <v>28044581</v>
      </c>
      <c r="E91" s="4">
        <f>E22+E17+E10</f>
        <v>28044581</v>
      </c>
      <c r="F91" s="4">
        <f t="shared" ref="F91:K91" si="16">F22+F17+F10</f>
        <v>0</v>
      </c>
      <c r="G91" s="4">
        <f t="shared" si="16"/>
        <v>0</v>
      </c>
      <c r="H91" s="4">
        <f t="shared" si="16"/>
        <v>0</v>
      </c>
      <c r="I91" s="4">
        <f t="shared" si="16"/>
        <v>0</v>
      </c>
      <c r="J91" s="4">
        <f t="shared" si="16"/>
        <v>28044581</v>
      </c>
      <c r="K91" s="107">
        <f t="shared" si="16"/>
        <v>28044581</v>
      </c>
    </row>
    <row r="92" spans="1:12" x14ac:dyDescent="0.2">
      <c r="A92" s="389"/>
      <c r="B92" s="376"/>
      <c r="C92" s="65" t="s">
        <v>92</v>
      </c>
      <c r="D92" s="66">
        <f>D22+D17+D10</f>
        <v>28044581</v>
      </c>
      <c r="E92" s="66">
        <f>E22+E17+E10</f>
        <v>28044581</v>
      </c>
      <c r="F92" s="66">
        <f t="shared" ref="F92:K92" si="17">F22+F17+F10</f>
        <v>0</v>
      </c>
      <c r="G92" s="66">
        <f t="shared" si="17"/>
        <v>0</v>
      </c>
      <c r="H92" s="66">
        <f t="shared" si="17"/>
        <v>0</v>
      </c>
      <c r="I92" s="66">
        <f t="shared" si="17"/>
        <v>0</v>
      </c>
      <c r="J92" s="66">
        <f t="shared" si="17"/>
        <v>28044581</v>
      </c>
      <c r="K92" s="109">
        <f t="shared" si="17"/>
        <v>28044581</v>
      </c>
      <c r="L92" s="1"/>
    </row>
    <row r="93" spans="1:12" x14ac:dyDescent="0.2">
      <c r="A93" s="389"/>
      <c r="B93" s="376"/>
      <c r="C93" s="65" t="s">
        <v>102</v>
      </c>
      <c r="D93" s="66">
        <f>SUM(D6:D28)</f>
        <v>426209554</v>
      </c>
      <c r="E93" s="66">
        <f>SUM(E6:E28)</f>
        <v>445617739</v>
      </c>
      <c r="F93" s="66">
        <f t="shared" ref="F93:K93" si="18">SUM(F6:F28)</f>
        <v>0</v>
      </c>
      <c r="G93" s="66">
        <f t="shared" si="18"/>
        <v>3250000</v>
      </c>
      <c r="H93" s="66">
        <f t="shared" si="18"/>
        <v>0</v>
      </c>
      <c r="I93" s="66">
        <f t="shared" si="18"/>
        <v>0</v>
      </c>
      <c r="J93" s="66">
        <f t="shared" si="18"/>
        <v>448867739</v>
      </c>
      <c r="K93" s="109">
        <f t="shared" si="18"/>
        <v>203060064</v>
      </c>
      <c r="L93" s="1"/>
    </row>
    <row r="94" spans="1:12" x14ac:dyDescent="0.2">
      <c r="A94" s="389"/>
      <c r="B94" s="376"/>
      <c r="C94" s="63" t="s">
        <v>7</v>
      </c>
      <c r="D94" s="4">
        <f>D58+D45</f>
        <v>970000</v>
      </c>
      <c r="E94" s="4">
        <f>E58+E45</f>
        <v>970000</v>
      </c>
      <c r="F94" s="4">
        <f t="shared" ref="F94:K94" si="19">F58+F45</f>
        <v>0</v>
      </c>
      <c r="G94" s="4">
        <f t="shared" si="19"/>
        <v>0</v>
      </c>
      <c r="H94" s="4">
        <f t="shared" si="19"/>
        <v>0</v>
      </c>
      <c r="I94" s="4">
        <f t="shared" si="19"/>
        <v>0</v>
      </c>
      <c r="J94" s="4">
        <f t="shared" si="19"/>
        <v>970000</v>
      </c>
      <c r="K94" s="107">
        <f t="shared" si="19"/>
        <v>420000</v>
      </c>
    </row>
    <row r="95" spans="1:12" x14ac:dyDescent="0.2">
      <c r="A95" s="389"/>
      <c r="B95" s="376"/>
      <c r="C95" s="63" t="s">
        <v>88</v>
      </c>
      <c r="D95" s="4">
        <f>D59</f>
        <v>10791000</v>
      </c>
      <c r="E95" s="4">
        <f>E59</f>
        <v>10791000</v>
      </c>
      <c r="F95" s="4">
        <f t="shared" ref="F95:K95" si="20">F59</f>
        <v>0</v>
      </c>
      <c r="G95" s="4">
        <f t="shared" si="20"/>
        <v>0</v>
      </c>
      <c r="H95" s="4">
        <f t="shared" si="20"/>
        <v>0</v>
      </c>
      <c r="I95" s="4">
        <f t="shared" si="20"/>
        <v>0</v>
      </c>
      <c r="J95" s="4">
        <f t="shared" si="20"/>
        <v>10791000</v>
      </c>
      <c r="K95" s="107">
        <f t="shared" si="20"/>
        <v>634000</v>
      </c>
    </row>
    <row r="96" spans="1:12" x14ac:dyDescent="0.2">
      <c r="A96" s="389"/>
      <c r="B96" s="376"/>
      <c r="C96" s="65" t="s">
        <v>94</v>
      </c>
      <c r="D96" s="66">
        <f>D59+D58</f>
        <v>11761000</v>
      </c>
      <c r="E96" s="66">
        <f>E59+E58</f>
        <v>11761000</v>
      </c>
      <c r="F96" s="66">
        <f t="shared" ref="F96:K96" si="21">F59+F58</f>
        <v>0</v>
      </c>
      <c r="G96" s="66">
        <f t="shared" si="21"/>
        <v>0</v>
      </c>
      <c r="H96" s="66">
        <f t="shared" si="21"/>
        <v>0</v>
      </c>
      <c r="I96" s="66">
        <f t="shared" si="21"/>
        <v>0</v>
      </c>
      <c r="J96" s="66">
        <f t="shared" si="21"/>
        <v>11761000</v>
      </c>
      <c r="K96" s="109">
        <f t="shared" si="21"/>
        <v>1054000</v>
      </c>
      <c r="L96" s="1"/>
    </row>
    <row r="97" spans="1:12" x14ac:dyDescent="0.2">
      <c r="A97" s="389"/>
      <c r="B97" s="376"/>
      <c r="C97" s="65" t="s">
        <v>9</v>
      </c>
      <c r="D97" s="66">
        <f>D60+D46</f>
        <v>3112282</v>
      </c>
      <c r="E97" s="66">
        <f>E60+E46</f>
        <v>3112282</v>
      </c>
      <c r="F97" s="66">
        <f t="shared" ref="F97:K97" si="22">F60+F46</f>
        <v>0</v>
      </c>
      <c r="G97" s="66">
        <f t="shared" si="22"/>
        <v>0</v>
      </c>
      <c r="H97" s="66">
        <f t="shared" si="22"/>
        <v>0</v>
      </c>
      <c r="I97" s="66">
        <f t="shared" si="22"/>
        <v>0</v>
      </c>
      <c r="J97" s="66">
        <f t="shared" si="22"/>
        <v>3112282</v>
      </c>
      <c r="K97" s="109">
        <f t="shared" si="22"/>
        <v>81900</v>
      </c>
      <c r="L97" s="1"/>
    </row>
    <row r="98" spans="1:12" x14ac:dyDescent="0.2">
      <c r="A98" s="389"/>
      <c r="B98" s="376"/>
      <c r="C98" s="63" t="s">
        <v>22</v>
      </c>
      <c r="D98" s="4">
        <f>D61+D30</f>
        <v>254000</v>
      </c>
      <c r="E98" s="4">
        <f>E61+E30</f>
        <v>254000</v>
      </c>
      <c r="F98" s="4">
        <f t="shared" ref="F98:K98" si="23">F61+F30</f>
        <v>0</v>
      </c>
      <c r="G98" s="4">
        <f t="shared" si="23"/>
        <v>0</v>
      </c>
      <c r="H98" s="4">
        <f t="shared" si="23"/>
        <v>0</v>
      </c>
      <c r="I98" s="4">
        <f t="shared" si="23"/>
        <v>0</v>
      </c>
      <c r="J98" s="4">
        <f t="shared" si="23"/>
        <v>254000</v>
      </c>
      <c r="K98" s="107">
        <f t="shared" si="23"/>
        <v>0</v>
      </c>
    </row>
    <row r="99" spans="1:12" x14ac:dyDescent="0.2">
      <c r="A99" s="389"/>
      <c r="B99" s="376"/>
      <c r="C99" s="63" t="s">
        <v>33</v>
      </c>
      <c r="D99" s="4">
        <f>D62</f>
        <v>72000</v>
      </c>
      <c r="E99" s="4">
        <f>E62</f>
        <v>72000</v>
      </c>
      <c r="F99" s="4">
        <f t="shared" ref="F99:K99" si="24">F62</f>
        <v>0</v>
      </c>
      <c r="G99" s="4">
        <f t="shared" si="24"/>
        <v>0</v>
      </c>
      <c r="H99" s="4">
        <f t="shared" si="24"/>
        <v>0</v>
      </c>
      <c r="I99" s="4">
        <f t="shared" si="24"/>
        <v>0</v>
      </c>
      <c r="J99" s="4">
        <f t="shared" si="24"/>
        <v>72000</v>
      </c>
      <c r="K99" s="107">
        <f t="shared" si="24"/>
        <v>0</v>
      </c>
    </row>
    <row r="100" spans="1:12" x14ac:dyDescent="0.2">
      <c r="A100" s="389"/>
      <c r="B100" s="376"/>
      <c r="C100" s="63" t="s">
        <v>89</v>
      </c>
      <c r="D100" s="4">
        <f>D31</f>
        <v>1870</v>
      </c>
      <c r="E100" s="4">
        <f>E31</f>
        <v>1870</v>
      </c>
      <c r="F100" s="4">
        <f t="shared" ref="F100:K100" si="25">F31</f>
        <v>0</v>
      </c>
      <c r="G100" s="4">
        <f t="shared" si="25"/>
        <v>0</v>
      </c>
      <c r="H100" s="4">
        <f t="shared" si="25"/>
        <v>0</v>
      </c>
      <c r="I100" s="4">
        <f t="shared" si="25"/>
        <v>0</v>
      </c>
      <c r="J100" s="4">
        <f t="shared" si="25"/>
        <v>1870</v>
      </c>
      <c r="K100" s="107">
        <f t="shared" si="25"/>
        <v>0</v>
      </c>
    </row>
    <row r="101" spans="1:12" x14ac:dyDescent="0.2">
      <c r="A101" s="389"/>
      <c r="B101" s="376"/>
      <c r="C101" s="63" t="s">
        <v>34</v>
      </c>
      <c r="D101" s="4">
        <f>D63</f>
        <v>230000</v>
      </c>
      <c r="E101" s="4">
        <f>E63</f>
        <v>230000</v>
      </c>
      <c r="F101" s="4">
        <f t="shared" ref="F101:K101" si="26">F63</f>
        <v>0</v>
      </c>
      <c r="G101" s="4">
        <f t="shared" si="26"/>
        <v>0</v>
      </c>
      <c r="H101" s="4">
        <f t="shared" si="26"/>
        <v>0</v>
      </c>
      <c r="I101" s="4">
        <f t="shared" si="26"/>
        <v>0</v>
      </c>
      <c r="J101" s="4">
        <f t="shared" si="26"/>
        <v>230000</v>
      </c>
      <c r="K101" s="107">
        <f t="shared" si="26"/>
        <v>0</v>
      </c>
    </row>
    <row r="102" spans="1:12" x14ac:dyDescent="0.2">
      <c r="A102" s="389"/>
      <c r="B102" s="376"/>
      <c r="C102" s="63" t="s">
        <v>10</v>
      </c>
      <c r="D102" s="4">
        <f>D64+D47</f>
        <v>8009100</v>
      </c>
      <c r="E102" s="4">
        <f>E64+E47</f>
        <v>8009100</v>
      </c>
      <c r="F102" s="4">
        <f t="shared" ref="F102:K102" si="27">F64+F47</f>
        <v>0</v>
      </c>
      <c r="G102" s="4">
        <f t="shared" si="27"/>
        <v>0</v>
      </c>
      <c r="H102" s="4">
        <f t="shared" si="27"/>
        <v>0</v>
      </c>
      <c r="I102" s="4">
        <f t="shared" si="27"/>
        <v>0</v>
      </c>
      <c r="J102" s="4">
        <f t="shared" si="27"/>
        <v>8009100</v>
      </c>
      <c r="K102" s="107">
        <f t="shared" si="27"/>
        <v>750000</v>
      </c>
    </row>
    <row r="103" spans="1:12" x14ac:dyDescent="0.2">
      <c r="A103" s="389"/>
      <c r="B103" s="376"/>
      <c r="C103" s="63" t="s">
        <v>2</v>
      </c>
      <c r="D103" s="4">
        <f>D65+D48+D32+D57+D76</f>
        <v>31883770</v>
      </c>
      <c r="E103" s="4">
        <f t="shared" ref="E103:K103" si="28">E65+E48+E32+E57+E76</f>
        <v>31674428</v>
      </c>
      <c r="F103" s="4">
        <f t="shared" si="28"/>
        <v>-8478</v>
      </c>
      <c r="G103" s="4">
        <f t="shared" si="28"/>
        <v>3250000</v>
      </c>
      <c r="H103" s="4">
        <f t="shared" si="28"/>
        <v>0</v>
      </c>
      <c r="I103" s="4">
        <f t="shared" si="28"/>
        <v>0</v>
      </c>
      <c r="J103" s="4">
        <f t="shared" si="28"/>
        <v>34915950</v>
      </c>
      <c r="K103" s="4">
        <f t="shared" si="28"/>
        <v>6042704</v>
      </c>
    </row>
    <row r="104" spans="1:12" x14ac:dyDescent="0.2">
      <c r="A104" s="389"/>
      <c r="B104" s="376"/>
      <c r="C104" s="63" t="s">
        <v>35</v>
      </c>
      <c r="D104" s="4">
        <f>D66</f>
        <v>292100</v>
      </c>
      <c r="E104" s="4">
        <f>E66</f>
        <v>292100</v>
      </c>
      <c r="F104" s="4">
        <f t="shared" ref="F104:K104" si="29">F66</f>
        <v>0</v>
      </c>
      <c r="G104" s="4">
        <f t="shared" si="29"/>
        <v>0</v>
      </c>
      <c r="H104" s="4">
        <f t="shared" si="29"/>
        <v>0</v>
      </c>
      <c r="I104" s="4">
        <f t="shared" si="29"/>
        <v>0</v>
      </c>
      <c r="J104" s="4">
        <f t="shared" si="29"/>
        <v>292100</v>
      </c>
      <c r="K104" s="107">
        <f t="shared" si="29"/>
        <v>0</v>
      </c>
    </row>
    <row r="105" spans="1:12" x14ac:dyDescent="0.2">
      <c r="A105" s="389"/>
      <c r="B105" s="376"/>
      <c r="C105" s="63" t="s">
        <v>117</v>
      </c>
      <c r="D105" s="4">
        <f>D33</f>
        <v>0</v>
      </c>
      <c r="E105" s="4">
        <f t="shared" ref="E105:K105" si="30">E33</f>
        <v>24420</v>
      </c>
      <c r="F105" s="4">
        <f t="shared" si="30"/>
        <v>0</v>
      </c>
      <c r="G105" s="4">
        <f t="shared" si="30"/>
        <v>0</v>
      </c>
      <c r="H105" s="4">
        <f t="shared" si="30"/>
        <v>0</v>
      </c>
      <c r="I105" s="4">
        <f t="shared" si="30"/>
        <v>0</v>
      </c>
      <c r="J105" s="4">
        <f t="shared" si="30"/>
        <v>24420</v>
      </c>
      <c r="K105" s="108">
        <f t="shared" si="30"/>
        <v>24420</v>
      </c>
    </row>
    <row r="106" spans="1:12" x14ac:dyDescent="0.2">
      <c r="A106" s="389"/>
      <c r="B106" s="376"/>
      <c r="C106" s="63" t="s">
        <v>11</v>
      </c>
      <c r="D106" s="4">
        <f>D67+D49+D34</f>
        <v>5188185</v>
      </c>
      <c r="E106" s="4">
        <f>E67+E49+E34</f>
        <v>5190107</v>
      </c>
      <c r="F106" s="4">
        <f t="shared" ref="F106:K106" si="31">F67+F49+F34</f>
        <v>8478</v>
      </c>
      <c r="G106" s="4">
        <f t="shared" si="31"/>
        <v>0</v>
      </c>
      <c r="H106" s="4">
        <f t="shared" si="31"/>
        <v>0</v>
      </c>
      <c r="I106" s="4">
        <f t="shared" si="31"/>
        <v>0</v>
      </c>
      <c r="J106" s="4">
        <f t="shared" si="31"/>
        <v>5198585</v>
      </c>
      <c r="K106" s="107">
        <f t="shared" si="31"/>
        <v>599216</v>
      </c>
    </row>
    <row r="107" spans="1:12" x14ac:dyDescent="0.2">
      <c r="A107" s="389"/>
      <c r="B107" s="376"/>
      <c r="C107" s="63" t="s">
        <v>91</v>
      </c>
      <c r="D107" s="4">
        <f>D35</f>
        <v>0</v>
      </c>
      <c r="E107" s="4">
        <f>E35</f>
        <v>83000</v>
      </c>
      <c r="F107" s="4">
        <f t="shared" ref="F107:K107" si="32">F35</f>
        <v>0</v>
      </c>
      <c r="G107" s="4">
        <f t="shared" si="32"/>
        <v>0</v>
      </c>
      <c r="H107" s="4">
        <f t="shared" si="32"/>
        <v>0</v>
      </c>
      <c r="I107" s="4">
        <f t="shared" si="32"/>
        <v>0</v>
      </c>
      <c r="J107" s="4">
        <f t="shared" si="32"/>
        <v>83000</v>
      </c>
      <c r="K107" s="107">
        <f t="shared" si="32"/>
        <v>83000</v>
      </c>
    </row>
    <row r="108" spans="1:12" x14ac:dyDescent="0.2">
      <c r="A108" s="389"/>
      <c r="B108" s="376"/>
      <c r="C108" s="63" t="s">
        <v>12</v>
      </c>
      <c r="D108" s="4">
        <f>D68+D50</f>
        <v>229492</v>
      </c>
      <c r="E108" s="4">
        <f>E68+E50</f>
        <v>329492</v>
      </c>
      <c r="F108" s="4">
        <f t="shared" ref="F108:K108" si="33">F68+F50</f>
        <v>0</v>
      </c>
      <c r="G108" s="4">
        <f t="shared" si="33"/>
        <v>0</v>
      </c>
      <c r="H108" s="4">
        <f t="shared" si="33"/>
        <v>0</v>
      </c>
      <c r="I108" s="4">
        <f t="shared" si="33"/>
        <v>0</v>
      </c>
      <c r="J108" s="4">
        <f t="shared" si="33"/>
        <v>329492</v>
      </c>
      <c r="K108" s="107">
        <f t="shared" si="33"/>
        <v>101600</v>
      </c>
    </row>
    <row r="109" spans="1:12" x14ac:dyDescent="0.2">
      <c r="A109" s="389"/>
      <c r="B109" s="376"/>
      <c r="C109" s="65" t="s">
        <v>95</v>
      </c>
      <c r="D109" s="66">
        <f>D68+D67+D66+D65+D64+D63+D62+D61+D50+D49+D48+D47+D35+D34+D32+D31+D30+D57+D33+D76</f>
        <v>46160517</v>
      </c>
      <c r="E109" s="66">
        <f t="shared" ref="E109:K109" si="34">E68+E67+E66+E65+E64+E63+E62+E61+E50+E49+E48+E47+E35+E34+E32+E31+E30+E57+E33+E76</f>
        <v>46160517</v>
      </c>
      <c r="F109" s="66">
        <f t="shared" si="34"/>
        <v>0</v>
      </c>
      <c r="G109" s="66">
        <f t="shared" si="34"/>
        <v>3250000</v>
      </c>
      <c r="H109" s="66">
        <f t="shared" si="34"/>
        <v>0</v>
      </c>
      <c r="I109" s="66">
        <f t="shared" si="34"/>
        <v>0</v>
      </c>
      <c r="J109" s="66">
        <f t="shared" si="34"/>
        <v>49410517</v>
      </c>
      <c r="K109" s="66">
        <f t="shared" si="34"/>
        <v>7600940</v>
      </c>
      <c r="L109" s="1"/>
    </row>
    <row r="110" spans="1:12" x14ac:dyDescent="0.2">
      <c r="A110" s="389"/>
      <c r="B110" s="376"/>
      <c r="C110" s="63" t="s">
        <v>36</v>
      </c>
      <c r="D110" s="4">
        <f>D69</f>
        <v>0</v>
      </c>
      <c r="E110" s="4">
        <f>E69</f>
        <v>0</v>
      </c>
      <c r="F110" s="4">
        <f t="shared" ref="F110:K110" si="35">F69</f>
        <v>0</v>
      </c>
      <c r="G110" s="4">
        <f t="shared" si="35"/>
        <v>0</v>
      </c>
      <c r="H110" s="4">
        <f t="shared" si="35"/>
        <v>0</v>
      </c>
      <c r="I110" s="4">
        <f t="shared" si="35"/>
        <v>0</v>
      </c>
      <c r="J110" s="4">
        <f t="shared" si="35"/>
        <v>0</v>
      </c>
      <c r="K110" s="107">
        <f t="shared" si="35"/>
        <v>0</v>
      </c>
    </row>
    <row r="111" spans="1:12" x14ac:dyDescent="0.2">
      <c r="A111" s="389"/>
      <c r="B111" s="376"/>
      <c r="C111" s="63" t="s">
        <v>23</v>
      </c>
      <c r="D111" s="4">
        <f>D43+D41+D39+D36</f>
        <v>19744030</v>
      </c>
      <c r="E111" s="4">
        <f>E43+E41+E39+E36</f>
        <v>19744030</v>
      </c>
      <c r="F111" s="4">
        <f t="shared" ref="F111:K111" si="36">F43+F41+F39+F36</f>
        <v>0</v>
      </c>
      <c r="G111" s="4">
        <f t="shared" si="36"/>
        <v>0</v>
      </c>
      <c r="H111" s="4">
        <f t="shared" si="36"/>
        <v>0</v>
      </c>
      <c r="I111" s="4">
        <f t="shared" si="36"/>
        <v>0</v>
      </c>
      <c r="J111" s="4">
        <f t="shared" si="36"/>
        <v>19744030</v>
      </c>
      <c r="K111" s="107">
        <f t="shared" si="36"/>
        <v>6930003</v>
      </c>
    </row>
    <row r="112" spans="1:12" x14ac:dyDescent="0.2">
      <c r="A112" s="389"/>
      <c r="B112" s="376"/>
      <c r="C112" s="63" t="s">
        <v>5</v>
      </c>
      <c r="D112" s="4">
        <f>D44+D40+D37</f>
        <v>16308950</v>
      </c>
      <c r="E112" s="4">
        <f>E44+E40+E37</f>
        <v>16308950</v>
      </c>
      <c r="F112" s="4">
        <f t="shared" ref="F112:K112" si="37">F44+F40+F37</f>
        <v>0</v>
      </c>
      <c r="G112" s="4">
        <f t="shared" si="37"/>
        <v>0</v>
      </c>
      <c r="H112" s="4">
        <f t="shared" si="37"/>
        <v>0</v>
      </c>
      <c r="I112" s="4">
        <f t="shared" si="37"/>
        <v>0</v>
      </c>
      <c r="J112" s="4">
        <f t="shared" si="37"/>
        <v>16308950</v>
      </c>
      <c r="K112" s="107">
        <f t="shared" si="37"/>
        <v>6824563</v>
      </c>
    </row>
    <row r="113" spans="1:12" x14ac:dyDescent="0.2">
      <c r="A113" s="389"/>
      <c r="B113" s="376"/>
      <c r="C113" s="65" t="s">
        <v>96</v>
      </c>
      <c r="D113" s="66">
        <f>D44+D43+D41+D40+D39+D37+D36</f>
        <v>36052980</v>
      </c>
      <c r="E113" s="66">
        <f>E44+E43+E41+E40+E39+E37+E36</f>
        <v>36052980</v>
      </c>
      <c r="F113" s="66">
        <f t="shared" ref="F113:K113" si="38">F44+F43+F41+F40+F39+F37+F36</f>
        <v>0</v>
      </c>
      <c r="G113" s="66">
        <f t="shared" si="38"/>
        <v>0</v>
      </c>
      <c r="H113" s="66">
        <f t="shared" si="38"/>
        <v>0</v>
      </c>
      <c r="I113" s="66">
        <f t="shared" si="38"/>
        <v>0</v>
      </c>
      <c r="J113" s="66">
        <f t="shared" si="38"/>
        <v>36052980</v>
      </c>
      <c r="K113" s="109">
        <f t="shared" si="38"/>
        <v>13754566</v>
      </c>
      <c r="L113" s="1"/>
    </row>
    <row r="114" spans="1:12" x14ac:dyDescent="0.2">
      <c r="A114" s="389"/>
      <c r="B114" s="376"/>
      <c r="C114" s="63" t="s">
        <v>31</v>
      </c>
      <c r="D114" s="4">
        <f>D70+D51</f>
        <v>388897</v>
      </c>
      <c r="E114" s="4">
        <f>E70+E51</f>
        <v>704400</v>
      </c>
      <c r="F114" s="4">
        <f t="shared" ref="F114:K114" si="39">F70+F51</f>
        <v>0</v>
      </c>
      <c r="G114" s="4">
        <f t="shared" si="39"/>
        <v>0</v>
      </c>
      <c r="H114" s="4">
        <f t="shared" si="39"/>
        <v>0</v>
      </c>
      <c r="I114" s="4">
        <f t="shared" si="39"/>
        <v>0</v>
      </c>
      <c r="J114" s="4">
        <f t="shared" si="39"/>
        <v>704400</v>
      </c>
      <c r="K114" s="107">
        <f t="shared" si="39"/>
        <v>704400</v>
      </c>
    </row>
    <row r="115" spans="1:12" x14ac:dyDescent="0.2">
      <c r="A115" s="389"/>
      <c r="B115" s="376"/>
      <c r="C115" s="63" t="s">
        <v>32</v>
      </c>
      <c r="D115" s="4">
        <f>D52+D71</f>
        <v>0</v>
      </c>
      <c r="E115" s="4">
        <f t="shared" ref="E115:K115" si="40">E52+E71</f>
        <v>1818096</v>
      </c>
      <c r="F115" s="4">
        <f t="shared" si="40"/>
        <v>0</v>
      </c>
      <c r="G115" s="4">
        <f t="shared" si="40"/>
        <v>0</v>
      </c>
      <c r="H115" s="4">
        <f t="shared" si="40"/>
        <v>0</v>
      </c>
      <c r="I115" s="4">
        <f t="shared" si="40"/>
        <v>0</v>
      </c>
      <c r="J115" s="4">
        <f t="shared" si="40"/>
        <v>1818096</v>
      </c>
      <c r="K115" s="108">
        <f t="shared" si="40"/>
        <v>1818096</v>
      </c>
    </row>
    <row r="116" spans="1:12" x14ac:dyDescent="0.2">
      <c r="A116" s="389"/>
      <c r="B116" s="376"/>
      <c r="C116" s="63" t="s">
        <v>13</v>
      </c>
      <c r="D116" s="4">
        <f t="shared" ref="D116:K117" si="41">D72+D53</f>
        <v>4296741</v>
      </c>
      <c r="E116" s="4">
        <f t="shared" si="41"/>
        <v>2678560</v>
      </c>
      <c r="F116" s="4">
        <f t="shared" si="41"/>
        <v>0</v>
      </c>
      <c r="G116" s="4">
        <f t="shared" si="41"/>
        <v>0</v>
      </c>
      <c r="H116" s="4">
        <f t="shared" si="41"/>
        <v>0</v>
      </c>
      <c r="I116" s="4">
        <f t="shared" si="41"/>
        <v>0</v>
      </c>
      <c r="J116" s="4">
        <f t="shared" si="41"/>
        <v>2678560</v>
      </c>
      <c r="K116" s="107">
        <f t="shared" si="41"/>
        <v>2568661</v>
      </c>
    </row>
    <row r="117" spans="1:12" x14ac:dyDescent="0.2">
      <c r="A117" s="389"/>
      <c r="B117" s="376"/>
      <c r="C117" s="63" t="s">
        <v>14</v>
      </c>
      <c r="D117" s="4">
        <f t="shared" si="41"/>
        <v>1265122</v>
      </c>
      <c r="E117" s="4">
        <f t="shared" si="41"/>
        <v>1404285</v>
      </c>
      <c r="F117" s="4">
        <f t="shared" si="41"/>
        <v>0</v>
      </c>
      <c r="G117" s="4">
        <f t="shared" si="41"/>
        <v>0</v>
      </c>
      <c r="H117" s="4">
        <f t="shared" si="41"/>
        <v>0</v>
      </c>
      <c r="I117" s="4">
        <f t="shared" si="41"/>
        <v>0</v>
      </c>
      <c r="J117" s="4">
        <f t="shared" si="41"/>
        <v>1404285</v>
      </c>
      <c r="K117" s="107">
        <f t="shared" si="41"/>
        <v>1374613</v>
      </c>
    </row>
    <row r="118" spans="1:12" x14ac:dyDescent="0.2">
      <c r="A118" s="389"/>
      <c r="B118" s="376"/>
      <c r="C118" s="65" t="s">
        <v>97</v>
      </c>
      <c r="D118" s="66">
        <f>D73+D72+D70+D54+D53+D52+D51</f>
        <v>5950760</v>
      </c>
      <c r="E118" s="66">
        <f>E73+E72+E70+E54+E53+E52+E51</f>
        <v>4787245</v>
      </c>
      <c r="F118" s="66">
        <f t="shared" ref="F118:I118" si="42">F73+F72+F70+F54+F53+F52+F51</f>
        <v>0</v>
      </c>
      <c r="G118" s="66">
        <f t="shared" si="42"/>
        <v>0</v>
      </c>
      <c r="H118" s="66">
        <f t="shared" si="42"/>
        <v>0</v>
      </c>
      <c r="I118" s="66">
        <f t="shared" si="42"/>
        <v>0</v>
      </c>
      <c r="J118" s="109">
        <f>J73+J72+J70+J54+J53+J52+J51+J71</f>
        <v>6605341</v>
      </c>
      <c r="K118" s="109">
        <f>K73+K72+K70+K54+K53+K52+K51+K71</f>
        <v>6465770</v>
      </c>
      <c r="L118" s="1"/>
    </row>
    <row r="119" spans="1:12" x14ac:dyDescent="0.2">
      <c r="A119" s="389"/>
      <c r="B119" s="376"/>
      <c r="C119" s="63" t="s">
        <v>15</v>
      </c>
      <c r="D119" s="4">
        <f t="shared" ref="D119:K120" si="43">D74+D55</f>
        <v>4121943</v>
      </c>
      <c r="E119" s="4">
        <f t="shared" si="43"/>
        <v>4121943</v>
      </c>
      <c r="F119" s="4">
        <f t="shared" si="43"/>
        <v>0</v>
      </c>
      <c r="G119" s="4">
        <f t="shared" si="43"/>
        <v>0</v>
      </c>
      <c r="H119" s="4">
        <f t="shared" si="43"/>
        <v>0</v>
      </c>
      <c r="I119" s="4">
        <f t="shared" si="43"/>
        <v>0</v>
      </c>
      <c r="J119" s="4">
        <f t="shared" si="43"/>
        <v>4121943</v>
      </c>
      <c r="K119" s="107">
        <f t="shared" si="43"/>
        <v>2302859</v>
      </c>
    </row>
    <row r="120" spans="1:12" x14ac:dyDescent="0.2">
      <c r="A120" s="389"/>
      <c r="B120" s="376"/>
      <c r="C120" s="63" t="s">
        <v>16</v>
      </c>
      <c r="D120" s="4">
        <f t="shared" si="43"/>
        <v>1112924</v>
      </c>
      <c r="E120" s="4">
        <f t="shared" si="43"/>
        <v>1112924</v>
      </c>
      <c r="F120" s="4">
        <f t="shared" si="43"/>
        <v>0</v>
      </c>
      <c r="G120" s="4">
        <f t="shared" si="43"/>
        <v>0</v>
      </c>
      <c r="H120" s="4">
        <f t="shared" si="43"/>
        <v>0</v>
      </c>
      <c r="I120" s="4">
        <f t="shared" si="43"/>
        <v>0</v>
      </c>
      <c r="J120" s="4">
        <f t="shared" si="43"/>
        <v>1112924</v>
      </c>
      <c r="K120" s="107">
        <f t="shared" si="43"/>
        <v>351957</v>
      </c>
    </row>
    <row r="121" spans="1:12" x14ac:dyDescent="0.2">
      <c r="A121" s="389"/>
      <c r="B121" s="376"/>
      <c r="C121" s="65" t="s">
        <v>98</v>
      </c>
      <c r="D121" s="66">
        <f>D75+D74+D56+D55</f>
        <v>5234867</v>
      </c>
      <c r="E121" s="66">
        <f>E75+E74+E56+E55</f>
        <v>5234867</v>
      </c>
      <c r="F121" s="66">
        <f t="shared" ref="F121:K121" si="44">F75+F74+F56+F55</f>
        <v>0</v>
      </c>
      <c r="G121" s="66">
        <f t="shared" si="44"/>
        <v>0</v>
      </c>
      <c r="H121" s="66">
        <f t="shared" si="44"/>
        <v>0</v>
      </c>
      <c r="I121" s="66">
        <f t="shared" si="44"/>
        <v>0</v>
      </c>
      <c r="J121" s="66">
        <f t="shared" si="44"/>
        <v>5234867</v>
      </c>
      <c r="K121" s="109">
        <f t="shared" si="44"/>
        <v>2654816</v>
      </c>
      <c r="L121" s="1"/>
    </row>
    <row r="122" spans="1:12" x14ac:dyDescent="0.2">
      <c r="A122" s="389"/>
      <c r="B122" s="376"/>
      <c r="C122" s="65" t="s">
        <v>110</v>
      </c>
      <c r="D122" s="66">
        <f>D42</f>
        <v>4500000</v>
      </c>
      <c r="E122" s="66">
        <f t="shared" ref="E122:K122" si="45">E42</f>
        <v>4500000</v>
      </c>
      <c r="F122" s="66">
        <f t="shared" si="45"/>
        <v>0</v>
      </c>
      <c r="G122" s="66">
        <f t="shared" si="45"/>
        <v>0</v>
      </c>
      <c r="H122" s="66">
        <f t="shared" si="45"/>
        <v>0</v>
      </c>
      <c r="I122" s="66">
        <f t="shared" si="45"/>
        <v>0</v>
      </c>
      <c r="J122" s="66">
        <f t="shared" si="45"/>
        <v>4500000</v>
      </c>
      <c r="K122" s="110">
        <f t="shared" si="45"/>
        <v>3700239</v>
      </c>
      <c r="L122" s="1"/>
    </row>
    <row r="123" spans="1:12" x14ac:dyDescent="0.2">
      <c r="A123" s="389"/>
      <c r="B123" s="376"/>
      <c r="C123" s="63" t="s">
        <v>3</v>
      </c>
      <c r="D123" s="67">
        <f>D38</f>
        <v>313437148</v>
      </c>
      <c r="E123" s="67">
        <f>E38</f>
        <v>332190752</v>
      </c>
      <c r="F123" s="67">
        <f t="shared" ref="F123:K123" si="46">F38</f>
        <v>0</v>
      </c>
      <c r="G123" s="67">
        <f t="shared" si="46"/>
        <v>0</v>
      </c>
      <c r="H123" s="67">
        <f t="shared" si="46"/>
        <v>0</v>
      </c>
      <c r="I123" s="67">
        <f t="shared" si="46"/>
        <v>0</v>
      </c>
      <c r="J123" s="67">
        <f t="shared" si="46"/>
        <v>332190752</v>
      </c>
      <c r="K123" s="111">
        <f t="shared" si="46"/>
        <v>152353410</v>
      </c>
      <c r="L123" s="1"/>
    </row>
    <row r="124" spans="1:12" x14ac:dyDescent="0.2">
      <c r="A124" s="390"/>
      <c r="B124" s="391"/>
      <c r="C124" s="65" t="s">
        <v>99</v>
      </c>
      <c r="D124" s="66">
        <f>SUM(D30:D76)</f>
        <v>426209554</v>
      </c>
      <c r="E124" s="66">
        <f t="shared" ref="E124:K124" si="47">SUM(E30:E76)</f>
        <v>445617739</v>
      </c>
      <c r="F124" s="66">
        <f t="shared" si="47"/>
        <v>0</v>
      </c>
      <c r="G124" s="66">
        <f t="shared" si="47"/>
        <v>3250000</v>
      </c>
      <c r="H124" s="66">
        <f t="shared" si="47"/>
        <v>0</v>
      </c>
      <c r="I124" s="66">
        <f t="shared" si="47"/>
        <v>0</v>
      </c>
      <c r="J124" s="66">
        <f t="shared" si="47"/>
        <v>448867739</v>
      </c>
      <c r="K124" s="66">
        <f t="shared" si="47"/>
        <v>187665641</v>
      </c>
      <c r="L124" s="1"/>
    </row>
    <row r="125" spans="1:12" x14ac:dyDescent="0.2">
      <c r="A125" s="1"/>
      <c r="B125" s="98"/>
      <c r="C125" s="1"/>
      <c r="D125" s="1"/>
      <c r="E125" s="1"/>
      <c r="F125" s="68"/>
      <c r="G125" s="1"/>
      <c r="H125" s="1"/>
      <c r="I125" s="1"/>
      <c r="J125" s="1"/>
      <c r="K125" s="112"/>
      <c r="L125" s="1"/>
    </row>
    <row r="126" spans="1:12" x14ac:dyDescent="0.2">
      <c r="C126" s="5"/>
      <c r="D126" s="5"/>
      <c r="F126" s="2"/>
    </row>
    <row r="127" spans="1:12" x14ac:dyDescent="0.2">
      <c r="C127" s="5"/>
      <c r="D127" s="5"/>
      <c r="F127" s="2"/>
    </row>
  </sheetData>
  <mergeCells count="37">
    <mergeCell ref="A29:C29"/>
    <mergeCell ref="A30:A38"/>
    <mergeCell ref="B30:B35"/>
    <mergeCell ref="B36:B38"/>
    <mergeCell ref="A83:B124"/>
    <mergeCell ref="A39:A40"/>
    <mergeCell ref="B39:B40"/>
    <mergeCell ref="A41:A42"/>
    <mergeCell ref="B41:B42"/>
    <mergeCell ref="A43:A44"/>
    <mergeCell ref="B43:B44"/>
    <mergeCell ref="A45:A56"/>
    <mergeCell ref="B45:B56"/>
    <mergeCell ref="A57:A75"/>
    <mergeCell ref="B58:B75"/>
    <mergeCell ref="A77:C77"/>
    <mergeCell ref="A12:A13"/>
    <mergeCell ref="B12:B13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ageMargins left="0.7" right="0.7" top="0.75" bottom="0.75" header="0.3" footer="0.3"/>
  <pageSetup paperSize="9" scale="50" orientation="portrait" r:id="rId1"/>
  <rowBreaks count="1" manualBreakCount="1">
    <brk id="7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7"/>
  <sheetViews>
    <sheetView workbookViewId="0">
      <pane xSplit="3" ySplit="5" topLeftCell="D12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54" t="s">
        <v>82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  <c r="L1" s="455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56" t="s">
        <v>19</v>
      </c>
      <c r="B4" s="458" t="s">
        <v>0</v>
      </c>
      <c r="C4" s="456" t="s">
        <v>44</v>
      </c>
      <c r="D4" s="456" t="s">
        <v>21</v>
      </c>
      <c r="E4" s="460" t="s">
        <v>121</v>
      </c>
      <c r="F4" s="462" t="s">
        <v>130</v>
      </c>
      <c r="G4" s="463"/>
      <c r="H4" s="463"/>
      <c r="I4" s="464"/>
      <c r="J4" s="460" t="s">
        <v>129</v>
      </c>
      <c r="K4" s="465" t="s">
        <v>133</v>
      </c>
      <c r="L4" s="466" t="s">
        <v>131</v>
      </c>
    </row>
    <row r="5" spans="1:12" ht="32.25" customHeight="1" x14ac:dyDescent="0.2">
      <c r="A5" s="457"/>
      <c r="B5" s="459"/>
      <c r="C5" s="457"/>
      <c r="D5" s="457"/>
      <c r="E5" s="461"/>
      <c r="F5" s="127" t="s">
        <v>43</v>
      </c>
      <c r="G5" s="128" t="s">
        <v>126</v>
      </c>
      <c r="H5" s="128" t="s">
        <v>83</v>
      </c>
      <c r="I5" s="128" t="s">
        <v>83</v>
      </c>
      <c r="J5" s="461"/>
      <c r="K5" s="465"/>
      <c r="L5" s="466"/>
    </row>
    <row r="6" spans="1:12" x14ac:dyDescent="0.2">
      <c r="A6" s="370" t="s">
        <v>38</v>
      </c>
      <c r="B6" s="378" t="s">
        <v>1</v>
      </c>
      <c r="C6" s="41" t="s">
        <v>27</v>
      </c>
      <c r="D6" s="42">
        <v>0</v>
      </c>
      <c r="E6" s="42">
        <v>0</v>
      </c>
      <c r="F6" s="43"/>
      <c r="G6" s="38"/>
      <c r="H6" s="38"/>
      <c r="I6" s="38"/>
      <c r="J6" s="74"/>
      <c r="K6" s="103">
        <v>0</v>
      </c>
      <c r="L6" s="4">
        <f>J6-K6</f>
        <v>0</v>
      </c>
    </row>
    <row r="7" spans="1:12" x14ac:dyDescent="0.2">
      <c r="A7" s="370"/>
      <c r="B7" s="378"/>
      <c r="C7" s="41" t="s">
        <v>39</v>
      </c>
      <c r="D7" s="42">
        <v>0</v>
      </c>
      <c r="E7" s="42">
        <v>0</v>
      </c>
      <c r="F7" s="43"/>
      <c r="G7" s="38"/>
      <c r="H7" s="38"/>
      <c r="I7" s="38"/>
      <c r="J7" s="4">
        <f t="shared" ref="J7:J29" si="0">SUM(E7:I7)</f>
        <v>0</v>
      </c>
      <c r="K7" s="103">
        <v>0</v>
      </c>
      <c r="L7" s="4">
        <f t="shared" ref="L7:L29" si="1">J7-K7</f>
        <v>0</v>
      </c>
    </row>
    <row r="8" spans="1:12" x14ac:dyDescent="0.2">
      <c r="A8" s="370"/>
      <c r="B8" s="378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1087</v>
      </c>
      <c r="L8" s="4">
        <f t="shared" si="1"/>
        <v>413</v>
      </c>
    </row>
    <row r="9" spans="1:12" x14ac:dyDescent="0.2">
      <c r="A9" s="370"/>
      <c r="B9" s="379" t="s">
        <v>4</v>
      </c>
      <c r="C9" s="41" t="s">
        <v>25</v>
      </c>
      <c r="D9" s="42">
        <v>2468000</v>
      </c>
      <c r="E9" s="42">
        <v>21221604</v>
      </c>
      <c r="F9" s="43">
        <f>-12724484-6029120</f>
        <v>-18753604</v>
      </c>
      <c r="G9" s="38"/>
      <c r="H9" s="38"/>
      <c r="I9" s="38"/>
      <c r="J9" s="4">
        <f t="shared" si="0"/>
        <v>2468000</v>
      </c>
      <c r="K9" s="132">
        <v>0</v>
      </c>
      <c r="L9" s="4">
        <f t="shared" si="1"/>
        <v>2468000</v>
      </c>
    </row>
    <row r="10" spans="1:12" x14ac:dyDescent="0.2">
      <c r="A10" s="370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339" t="s">
        <v>50</v>
      </c>
      <c r="B11" s="341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3585473</v>
      </c>
      <c r="L11" s="4">
        <f t="shared" si="1"/>
        <v>3419790</v>
      </c>
    </row>
    <row r="12" spans="1:12" x14ac:dyDescent="0.2">
      <c r="A12" s="340"/>
      <c r="B12" s="342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3970487</v>
      </c>
      <c r="L12" s="4">
        <f t="shared" si="1"/>
        <v>529513</v>
      </c>
    </row>
    <row r="13" spans="1:12" x14ac:dyDescent="0.2">
      <c r="A13" s="123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10012683</v>
      </c>
      <c r="L13" s="4">
        <f t="shared" si="1"/>
        <v>9733817</v>
      </c>
    </row>
    <row r="14" spans="1:12" x14ac:dyDescent="0.2">
      <c r="A14" s="124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8206309</v>
      </c>
      <c r="L14" s="4">
        <f>J14-K14</f>
        <v>8052641</v>
      </c>
    </row>
    <row r="15" spans="1:12" x14ac:dyDescent="0.2">
      <c r="A15" s="339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367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2" x14ac:dyDescent="0.2">
      <c r="A17" s="367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367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2" x14ac:dyDescent="0.2">
      <c r="A19" s="367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2" x14ac:dyDescent="0.2">
      <c r="A20" s="348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349"/>
      <c r="B21" s="382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349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349"/>
      <c r="B23" s="341" t="s">
        <v>17</v>
      </c>
      <c r="C23" s="41" t="s">
        <v>41</v>
      </c>
      <c r="D23" s="42">
        <v>0</v>
      </c>
      <c r="E23" s="42">
        <v>200</v>
      </c>
      <c r="F23" s="43">
        <v>100</v>
      </c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350"/>
      <c r="B24" s="342"/>
      <c r="C24" s="41" t="s">
        <v>40</v>
      </c>
      <c r="D24" s="42">
        <v>800</v>
      </c>
      <c r="E24" s="42">
        <v>600</v>
      </c>
      <c r="F24" s="43">
        <v>-100</v>
      </c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393" t="s">
        <v>132</v>
      </c>
      <c r="B25" s="470" t="s">
        <v>4</v>
      </c>
      <c r="C25" s="126" t="s">
        <v>25</v>
      </c>
      <c r="D25" s="42">
        <v>0</v>
      </c>
      <c r="E25" s="42">
        <v>3250000</v>
      </c>
      <c r="F25" s="43"/>
      <c r="G25" s="38">
        <v>10589752</v>
      </c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395"/>
      <c r="B26" s="471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9" t="s">
        <v>29</v>
      </c>
      <c r="B27" s="97" t="s">
        <v>4</v>
      </c>
      <c r="C27" s="41" t="s">
        <v>25</v>
      </c>
      <c r="D27" s="51">
        <v>260269918</v>
      </c>
      <c r="E27" s="51">
        <v>260269918</v>
      </c>
      <c r="F27" s="43">
        <f>12724484+6029120</f>
        <v>18753604</v>
      </c>
      <c r="G27" s="38"/>
      <c r="H27" s="38"/>
      <c r="I27" s="38"/>
      <c r="J27" s="4">
        <f t="shared" si="0"/>
        <v>279023522</v>
      </c>
      <c r="K27" s="103">
        <v>164666719</v>
      </c>
      <c r="L27" s="4">
        <f t="shared" si="1"/>
        <v>114356803</v>
      </c>
    </row>
    <row r="28" spans="1:12" x14ac:dyDescent="0.2">
      <c r="A28" s="9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1205730</v>
      </c>
      <c r="L28" s="4">
        <f t="shared" si="1"/>
        <v>1990828</v>
      </c>
    </row>
    <row r="29" spans="1:12" x14ac:dyDescent="0.2">
      <c r="A29" s="10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25959505</v>
      </c>
      <c r="L29" s="4">
        <f t="shared" si="1"/>
        <v>21543167</v>
      </c>
    </row>
    <row r="30" spans="1:12" ht="34.5" customHeight="1" x14ac:dyDescent="0.2">
      <c r="A30" s="467" t="s">
        <v>85</v>
      </c>
      <c r="B30" s="468"/>
      <c r="C30" s="469"/>
      <c r="D30" s="129">
        <f t="shared" ref="D30:L30" si="2">SUM(D6:D29)</f>
        <v>426209554</v>
      </c>
      <c r="E30" s="129">
        <f t="shared" si="2"/>
        <v>448867739</v>
      </c>
      <c r="F30" s="129">
        <f t="shared" si="2"/>
        <v>0</v>
      </c>
      <c r="G30" s="129">
        <f t="shared" si="2"/>
        <v>59965741</v>
      </c>
      <c r="H30" s="129">
        <f t="shared" si="2"/>
        <v>0</v>
      </c>
      <c r="I30" s="129">
        <f t="shared" si="2"/>
        <v>0</v>
      </c>
      <c r="J30" s="129">
        <f t="shared" si="2"/>
        <v>508833480</v>
      </c>
      <c r="K30" s="130">
        <f t="shared" si="2"/>
        <v>312145944</v>
      </c>
      <c r="L30" s="129">
        <f t="shared" si="2"/>
        <v>196687536</v>
      </c>
    </row>
    <row r="31" spans="1:12" x14ac:dyDescent="0.2">
      <c r="A31" s="339" t="s">
        <v>18</v>
      </c>
      <c r="B31" s="368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86" si="3">SUM(E31:I31)</f>
        <v>24000</v>
      </c>
      <c r="K31" s="105">
        <v>0</v>
      </c>
      <c r="L31" s="4">
        <f t="shared" ref="L31:L86" si="4">J31-K31</f>
        <v>24000</v>
      </c>
    </row>
    <row r="32" spans="1:12" x14ac:dyDescent="0.2">
      <c r="A32" s="367"/>
      <c r="B32" s="369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>
        <v>0</v>
      </c>
      <c r="L32" s="4">
        <f t="shared" si="4"/>
        <v>1870</v>
      </c>
    </row>
    <row r="33" spans="1:12" x14ac:dyDescent="0.2">
      <c r="A33" s="367"/>
      <c r="B33" s="369"/>
      <c r="C33" s="39" t="s">
        <v>2</v>
      </c>
      <c r="D33" s="38">
        <v>17684057</v>
      </c>
      <c r="E33" s="38">
        <v>17566237</v>
      </c>
      <c r="F33" s="40">
        <f>-24420-6593-1253</f>
        <v>-32266</v>
      </c>
      <c r="G33" s="38"/>
      <c r="H33" s="38"/>
      <c r="I33" s="38"/>
      <c r="J33" s="4">
        <f t="shared" si="3"/>
        <v>17533971</v>
      </c>
      <c r="K33" s="105">
        <v>4750558</v>
      </c>
      <c r="L33" s="4">
        <f t="shared" si="4"/>
        <v>12783413</v>
      </c>
    </row>
    <row r="34" spans="1:12" x14ac:dyDescent="0.2">
      <c r="A34" s="367"/>
      <c r="B34" s="369"/>
      <c r="C34" s="39" t="s">
        <v>117</v>
      </c>
      <c r="D34" s="38">
        <v>0</v>
      </c>
      <c r="E34" s="38">
        <v>24420</v>
      </c>
      <c r="F34" s="40">
        <v>24420</v>
      </c>
      <c r="G34" s="38"/>
      <c r="H34" s="38"/>
      <c r="I34" s="38"/>
      <c r="J34" s="4">
        <f t="shared" si="3"/>
        <v>48840</v>
      </c>
      <c r="K34" s="105">
        <v>48840</v>
      </c>
      <c r="L34" s="4">
        <f t="shared" si="4"/>
        <v>0</v>
      </c>
    </row>
    <row r="35" spans="1:12" x14ac:dyDescent="0.2">
      <c r="A35" s="367"/>
      <c r="B35" s="369"/>
      <c r="C35" s="41" t="s">
        <v>11</v>
      </c>
      <c r="D35" s="38">
        <v>60264</v>
      </c>
      <c r="E35" s="38">
        <v>70664</v>
      </c>
      <c r="F35" s="40">
        <v>6593</v>
      </c>
      <c r="G35" s="38"/>
      <c r="H35" s="38"/>
      <c r="I35" s="38"/>
      <c r="J35" s="4">
        <f t="shared" si="3"/>
        <v>77257</v>
      </c>
      <c r="K35" s="105">
        <v>71182</v>
      </c>
      <c r="L35" s="4">
        <f t="shared" si="4"/>
        <v>6075</v>
      </c>
    </row>
    <row r="36" spans="1:12" x14ac:dyDescent="0.2">
      <c r="A36" s="367"/>
      <c r="B36" s="423"/>
      <c r="C36" s="41" t="s">
        <v>91</v>
      </c>
      <c r="D36" s="38">
        <v>0</v>
      </c>
      <c r="E36" s="38">
        <v>83000</v>
      </c>
      <c r="F36" s="40"/>
      <c r="G36" s="38"/>
      <c r="H36" s="38"/>
      <c r="I36" s="38"/>
      <c r="J36" s="4">
        <f t="shared" si="3"/>
        <v>83000</v>
      </c>
      <c r="K36" s="105">
        <v>83000</v>
      </c>
      <c r="L36" s="4">
        <f t="shared" si="4"/>
        <v>0</v>
      </c>
    </row>
    <row r="37" spans="1:12" x14ac:dyDescent="0.2">
      <c r="A37" s="367"/>
      <c r="B37" s="341" t="s">
        <v>4</v>
      </c>
      <c r="C37" s="41" t="s">
        <v>23</v>
      </c>
      <c r="D37" s="38">
        <v>2267</v>
      </c>
      <c r="E37" s="38">
        <v>2267</v>
      </c>
      <c r="F37" s="40">
        <v>1253</v>
      </c>
      <c r="G37" s="38"/>
      <c r="H37" s="38"/>
      <c r="I37" s="38"/>
      <c r="J37" s="4">
        <f t="shared" si="3"/>
        <v>3520</v>
      </c>
      <c r="K37" s="133">
        <v>3520</v>
      </c>
      <c r="L37" s="120">
        <f t="shared" si="4"/>
        <v>0</v>
      </c>
    </row>
    <row r="38" spans="1:12" x14ac:dyDescent="0.2">
      <c r="A38" s="367"/>
      <c r="B38" s="383"/>
      <c r="C38" s="41" t="s">
        <v>5</v>
      </c>
      <c r="D38" s="42">
        <v>0</v>
      </c>
      <c r="E38" s="42">
        <v>0</v>
      </c>
      <c r="F38" s="45"/>
      <c r="G38" s="38"/>
      <c r="H38" s="38"/>
      <c r="I38" s="38"/>
      <c r="J38" s="4">
        <f t="shared" si="3"/>
        <v>0</v>
      </c>
      <c r="K38" s="105">
        <v>0</v>
      </c>
      <c r="L38" s="4">
        <f t="shared" si="4"/>
        <v>0</v>
      </c>
    </row>
    <row r="39" spans="1:12" x14ac:dyDescent="0.2">
      <c r="A39" s="367"/>
      <c r="B39" s="383"/>
      <c r="C39" s="39" t="s">
        <v>3</v>
      </c>
      <c r="D39" s="38">
        <v>313437148</v>
      </c>
      <c r="E39" s="38">
        <v>332190752</v>
      </c>
      <c r="F39" s="43"/>
      <c r="G39" s="38"/>
      <c r="H39" s="38"/>
      <c r="I39" s="38"/>
      <c r="J39" s="4">
        <f t="shared" si="3"/>
        <v>332190752</v>
      </c>
      <c r="K39" s="105">
        <v>191830701</v>
      </c>
      <c r="L39" s="4">
        <f t="shared" si="4"/>
        <v>140360051</v>
      </c>
    </row>
    <row r="40" spans="1:12" x14ac:dyDescent="0.2">
      <c r="A40" s="339" t="s">
        <v>20</v>
      </c>
      <c r="B40" s="368" t="s">
        <v>6</v>
      </c>
      <c r="C40" s="41" t="s">
        <v>23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358"/>
      <c r="B41" s="369"/>
      <c r="C41" s="39" t="s">
        <v>5</v>
      </c>
      <c r="D41" s="38">
        <v>16258950</v>
      </c>
      <c r="E41" s="38">
        <v>16258950</v>
      </c>
      <c r="F41" s="43"/>
      <c r="G41" s="38"/>
      <c r="H41" s="38"/>
      <c r="I41" s="38"/>
      <c r="J41" s="4">
        <f t="shared" si="3"/>
        <v>16258950</v>
      </c>
      <c r="K41" s="105">
        <v>8129475</v>
      </c>
      <c r="L41" s="4">
        <f t="shared" si="4"/>
        <v>8129475</v>
      </c>
    </row>
    <row r="42" spans="1:12" x14ac:dyDescent="0.2">
      <c r="A42" s="339" t="s">
        <v>24</v>
      </c>
      <c r="B42" s="341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340"/>
      <c r="B43" s="342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339" t="s">
        <v>30</v>
      </c>
      <c r="B44" s="341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340"/>
      <c r="B45" s="342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339" t="s">
        <v>48</v>
      </c>
      <c r="B46" s="368" t="s">
        <v>8</v>
      </c>
      <c r="C46" s="39" t="s">
        <v>7</v>
      </c>
      <c r="D46" s="38">
        <v>0</v>
      </c>
      <c r="E46" s="38">
        <v>0</v>
      </c>
      <c r="F46" s="43"/>
      <c r="G46" s="38"/>
      <c r="H46" s="38"/>
      <c r="I46" s="38"/>
      <c r="J46" s="4">
        <f t="shared" si="3"/>
        <v>0</v>
      </c>
      <c r="K46" s="105">
        <v>0</v>
      </c>
      <c r="L46" s="4">
        <f t="shared" si="4"/>
        <v>0</v>
      </c>
    </row>
    <row r="47" spans="1:12" x14ac:dyDescent="0.2">
      <c r="A47" s="367"/>
      <c r="B47" s="369"/>
      <c r="C47" s="39" t="s">
        <v>9</v>
      </c>
      <c r="D47" s="38">
        <v>0</v>
      </c>
      <c r="E47" s="38">
        <v>0</v>
      </c>
      <c r="F47" s="43"/>
      <c r="G47" s="38"/>
      <c r="H47" s="38"/>
      <c r="I47" s="38"/>
      <c r="J47" s="4">
        <f t="shared" si="3"/>
        <v>0</v>
      </c>
      <c r="K47" s="105">
        <v>0</v>
      </c>
      <c r="L47" s="4">
        <f t="shared" si="4"/>
        <v>0</v>
      </c>
    </row>
    <row r="48" spans="1:12" x14ac:dyDescent="0.2">
      <c r="A48" s="367"/>
      <c r="B48" s="369"/>
      <c r="C48" s="39" t="s">
        <v>10</v>
      </c>
      <c r="D48" s="38">
        <v>0</v>
      </c>
      <c r="E48" s="38">
        <v>0</v>
      </c>
      <c r="F48" s="40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367"/>
      <c r="B49" s="369"/>
      <c r="C49" s="39" t="s">
        <v>2</v>
      </c>
      <c r="D49" s="38">
        <v>199713</v>
      </c>
      <c r="E49" s="38">
        <v>99713</v>
      </c>
      <c r="F49" s="43"/>
      <c r="G49" s="38"/>
      <c r="H49" s="38"/>
      <c r="I49" s="38"/>
      <c r="J49" s="4">
        <f t="shared" si="3"/>
        <v>99713</v>
      </c>
      <c r="K49" s="105">
        <v>500</v>
      </c>
      <c r="L49" s="4">
        <f t="shared" si="4"/>
        <v>99213</v>
      </c>
    </row>
    <row r="50" spans="1:12" x14ac:dyDescent="0.2">
      <c r="A50" s="367"/>
      <c r="B50" s="369"/>
      <c r="C50" s="39" t="s">
        <v>11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7"/>
      <c r="B51" s="369"/>
      <c r="C51" s="39" t="s">
        <v>12</v>
      </c>
      <c r="D51" s="38">
        <v>0</v>
      </c>
      <c r="E51" s="38">
        <v>100000</v>
      </c>
      <c r="F51" s="43"/>
      <c r="G51" s="38"/>
      <c r="H51" s="38"/>
      <c r="I51" s="38"/>
      <c r="J51" s="4">
        <f t="shared" si="3"/>
        <v>100000</v>
      </c>
      <c r="K51" s="105">
        <v>100000</v>
      </c>
      <c r="L51" s="4">
        <f t="shared" si="4"/>
        <v>0</v>
      </c>
    </row>
    <row r="52" spans="1:12" x14ac:dyDescent="0.2">
      <c r="A52" s="367"/>
      <c r="B52" s="369"/>
      <c r="C52" s="41" t="s">
        <v>31</v>
      </c>
      <c r="D52" s="38">
        <v>0</v>
      </c>
      <c r="E52" s="38">
        <v>0</v>
      </c>
      <c r="F52" s="43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7"/>
      <c r="B53" s="369"/>
      <c r="C53" s="41" t="s">
        <v>32</v>
      </c>
      <c r="D53" s="38">
        <v>0</v>
      </c>
      <c r="E53" s="38">
        <v>0</v>
      </c>
      <c r="F53" s="43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367"/>
      <c r="B54" s="369"/>
      <c r="C54" s="39" t="s">
        <v>13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7"/>
      <c r="B55" s="369"/>
      <c r="C55" s="39" t="s">
        <v>14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67"/>
      <c r="B56" s="369"/>
      <c r="C56" s="39" t="s">
        <v>15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7"/>
      <c r="B57" s="369"/>
      <c r="C57" s="39" t="s">
        <v>16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93" t="s">
        <v>49</v>
      </c>
      <c r="B58" s="125" t="s">
        <v>1</v>
      </c>
      <c r="C58" s="39" t="s">
        <v>2</v>
      </c>
      <c r="D58" s="39">
        <v>0</v>
      </c>
      <c r="E58" s="38">
        <v>8</v>
      </c>
      <c r="F58" s="43"/>
      <c r="G58" s="38"/>
      <c r="H58" s="38"/>
      <c r="I58" s="38"/>
      <c r="J58" s="4">
        <f t="shared" si="3"/>
        <v>8</v>
      </c>
      <c r="K58" s="105">
        <v>8</v>
      </c>
      <c r="L58" s="4">
        <f t="shared" si="4"/>
        <v>0</v>
      </c>
    </row>
    <row r="59" spans="1:12" ht="12.75" customHeight="1" x14ac:dyDescent="0.2">
      <c r="A59" s="394"/>
      <c r="B59" s="392" t="s">
        <v>17</v>
      </c>
      <c r="C59" s="39" t="s">
        <v>7</v>
      </c>
      <c r="D59" s="38">
        <v>970000</v>
      </c>
      <c r="E59" s="38">
        <v>970000</v>
      </c>
      <c r="F59" s="40"/>
      <c r="G59" s="38"/>
      <c r="H59" s="38"/>
      <c r="I59" s="38"/>
      <c r="J59" s="4">
        <f t="shared" si="3"/>
        <v>970000</v>
      </c>
      <c r="K59" s="105">
        <v>490000</v>
      </c>
      <c r="L59" s="4">
        <f t="shared" si="4"/>
        <v>480000</v>
      </c>
    </row>
    <row r="60" spans="1:12" x14ac:dyDescent="0.2">
      <c r="A60" s="394"/>
      <c r="B60" s="392"/>
      <c r="C60" s="41" t="s">
        <v>88</v>
      </c>
      <c r="D60" s="38">
        <v>10791000</v>
      </c>
      <c r="E60" s="38">
        <v>10791000</v>
      </c>
      <c r="F60" s="40"/>
      <c r="G60" s="38"/>
      <c r="H60" s="38"/>
      <c r="I60" s="38"/>
      <c r="J60" s="4">
        <f t="shared" si="3"/>
        <v>10791000</v>
      </c>
      <c r="K60" s="105">
        <v>736000</v>
      </c>
      <c r="L60" s="4">
        <f t="shared" si="4"/>
        <v>10055000</v>
      </c>
    </row>
    <row r="61" spans="1:12" x14ac:dyDescent="0.2">
      <c r="A61" s="394"/>
      <c r="B61" s="392"/>
      <c r="C61" s="39" t="s">
        <v>9</v>
      </c>
      <c r="D61" s="38">
        <v>3112282</v>
      </c>
      <c r="E61" s="38">
        <v>3112282</v>
      </c>
      <c r="F61" s="40"/>
      <c r="G61" s="38"/>
      <c r="H61" s="38"/>
      <c r="I61" s="38"/>
      <c r="J61" s="4">
        <f t="shared" si="3"/>
        <v>3112282</v>
      </c>
      <c r="K61" s="105">
        <v>95550</v>
      </c>
      <c r="L61" s="4">
        <f t="shared" si="4"/>
        <v>3016732</v>
      </c>
    </row>
    <row r="62" spans="1:12" x14ac:dyDescent="0.2">
      <c r="A62" s="394"/>
      <c r="B62" s="392"/>
      <c r="C62" s="41" t="s">
        <v>22</v>
      </c>
      <c r="D62" s="38">
        <v>230000</v>
      </c>
      <c r="E62" s="38">
        <v>230000</v>
      </c>
      <c r="F62" s="40"/>
      <c r="G62" s="38"/>
      <c r="H62" s="38"/>
      <c r="I62" s="38"/>
      <c r="J62" s="4">
        <f t="shared" si="3"/>
        <v>230000</v>
      </c>
      <c r="K62" s="105">
        <v>0</v>
      </c>
      <c r="L62" s="4">
        <f t="shared" si="4"/>
        <v>230000</v>
      </c>
    </row>
    <row r="63" spans="1:12" x14ac:dyDescent="0.2">
      <c r="A63" s="394"/>
      <c r="B63" s="392"/>
      <c r="C63" s="41" t="s">
        <v>33</v>
      </c>
      <c r="D63" s="38">
        <v>72000</v>
      </c>
      <c r="E63" s="38">
        <v>72000</v>
      </c>
      <c r="F63" s="40"/>
      <c r="G63" s="38"/>
      <c r="H63" s="38"/>
      <c r="I63" s="38"/>
      <c r="J63" s="4">
        <f t="shared" si="3"/>
        <v>72000</v>
      </c>
      <c r="K63" s="105">
        <v>0</v>
      </c>
      <c r="L63" s="4">
        <f t="shared" si="4"/>
        <v>72000</v>
      </c>
    </row>
    <row r="64" spans="1:12" x14ac:dyDescent="0.2">
      <c r="A64" s="394"/>
      <c r="B64" s="392"/>
      <c r="C64" s="41" t="s">
        <v>34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394"/>
      <c r="B65" s="392"/>
      <c r="C65" s="41" t="s">
        <v>10</v>
      </c>
      <c r="D65" s="38">
        <v>8009100</v>
      </c>
      <c r="E65" s="38">
        <v>8009100</v>
      </c>
      <c r="F65" s="40"/>
      <c r="G65" s="38"/>
      <c r="H65" s="38"/>
      <c r="I65" s="38"/>
      <c r="J65" s="4">
        <f t="shared" si="3"/>
        <v>8009100</v>
      </c>
      <c r="K65" s="105">
        <v>750000</v>
      </c>
      <c r="L65" s="4">
        <f t="shared" si="4"/>
        <v>7259100</v>
      </c>
    </row>
    <row r="66" spans="1:12" x14ac:dyDescent="0.2">
      <c r="A66" s="394"/>
      <c r="B66" s="392"/>
      <c r="C66" s="41" t="s">
        <v>2</v>
      </c>
      <c r="D66" s="38">
        <v>14000000</v>
      </c>
      <c r="E66" s="38">
        <v>13999992</v>
      </c>
      <c r="F66" s="40"/>
      <c r="G66" s="38"/>
      <c r="H66" s="38"/>
      <c r="I66" s="38"/>
      <c r="J66" s="4">
        <f t="shared" si="3"/>
        <v>13999992</v>
      </c>
      <c r="K66" s="105">
        <v>2436000</v>
      </c>
      <c r="L66" s="4">
        <f t="shared" si="4"/>
        <v>11563992</v>
      </c>
    </row>
    <row r="67" spans="1:12" x14ac:dyDescent="0.2">
      <c r="A67" s="394"/>
      <c r="B67" s="392"/>
      <c r="C67" s="41" t="s">
        <v>35</v>
      </c>
      <c r="D67" s="38">
        <v>292100</v>
      </c>
      <c r="E67" s="38">
        <v>292100</v>
      </c>
      <c r="F67" s="40"/>
      <c r="G67" s="38"/>
      <c r="H67" s="38"/>
      <c r="I67" s="38"/>
      <c r="J67" s="4">
        <f t="shared" si="3"/>
        <v>292100</v>
      </c>
      <c r="K67" s="105">
        <v>0</v>
      </c>
      <c r="L67" s="4">
        <f t="shared" si="4"/>
        <v>292100</v>
      </c>
    </row>
    <row r="68" spans="1:12" x14ac:dyDescent="0.2">
      <c r="A68" s="394"/>
      <c r="B68" s="392"/>
      <c r="C68" s="41" t="s">
        <v>11</v>
      </c>
      <c r="D68" s="38">
        <v>5127921</v>
      </c>
      <c r="E68" s="38">
        <v>5127921</v>
      </c>
      <c r="F68" s="40"/>
      <c r="G68" s="38"/>
      <c r="H68" s="38"/>
      <c r="I68" s="38"/>
      <c r="J68" s="4">
        <f t="shared" si="3"/>
        <v>5127921</v>
      </c>
      <c r="K68" s="105">
        <v>657720</v>
      </c>
      <c r="L68" s="4">
        <f t="shared" si="4"/>
        <v>4470201</v>
      </c>
    </row>
    <row r="69" spans="1:12" x14ac:dyDescent="0.2">
      <c r="A69" s="394"/>
      <c r="B69" s="392"/>
      <c r="C69" s="41" t="s">
        <v>12</v>
      </c>
      <c r="D69" s="38">
        <v>229492</v>
      </c>
      <c r="E69" s="38">
        <v>229492</v>
      </c>
      <c r="F69" s="40"/>
      <c r="G69" s="38"/>
      <c r="H69" s="38"/>
      <c r="I69" s="38"/>
      <c r="J69" s="4">
        <f t="shared" si="3"/>
        <v>229492</v>
      </c>
      <c r="K69" s="105">
        <v>1600</v>
      </c>
      <c r="L69" s="4">
        <f t="shared" si="4"/>
        <v>227892</v>
      </c>
    </row>
    <row r="70" spans="1:12" x14ac:dyDescent="0.2">
      <c r="A70" s="394"/>
      <c r="B70" s="392"/>
      <c r="C70" s="41" t="s">
        <v>36</v>
      </c>
      <c r="D70" s="38">
        <v>0</v>
      </c>
      <c r="E70" s="38">
        <v>0</v>
      </c>
      <c r="F70" s="40"/>
      <c r="G70" s="38"/>
      <c r="H70" s="38"/>
      <c r="I70" s="38"/>
      <c r="J70" s="4">
        <f t="shared" si="3"/>
        <v>0</v>
      </c>
      <c r="K70" s="105">
        <v>0</v>
      </c>
      <c r="L70" s="4">
        <f t="shared" si="4"/>
        <v>0</v>
      </c>
    </row>
    <row r="71" spans="1:12" x14ac:dyDescent="0.2">
      <c r="A71" s="394"/>
      <c r="B71" s="392"/>
      <c r="C71" s="41" t="s">
        <v>31</v>
      </c>
      <c r="D71" s="38">
        <v>388897</v>
      </c>
      <c r="E71" s="38">
        <v>704400</v>
      </c>
      <c r="F71" s="40"/>
      <c r="G71" s="38"/>
      <c r="H71" s="38"/>
      <c r="I71" s="38"/>
      <c r="J71" s="4">
        <f t="shared" si="3"/>
        <v>704400</v>
      </c>
      <c r="K71" s="105">
        <v>704400</v>
      </c>
      <c r="L71" s="4">
        <f t="shared" si="4"/>
        <v>0</v>
      </c>
    </row>
    <row r="72" spans="1:12" x14ac:dyDescent="0.2">
      <c r="A72" s="394"/>
      <c r="B72" s="392"/>
      <c r="C72" s="41" t="s">
        <v>32</v>
      </c>
      <c r="D72" s="38">
        <v>0</v>
      </c>
      <c r="E72" s="38">
        <v>1818096</v>
      </c>
      <c r="F72" s="40"/>
      <c r="G72" s="38"/>
      <c r="H72" s="38"/>
      <c r="I72" s="38"/>
      <c r="J72" s="4">
        <f t="shared" si="3"/>
        <v>1818096</v>
      </c>
      <c r="K72" s="105">
        <v>1818096</v>
      </c>
      <c r="L72" s="4">
        <f t="shared" si="4"/>
        <v>0</v>
      </c>
    </row>
    <row r="73" spans="1:12" x14ac:dyDescent="0.2">
      <c r="A73" s="394"/>
      <c r="B73" s="392"/>
      <c r="C73" s="41" t="s">
        <v>13</v>
      </c>
      <c r="D73" s="38">
        <v>4296741</v>
      </c>
      <c r="E73" s="38">
        <v>2678560</v>
      </c>
      <c r="F73" s="40"/>
      <c r="G73" s="38"/>
      <c r="H73" s="38"/>
      <c r="I73" s="38"/>
      <c r="J73" s="4">
        <f t="shared" si="3"/>
        <v>2678560</v>
      </c>
      <c r="K73" s="105">
        <v>2568661</v>
      </c>
      <c r="L73" s="4">
        <f t="shared" si="4"/>
        <v>109899</v>
      </c>
    </row>
    <row r="74" spans="1:12" x14ac:dyDescent="0.2">
      <c r="A74" s="394"/>
      <c r="B74" s="392"/>
      <c r="C74" s="41" t="s">
        <v>14</v>
      </c>
      <c r="D74" s="38">
        <v>1265122</v>
      </c>
      <c r="E74" s="38">
        <v>1404285</v>
      </c>
      <c r="F74" s="40"/>
      <c r="G74" s="38"/>
      <c r="H74" s="38"/>
      <c r="I74" s="38"/>
      <c r="J74" s="4">
        <f t="shared" si="3"/>
        <v>1404285</v>
      </c>
      <c r="K74" s="105">
        <v>1374613</v>
      </c>
      <c r="L74" s="4">
        <f t="shared" si="4"/>
        <v>29672</v>
      </c>
    </row>
    <row r="75" spans="1:12" x14ac:dyDescent="0.2">
      <c r="A75" s="394"/>
      <c r="B75" s="392"/>
      <c r="C75" s="41" t="s">
        <v>15</v>
      </c>
      <c r="D75" s="38">
        <v>4121943</v>
      </c>
      <c r="E75" s="38">
        <v>4121943</v>
      </c>
      <c r="F75" s="40"/>
      <c r="G75" s="38"/>
      <c r="H75" s="38"/>
      <c r="I75" s="38"/>
      <c r="J75" s="4">
        <f t="shared" si="3"/>
        <v>4121943</v>
      </c>
      <c r="K75" s="105">
        <v>2302859</v>
      </c>
      <c r="L75" s="4">
        <f t="shared" si="4"/>
        <v>1819084</v>
      </c>
    </row>
    <row r="76" spans="1:12" x14ac:dyDescent="0.2">
      <c r="A76" s="395"/>
      <c r="B76" s="392"/>
      <c r="C76" s="41" t="s">
        <v>16</v>
      </c>
      <c r="D76" s="38">
        <v>1112924</v>
      </c>
      <c r="E76" s="38">
        <v>1112924</v>
      </c>
      <c r="F76" s="40"/>
      <c r="G76" s="38"/>
      <c r="H76" s="38"/>
      <c r="I76" s="38"/>
      <c r="J76" s="4">
        <f t="shared" si="3"/>
        <v>1112924</v>
      </c>
      <c r="K76" s="105">
        <v>351957</v>
      </c>
      <c r="L76" s="4">
        <f t="shared" si="4"/>
        <v>760967</v>
      </c>
    </row>
    <row r="77" spans="1:12" ht="16.5" customHeight="1" x14ac:dyDescent="0.2">
      <c r="A77" s="472" t="s">
        <v>127</v>
      </c>
      <c r="B77" s="470" t="s">
        <v>128</v>
      </c>
      <c r="C77" s="131" t="s">
        <v>7</v>
      </c>
      <c r="D77" s="42">
        <v>0</v>
      </c>
      <c r="E77" s="42">
        <v>0</v>
      </c>
      <c r="F77" s="43"/>
      <c r="G77" s="38">
        <v>2662762</v>
      </c>
      <c r="H77" s="38"/>
      <c r="I77" s="38"/>
      <c r="J77" s="4">
        <f t="shared" si="3"/>
        <v>2662762</v>
      </c>
      <c r="K77" s="105"/>
      <c r="L77" s="4">
        <f t="shared" si="4"/>
        <v>2662762</v>
      </c>
    </row>
    <row r="78" spans="1:12" x14ac:dyDescent="0.2">
      <c r="A78" s="473"/>
      <c r="B78" s="475"/>
      <c r="C78" s="131" t="s">
        <v>9</v>
      </c>
      <c r="D78" s="42">
        <v>0</v>
      </c>
      <c r="E78" s="42"/>
      <c r="F78" s="43"/>
      <c r="G78" s="38">
        <v>519238</v>
      </c>
      <c r="H78" s="38"/>
      <c r="I78" s="38"/>
      <c r="J78" s="4">
        <f t="shared" si="3"/>
        <v>519238</v>
      </c>
      <c r="K78" s="105"/>
      <c r="L78" s="4">
        <f t="shared" si="4"/>
        <v>519238</v>
      </c>
    </row>
    <row r="79" spans="1:12" x14ac:dyDescent="0.2">
      <c r="A79" s="473"/>
      <c r="B79" s="475"/>
      <c r="C79" s="131" t="s">
        <v>34</v>
      </c>
      <c r="D79" s="42">
        <v>0</v>
      </c>
      <c r="E79" s="42"/>
      <c r="F79" s="43"/>
      <c r="G79" s="38">
        <v>1248000</v>
      </c>
      <c r="H79" s="38"/>
      <c r="I79" s="38"/>
      <c r="J79" s="4">
        <f t="shared" si="3"/>
        <v>1248000</v>
      </c>
      <c r="K79" s="105"/>
      <c r="L79" s="4">
        <f t="shared" si="4"/>
        <v>1248000</v>
      </c>
    </row>
    <row r="80" spans="1:12" x14ac:dyDescent="0.2">
      <c r="A80" s="473"/>
      <c r="B80" s="475"/>
      <c r="C80" s="131" t="s">
        <v>2</v>
      </c>
      <c r="D80" s="42">
        <v>0</v>
      </c>
      <c r="E80" s="42">
        <v>3250000</v>
      </c>
      <c r="F80" s="43">
        <v>-40000</v>
      </c>
      <c r="G80" s="38">
        <v>6159752</v>
      </c>
      <c r="H80" s="38"/>
      <c r="I80" s="38"/>
      <c r="J80" s="4">
        <f t="shared" si="3"/>
        <v>9369752</v>
      </c>
      <c r="K80" s="105">
        <v>3250000</v>
      </c>
      <c r="L80" s="4">
        <f t="shared" si="4"/>
        <v>6119752</v>
      </c>
    </row>
    <row r="81" spans="1:12" x14ac:dyDescent="0.2">
      <c r="A81" s="473"/>
      <c r="B81" s="475"/>
      <c r="C81" s="131" t="s">
        <v>12</v>
      </c>
      <c r="D81" s="42">
        <v>0</v>
      </c>
      <c r="E81" s="42">
        <v>0</v>
      </c>
      <c r="F81" s="43">
        <v>40000</v>
      </c>
      <c r="G81" s="38"/>
      <c r="H81" s="38"/>
      <c r="I81" s="38"/>
      <c r="J81" s="4">
        <f t="shared" si="3"/>
        <v>40000</v>
      </c>
      <c r="K81" s="105">
        <v>40000</v>
      </c>
      <c r="L81" s="4">
        <f t="shared" si="4"/>
        <v>0</v>
      </c>
    </row>
    <row r="82" spans="1:12" x14ac:dyDescent="0.2">
      <c r="A82" s="473"/>
      <c r="B82" s="475"/>
      <c r="C82" s="131" t="s">
        <v>31</v>
      </c>
      <c r="D82" s="42">
        <v>0</v>
      </c>
      <c r="E82" s="42"/>
      <c r="F82" s="43"/>
      <c r="G82" s="38">
        <v>262453</v>
      </c>
      <c r="H82" s="38"/>
      <c r="I82" s="38"/>
      <c r="J82" s="4">
        <f t="shared" si="3"/>
        <v>262453</v>
      </c>
      <c r="K82" s="105"/>
      <c r="L82" s="4">
        <f t="shared" si="4"/>
        <v>262453</v>
      </c>
    </row>
    <row r="83" spans="1:12" ht="13.5" customHeight="1" x14ac:dyDescent="0.2">
      <c r="A83" s="473"/>
      <c r="B83" s="475"/>
      <c r="C83" s="131" t="s">
        <v>13</v>
      </c>
      <c r="D83" s="42">
        <v>0</v>
      </c>
      <c r="E83" s="42"/>
      <c r="F83" s="43"/>
      <c r="G83" s="38">
        <v>8077000</v>
      </c>
      <c r="H83" s="38"/>
      <c r="I83" s="38"/>
      <c r="J83" s="4">
        <f t="shared" si="3"/>
        <v>8077000</v>
      </c>
      <c r="K83" s="105"/>
      <c r="L83" s="4">
        <f t="shared" si="4"/>
        <v>8077000</v>
      </c>
    </row>
    <row r="84" spans="1:12" ht="13.5" customHeight="1" x14ac:dyDescent="0.2">
      <c r="A84" s="473"/>
      <c r="B84" s="475"/>
      <c r="C84" s="131" t="s">
        <v>14</v>
      </c>
      <c r="D84" s="42">
        <v>0</v>
      </c>
      <c r="E84" s="42"/>
      <c r="F84" s="43"/>
      <c r="G84" s="38">
        <v>2251652</v>
      </c>
      <c r="H84" s="38"/>
      <c r="I84" s="38"/>
      <c r="J84" s="4">
        <f t="shared" si="3"/>
        <v>2251652</v>
      </c>
      <c r="K84" s="105"/>
      <c r="L84" s="4">
        <f t="shared" si="4"/>
        <v>2251652</v>
      </c>
    </row>
    <row r="85" spans="1:12" x14ac:dyDescent="0.2">
      <c r="A85" s="473"/>
      <c r="B85" s="475"/>
      <c r="C85" s="131" t="s">
        <v>15</v>
      </c>
      <c r="D85" s="42">
        <v>0</v>
      </c>
      <c r="E85" s="42"/>
      <c r="F85" s="43"/>
      <c r="G85" s="38">
        <v>30539278</v>
      </c>
      <c r="H85" s="38"/>
      <c r="I85" s="38"/>
      <c r="J85" s="4">
        <f t="shared" si="3"/>
        <v>30539278</v>
      </c>
      <c r="K85" s="105"/>
      <c r="L85" s="4">
        <f t="shared" si="4"/>
        <v>30539278</v>
      </c>
    </row>
    <row r="86" spans="1:12" x14ac:dyDescent="0.2">
      <c r="A86" s="474"/>
      <c r="B86" s="471"/>
      <c r="C86" s="131" t="s">
        <v>16</v>
      </c>
      <c r="D86" s="42">
        <v>0</v>
      </c>
      <c r="E86" s="42"/>
      <c r="F86" s="43"/>
      <c r="G86" s="38">
        <v>8245606</v>
      </c>
      <c r="H86" s="38"/>
      <c r="I86" s="38"/>
      <c r="J86" s="4">
        <f t="shared" si="3"/>
        <v>8245606</v>
      </c>
      <c r="K86" s="105"/>
      <c r="L86" s="4">
        <f t="shared" si="4"/>
        <v>8245606</v>
      </c>
    </row>
    <row r="87" spans="1:12" ht="23.25" customHeight="1" x14ac:dyDescent="0.2">
      <c r="A87" s="467" t="s">
        <v>86</v>
      </c>
      <c r="B87" s="468"/>
      <c r="C87" s="469"/>
      <c r="D87" s="129">
        <f>SUM(D31:D86)</f>
        <v>426209554</v>
      </c>
      <c r="E87" s="129">
        <f t="shared" ref="E87:L87" si="5">SUM(E31:E86)</f>
        <v>448867739</v>
      </c>
      <c r="F87" s="129">
        <f t="shared" si="5"/>
        <v>0</v>
      </c>
      <c r="G87" s="129">
        <f t="shared" si="5"/>
        <v>59965741</v>
      </c>
      <c r="H87" s="129">
        <f t="shared" si="5"/>
        <v>0</v>
      </c>
      <c r="I87" s="129">
        <f t="shared" si="5"/>
        <v>0</v>
      </c>
      <c r="J87" s="129">
        <f t="shared" si="5"/>
        <v>508833480</v>
      </c>
      <c r="K87" s="129">
        <f t="shared" si="5"/>
        <v>235277872</v>
      </c>
      <c r="L87" s="129">
        <f t="shared" si="5"/>
        <v>273555608</v>
      </c>
    </row>
    <row r="88" spans="1:12" x14ac:dyDescent="0.2">
      <c r="F88" s="2"/>
    </row>
    <row r="89" spans="1:12" x14ac:dyDescent="0.2">
      <c r="F89" s="2"/>
    </row>
    <row r="90" spans="1:12" x14ac:dyDescent="0.2">
      <c r="F90" s="2"/>
    </row>
    <row r="91" spans="1:12" ht="15.75" x14ac:dyDescent="0.25">
      <c r="A91" s="64" t="s">
        <v>100</v>
      </c>
      <c r="F91" s="2"/>
    </row>
    <row r="92" spans="1:12" x14ac:dyDescent="0.2">
      <c r="G92" s="73">
        <v>43677</v>
      </c>
      <c r="L92" s="55"/>
    </row>
    <row r="93" spans="1:12" s="85" customFormat="1" ht="33.75" x14ac:dyDescent="0.2">
      <c r="A93" s="387" t="s">
        <v>101</v>
      </c>
      <c r="B93" s="388"/>
      <c r="C93" s="84" t="s">
        <v>44</v>
      </c>
      <c r="D93" s="86" t="s">
        <v>21</v>
      </c>
      <c r="E93" s="86" t="s">
        <v>121</v>
      </c>
      <c r="F93" s="87" t="s">
        <v>43</v>
      </c>
      <c r="G93" s="100" t="s">
        <v>126</v>
      </c>
      <c r="H93" s="100" t="s">
        <v>83</v>
      </c>
      <c r="I93" s="100" t="s">
        <v>83</v>
      </c>
      <c r="J93" s="86" t="s">
        <v>129</v>
      </c>
      <c r="K93" s="106" t="s">
        <v>133</v>
      </c>
    </row>
    <row r="94" spans="1:12" x14ac:dyDescent="0.2">
      <c r="A94" s="389"/>
      <c r="B94" s="376"/>
      <c r="C94" s="63" t="s">
        <v>25</v>
      </c>
      <c r="D94" s="4">
        <f t="shared" ref="D94:K94" si="6">D29+D28+D27+D20+D15+D13+D11+D14+D9+D25</f>
        <v>393662673</v>
      </c>
      <c r="E94" s="4">
        <f t="shared" si="6"/>
        <v>415666277</v>
      </c>
      <c r="F94" s="4">
        <f t="shared" si="6"/>
        <v>0</v>
      </c>
      <c r="G94" s="4">
        <f t="shared" si="6"/>
        <v>10589752</v>
      </c>
      <c r="H94" s="4">
        <f t="shared" si="6"/>
        <v>0</v>
      </c>
      <c r="I94" s="4">
        <f t="shared" si="6"/>
        <v>0</v>
      </c>
      <c r="J94" s="4">
        <f t="shared" si="6"/>
        <v>426256029</v>
      </c>
      <c r="K94" s="4">
        <f t="shared" si="6"/>
        <v>230098919</v>
      </c>
    </row>
    <row r="95" spans="1:12" x14ac:dyDescent="0.2">
      <c r="A95" s="389"/>
      <c r="B95" s="376"/>
      <c r="C95" s="63" t="s">
        <v>37</v>
      </c>
      <c r="D95" s="4">
        <f>D21+D16+D12+D26</f>
        <v>4500000</v>
      </c>
      <c r="E95" s="4">
        <f>E21+E16+E12+E26</f>
        <v>5154581</v>
      </c>
      <c r="F95" s="4">
        <f t="shared" ref="F95:K95" si="7">F21+F16+F12+F26</f>
        <v>0</v>
      </c>
      <c r="G95" s="4">
        <f t="shared" si="7"/>
        <v>49375989</v>
      </c>
      <c r="H95" s="4">
        <f t="shared" si="7"/>
        <v>0</v>
      </c>
      <c r="I95" s="4">
        <f t="shared" si="7"/>
        <v>0</v>
      </c>
      <c r="J95" s="4">
        <f t="shared" si="7"/>
        <v>54530570</v>
      </c>
      <c r="K95" s="4">
        <f t="shared" si="7"/>
        <v>54001057</v>
      </c>
    </row>
    <row r="96" spans="1:12" x14ac:dyDescent="0.2">
      <c r="A96" s="389"/>
      <c r="B96" s="376"/>
      <c r="C96" s="63" t="s">
        <v>27</v>
      </c>
      <c r="D96" s="4">
        <f t="shared" ref="D96:K97" si="8">D6</f>
        <v>0</v>
      </c>
      <c r="E96" s="4">
        <f t="shared" si="8"/>
        <v>0</v>
      </c>
      <c r="F96" s="4">
        <f t="shared" si="8"/>
        <v>0</v>
      </c>
      <c r="G96" s="4">
        <f t="shared" si="8"/>
        <v>0</v>
      </c>
      <c r="H96" s="4">
        <f t="shared" si="8"/>
        <v>0</v>
      </c>
      <c r="I96" s="4">
        <f t="shared" si="8"/>
        <v>0</v>
      </c>
      <c r="J96" s="4">
        <f t="shared" si="8"/>
        <v>0</v>
      </c>
      <c r="K96" s="4">
        <f t="shared" si="8"/>
        <v>0</v>
      </c>
    </row>
    <row r="97" spans="1:12" x14ac:dyDescent="0.2">
      <c r="A97" s="389"/>
      <c r="B97" s="376"/>
      <c r="C97" s="63" t="s">
        <v>39</v>
      </c>
      <c r="D97" s="4">
        <f t="shared" si="8"/>
        <v>0</v>
      </c>
      <c r="E97" s="4">
        <f t="shared" si="8"/>
        <v>0</v>
      </c>
      <c r="F97" s="4">
        <f t="shared" si="8"/>
        <v>0</v>
      </c>
      <c r="G97" s="4">
        <f t="shared" si="8"/>
        <v>0</v>
      </c>
      <c r="H97" s="4">
        <f t="shared" si="8"/>
        <v>0</v>
      </c>
      <c r="I97" s="4">
        <f t="shared" si="8"/>
        <v>0</v>
      </c>
      <c r="J97" s="4">
        <f t="shared" si="8"/>
        <v>0</v>
      </c>
      <c r="K97" s="107">
        <f t="shared" si="8"/>
        <v>0</v>
      </c>
    </row>
    <row r="98" spans="1:12" x14ac:dyDescent="0.2">
      <c r="A98" s="389"/>
      <c r="B98" s="376"/>
      <c r="C98" s="63" t="s">
        <v>40</v>
      </c>
      <c r="D98" s="4">
        <f t="shared" ref="D98:K98" si="9">D24+D18+D8</f>
        <v>2300</v>
      </c>
      <c r="E98" s="4">
        <f t="shared" si="9"/>
        <v>2100</v>
      </c>
      <c r="F98" s="4">
        <f t="shared" si="9"/>
        <v>-100</v>
      </c>
      <c r="G98" s="4">
        <f t="shared" si="9"/>
        <v>0</v>
      </c>
      <c r="H98" s="4">
        <f t="shared" si="9"/>
        <v>0</v>
      </c>
      <c r="I98" s="4">
        <f t="shared" si="9"/>
        <v>0</v>
      </c>
      <c r="J98" s="4">
        <f t="shared" si="9"/>
        <v>2000</v>
      </c>
      <c r="K98" s="107">
        <f t="shared" si="9"/>
        <v>1087</v>
      </c>
    </row>
    <row r="99" spans="1:12" x14ac:dyDescent="0.2">
      <c r="A99" s="389"/>
      <c r="B99" s="376"/>
      <c r="C99" s="63" t="s">
        <v>41</v>
      </c>
      <c r="D99" s="4">
        <f>D19+D23</f>
        <v>0</v>
      </c>
      <c r="E99" s="4">
        <f t="shared" ref="E99:K99" si="10">E19+E23</f>
        <v>200</v>
      </c>
      <c r="F99" s="4">
        <f t="shared" si="10"/>
        <v>100</v>
      </c>
      <c r="G99" s="4">
        <f t="shared" si="10"/>
        <v>0</v>
      </c>
      <c r="H99" s="4">
        <f t="shared" si="10"/>
        <v>0</v>
      </c>
      <c r="I99" s="4">
        <f t="shared" si="10"/>
        <v>0</v>
      </c>
      <c r="J99" s="4">
        <f t="shared" si="10"/>
        <v>300</v>
      </c>
      <c r="K99" s="108">
        <f t="shared" si="10"/>
        <v>300</v>
      </c>
    </row>
    <row r="100" spans="1:12" x14ac:dyDescent="0.2">
      <c r="A100" s="389"/>
      <c r="B100" s="376"/>
      <c r="C100" s="65" t="s">
        <v>93</v>
      </c>
      <c r="D100" s="66">
        <f>D29+D28+D27+D24+D21+D20+D19+D18+D16+D15+D13+D12+D11+D14+D9+D8+D7+D6+D23</f>
        <v>398164973</v>
      </c>
      <c r="E100" s="66">
        <f t="shared" ref="E100:J100" si="11">E29+E28+E27+E24+E21+E20+E19+E18+E16+E15+E13+E12+E11+E14+E9+E8+E7+E6+E23</f>
        <v>417573158</v>
      </c>
      <c r="F100" s="66">
        <f t="shared" si="11"/>
        <v>0</v>
      </c>
      <c r="G100" s="66">
        <f t="shared" si="11"/>
        <v>0</v>
      </c>
      <c r="H100" s="66">
        <f t="shared" si="11"/>
        <v>0</v>
      </c>
      <c r="I100" s="66">
        <f t="shared" si="11"/>
        <v>0</v>
      </c>
      <c r="J100" s="66">
        <f t="shared" si="11"/>
        <v>417573158</v>
      </c>
      <c r="K100" s="66">
        <f>K24+K23+K19+K18+K8+K7+K6</f>
        <v>1387</v>
      </c>
      <c r="L100" s="1"/>
    </row>
    <row r="101" spans="1:12" x14ac:dyDescent="0.2">
      <c r="A101" s="389"/>
      <c r="B101" s="376"/>
      <c r="C101" s="63" t="s">
        <v>28</v>
      </c>
      <c r="D101" s="4">
        <f t="shared" ref="D101:K101" si="12">D22+D17+D10</f>
        <v>28044581</v>
      </c>
      <c r="E101" s="4">
        <f t="shared" si="12"/>
        <v>28044581</v>
      </c>
      <c r="F101" s="4">
        <f t="shared" si="12"/>
        <v>0</v>
      </c>
      <c r="G101" s="4">
        <f t="shared" si="12"/>
        <v>0</v>
      </c>
      <c r="H101" s="4">
        <f t="shared" si="12"/>
        <v>0</v>
      </c>
      <c r="I101" s="4">
        <f t="shared" si="12"/>
        <v>0</v>
      </c>
      <c r="J101" s="4">
        <f t="shared" si="12"/>
        <v>28044581</v>
      </c>
      <c r="K101" s="107">
        <f t="shared" si="12"/>
        <v>28044581</v>
      </c>
    </row>
    <row r="102" spans="1:12" x14ac:dyDescent="0.2">
      <c r="A102" s="389"/>
      <c r="B102" s="376"/>
      <c r="C102" s="65" t="s">
        <v>92</v>
      </c>
      <c r="D102" s="66">
        <f t="shared" ref="D102:K102" si="13">D22+D17+D10</f>
        <v>28044581</v>
      </c>
      <c r="E102" s="66">
        <f t="shared" si="13"/>
        <v>28044581</v>
      </c>
      <c r="F102" s="66">
        <f t="shared" si="13"/>
        <v>0</v>
      </c>
      <c r="G102" s="66">
        <f t="shared" si="13"/>
        <v>0</v>
      </c>
      <c r="H102" s="66">
        <f t="shared" si="13"/>
        <v>0</v>
      </c>
      <c r="I102" s="66">
        <f t="shared" si="13"/>
        <v>0</v>
      </c>
      <c r="J102" s="66">
        <f t="shared" si="13"/>
        <v>28044581</v>
      </c>
      <c r="K102" s="109">
        <f t="shared" si="13"/>
        <v>28044581</v>
      </c>
      <c r="L102" s="1"/>
    </row>
    <row r="103" spans="1:12" x14ac:dyDescent="0.2">
      <c r="A103" s="389"/>
      <c r="B103" s="376"/>
      <c r="C103" s="65" t="s">
        <v>102</v>
      </c>
      <c r="D103" s="66">
        <f>D30</f>
        <v>426209554</v>
      </c>
      <c r="E103" s="66">
        <f t="shared" ref="E103:K103" si="14">E30</f>
        <v>448867739</v>
      </c>
      <c r="F103" s="66">
        <f t="shared" si="14"/>
        <v>0</v>
      </c>
      <c r="G103" s="66">
        <f t="shared" si="14"/>
        <v>59965741</v>
      </c>
      <c r="H103" s="66">
        <f t="shared" si="14"/>
        <v>0</v>
      </c>
      <c r="I103" s="66">
        <f t="shared" si="14"/>
        <v>0</v>
      </c>
      <c r="J103" s="66">
        <f t="shared" si="14"/>
        <v>508833480</v>
      </c>
      <c r="K103" s="66">
        <f t="shared" si="14"/>
        <v>312145944</v>
      </c>
      <c r="L103" s="1"/>
    </row>
    <row r="104" spans="1:12" x14ac:dyDescent="0.2">
      <c r="A104" s="389"/>
      <c r="B104" s="376"/>
      <c r="C104" s="63" t="s">
        <v>7</v>
      </c>
      <c r="D104" s="4">
        <f>D59+D46+D77</f>
        <v>970000</v>
      </c>
      <c r="E104" s="4">
        <f>E59+E46+E77</f>
        <v>970000</v>
      </c>
      <c r="F104" s="4">
        <f t="shared" ref="F104:K104" si="15">F59+F46+F77</f>
        <v>0</v>
      </c>
      <c r="G104" s="4">
        <f t="shared" si="15"/>
        <v>2662762</v>
      </c>
      <c r="H104" s="4">
        <f t="shared" si="15"/>
        <v>0</v>
      </c>
      <c r="I104" s="4">
        <f t="shared" si="15"/>
        <v>0</v>
      </c>
      <c r="J104" s="4">
        <f t="shared" si="15"/>
        <v>3632762</v>
      </c>
      <c r="K104" s="120">
        <f t="shared" si="15"/>
        <v>490000</v>
      </c>
    </row>
    <row r="105" spans="1:12" x14ac:dyDescent="0.2">
      <c r="A105" s="389"/>
      <c r="B105" s="376"/>
      <c r="C105" s="63" t="s">
        <v>88</v>
      </c>
      <c r="D105" s="4">
        <f>D60</f>
        <v>10791000</v>
      </c>
      <c r="E105" s="4">
        <f>E60</f>
        <v>10791000</v>
      </c>
      <c r="F105" s="4">
        <f t="shared" ref="F105:K105" si="16">F60</f>
        <v>0</v>
      </c>
      <c r="G105" s="4">
        <f t="shared" si="16"/>
        <v>0</v>
      </c>
      <c r="H105" s="4">
        <f t="shared" si="16"/>
        <v>0</v>
      </c>
      <c r="I105" s="4">
        <f t="shared" si="16"/>
        <v>0</v>
      </c>
      <c r="J105" s="4">
        <f t="shared" si="16"/>
        <v>10791000</v>
      </c>
      <c r="K105" s="120">
        <f t="shared" si="16"/>
        <v>736000</v>
      </c>
    </row>
    <row r="106" spans="1:12" x14ac:dyDescent="0.2">
      <c r="A106" s="389"/>
      <c r="B106" s="376"/>
      <c r="C106" s="65" t="s">
        <v>94</v>
      </c>
      <c r="D106" s="66">
        <f>D60+D59+D46+D77</f>
        <v>11761000</v>
      </c>
      <c r="E106" s="66">
        <f>E60+E59+E46+E77</f>
        <v>11761000</v>
      </c>
      <c r="F106" s="66">
        <f t="shared" ref="F106:K106" si="17">F60+F59+F46+F77</f>
        <v>0</v>
      </c>
      <c r="G106" s="66">
        <f t="shared" si="17"/>
        <v>2662762</v>
      </c>
      <c r="H106" s="66">
        <f t="shared" si="17"/>
        <v>0</v>
      </c>
      <c r="I106" s="66">
        <f t="shared" si="17"/>
        <v>0</v>
      </c>
      <c r="J106" s="66">
        <f t="shared" si="17"/>
        <v>14423762</v>
      </c>
      <c r="K106" s="66">
        <f t="shared" si="17"/>
        <v>1226000</v>
      </c>
      <c r="L106" s="1"/>
    </row>
    <row r="107" spans="1:12" x14ac:dyDescent="0.2">
      <c r="A107" s="389"/>
      <c r="B107" s="376"/>
      <c r="C107" s="65" t="s">
        <v>9</v>
      </c>
      <c r="D107" s="66">
        <f>D61+D47+D78</f>
        <v>3112282</v>
      </c>
      <c r="E107" s="66">
        <f>E61+E47+E78</f>
        <v>3112282</v>
      </c>
      <c r="F107" s="66">
        <f t="shared" ref="F107:K107" si="18">F61+F47+F78</f>
        <v>0</v>
      </c>
      <c r="G107" s="66">
        <f t="shared" si="18"/>
        <v>519238</v>
      </c>
      <c r="H107" s="66">
        <f t="shared" si="18"/>
        <v>0</v>
      </c>
      <c r="I107" s="66">
        <f t="shared" si="18"/>
        <v>0</v>
      </c>
      <c r="J107" s="66">
        <f t="shared" si="18"/>
        <v>3631520</v>
      </c>
      <c r="K107" s="66">
        <f t="shared" si="18"/>
        <v>95550</v>
      </c>
      <c r="L107" s="1"/>
    </row>
    <row r="108" spans="1:12" x14ac:dyDescent="0.2">
      <c r="A108" s="389"/>
      <c r="B108" s="376"/>
      <c r="C108" s="63" t="s">
        <v>22</v>
      </c>
      <c r="D108" s="4">
        <f>D62+D31</f>
        <v>254000</v>
      </c>
      <c r="E108" s="4">
        <f>E62+E31</f>
        <v>254000</v>
      </c>
      <c r="F108" s="4">
        <f t="shared" ref="F108:K108" si="19">F62+F31</f>
        <v>0</v>
      </c>
      <c r="G108" s="4">
        <f t="shared" si="19"/>
        <v>0</v>
      </c>
      <c r="H108" s="4">
        <f t="shared" si="19"/>
        <v>0</v>
      </c>
      <c r="I108" s="4">
        <f t="shared" si="19"/>
        <v>0</v>
      </c>
      <c r="J108" s="4">
        <f t="shared" si="19"/>
        <v>254000</v>
      </c>
      <c r="K108" s="107">
        <f t="shared" si="19"/>
        <v>0</v>
      </c>
    </row>
    <row r="109" spans="1:12" x14ac:dyDescent="0.2">
      <c r="A109" s="389"/>
      <c r="B109" s="376"/>
      <c r="C109" s="63" t="s">
        <v>33</v>
      </c>
      <c r="D109" s="4">
        <f>D63</f>
        <v>72000</v>
      </c>
      <c r="E109" s="4">
        <f>E63</f>
        <v>72000</v>
      </c>
      <c r="F109" s="4">
        <f t="shared" ref="F109:K109" si="20">F63</f>
        <v>0</v>
      </c>
      <c r="G109" s="4">
        <f t="shared" si="20"/>
        <v>0</v>
      </c>
      <c r="H109" s="4">
        <f t="shared" si="20"/>
        <v>0</v>
      </c>
      <c r="I109" s="4">
        <f t="shared" si="20"/>
        <v>0</v>
      </c>
      <c r="J109" s="4">
        <f t="shared" si="20"/>
        <v>72000</v>
      </c>
      <c r="K109" s="107">
        <f t="shared" si="20"/>
        <v>0</v>
      </c>
    </row>
    <row r="110" spans="1:12" x14ac:dyDescent="0.2">
      <c r="A110" s="389"/>
      <c r="B110" s="376"/>
      <c r="C110" s="63" t="s">
        <v>89</v>
      </c>
      <c r="D110" s="4">
        <f>D32</f>
        <v>1870</v>
      </c>
      <c r="E110" s="4">
        <f>E32</f>
        <v>1870</v>
      </c>
      <c r="F110" s="4">
        <f t="shared" ref="F110:K110" si="21">F32</f>
        <v>0</v>
      </c>
      <c r="G110" s="4">
        <f t="shared" si="21"/>
        <v>0</v>
      </c>
      <c r="H110" s="4">
        <f t="shared" si="21"/>
        <v>0</v>
      </c>
      <c r="I110" s="4">
        <f t="shared" si="21"/>
        <v>0</v>
      </c>
      <c r="J110" s="4">
        <f t="shared" si="21"/>
        <v>1870</v>
      </c>
      <c r="K110" s="107">
        <f t="shared" si="21"/>
        <v>0</v>
      </c>
    </row>
    <row r="111" spans="1:12" x14ac:dyDescent="0.2">
      <c r="A111" s="389"/>
      <c r="B111" s="376"/>
      <c r="C111" s="63" t="s">
        <v>34</v>
      </c>
      <c r="D111" s="4">
        <f>D64+D79</f>
        <v>230000</v>
      </c>
      <c r="E111" s="4">
        <f>E64+E79</f>
        <v>230000</v>
      </c>
      <c r="F111" s="4">
        <f t="shared" ref="F111:K111" si="22">F64+F79</f>
        <v>0</v>
      </c>
      <c r="G111" s="4">
        <f t="shared" si="22"/>
        <v>1248000</v>
      </c>
      <c r="H111" s="4">
        <f t="shared" si="22"/>
        <v>0</v>
      </c>
      <c r="I111" s="4">
        <f t="shared" si="22"/>
        <v>0</v>
      </c>
      <c r="J111" s="4">
        <f t="shared" si="22"/>
        <v>1478000</v>
      </c>
      <c r="K111" s="4">
        <f t="shared" si="22"/>
        <v>0</v>
      </c>
    </row>
    <row r="112" spans="1:12" x14ac:dyDescent="0.2">
      <c r="A112" s="389"/>
      <c r="B112" s="376"/>
      <c r="C112" s="63" t="s">
        <v>10</v>
      </c>
      <c r="D112" s="4">
        <f>D65+D48</f>
        <v>8009100</v>
      </c>
      <c r="E112" s="4">
        <f>E65+E48</f>
        <v>8009100</v>
      </c>
      <c r="F112" s="4">
        <f t="shared" ref="F112:K112" si="23">F65+F48</f>
        <v>0</v>
      </c>
      <c r="G112" s="4">
        <f t="shared" si="23"/>
        <v>0</v>
      </c>
      <c r="H112" s="4">
        <f t="shared" si="23"/>
        <v>0</v>
      </c>
      <c r="I112" s="4">
        <f t="shared" si="23"/>
        <v>0</v>
      </c>
      <c r="J112" s="4">
        <f t="shared" si="23"/>
        <v>8009100</v>
      </c>
      <c r="K112" s="107">
        <f t="shared" si="23"/>
        <v>750000</v>
      </c>
    </row>
    <row r="113" spans="1:12" x14ac:dyDescent="0.2">
      <c r="A113" s="389"/>
      <c r="B113" s="376"/>
      <c r="C113" s="63" t="s">
        <v>2</v>
      </c>
      <c r="D113" s="4">
        <f>D66+D49+D33+D58+D80</f>
        <v>31883770</v>
      </c>
      <c r="E113" s="4">
        <f t="shared" ref="E113:K113" si="24">E66+E49+E33+E58+E80</f>
        <v>34915950</v>
      </c>
      <c r="F113" s="4">
        <f t="shared" si="24"/>
        <v>-72266</v>
      </c>
      <c r="G113" s="4">
        <f t="shared" si="24"/>
        <v>6159752</v>
      </c>
      <c r="H113" s="4">
        <f t="shared" si="24"/>
        <v>0</v>
      </c>
      <c r="I113" s="4">
        <f t="shared" si="24"/>
        <v>0</v>
      </c>
      <c r="J113" s="4">
        <f t="shared" si="24"/>
        <v>41003436</v>
      </c>
      <c r="K113" s="4">
        <f t="shared" si="24"/>
        <v>10437066</v>
      </c>
    </row>
    <row r="114" spans="1:12" x14ac:dyDescent="0.2">
      <c r="A114" s="389"/>
      <c r="B114" s="376"/>
      <c r="C114" s="63" t="s">
        <v>35</v>
      </c>
      <c r="D114" s="4">
        <f>D67</f>
        <v>292100</v>
      </c>
      <c r="E114" s="4">
        <f>E67</f>
        <v>292100</v>
      </c>
      <c r="F114" s="4">
        <f t="shared" ref="F114:K114" si="25">F67</f>
        <v>0</v>
      </c>
      <c r="G114" s="4">
        <f t="shared" si="25"/>
        <v>0</v>
      </c>
      <c r="H114" s="4">
        <f t="shared" si="25"/>
        <v>0</v>
      </c>
      <c r="I114" s="4">
        <f t="shared" si="25"/>
        <v>0</v>
      </c>
      <c r="J114" s="4">
        <f t="shared" si="25"/>
        <v>292100</v>
      </c>
      <c r="K114" s="107">
        <f t="shared" si="25"/>
        <v>0</v>
      </c>
    </row>
    <row r="115" spans="1:12" x14ac:dyDescent="0.2">
      <c r="A115" s="389"/>
      <c r="B115" s="376"/>
      <c r="C115" s="63" t="s">
        <v>117</v>
      </c>
      <c r="D115" s="4">
        <f>D34</f>
        <v>0</v>
      </c>
      <c r="E115" s="4">
        <f t="shared" ref="E115:K115" si="26">E34</f>
        <v>24420</v>
      </c>
      <c r="F115" s="4">
        <f t="shared" si="26"/>
        <v>24420</v>
      </c>
      <c r="G115" s="4">
        <f t="shared" si="26"/>
        <v>0</v>
      </c>
      <c r="H115" s="4">
        <f t="shared" si="26"/>
        <v>0</v>
      </c>
      <c r="I115" s="4">
        <f t="shared" si="26"/>
        <v>0</v>
      </c>
      <c r="J115" s="4">
        <f t="shared" si="26"/>
        <v>48840</v>
      </c>
      <c r="K115" s="108">
        <f t="shared" si="26"/>
        <v>48840</v>
      </c>
    </row>
    <row r="116" spans="1:12" x14ac:dyDescent="0.2">
      <c r="A116" s="389"/>
      <c r="B116" s="376"/>
      <c r="C116" s="63" t="s">
        <v>11</v>
      </c>
      <c r="D116" s="4">
        <f>D68+D50+D35</f>
        <v>5188185</v>
      </c>
      <c r="E116" s="4">
        <f>E68+E50+E35</f>
        <v>5198585</v>
      </c>
      <c r="F116" s="4">
        <f t="shared" ref="F116:K116" si="27">F68+F50+F35</f>
        <v>6593</v>
      </c>
      <c r="G116" s="4">
        <f t="shared" si="27"/>
        <v>0</v>
      </c>
      <c r="H116" s="4">
        <f t="shared" si="27"/>
        <v>0</v>
      </c>
      <c r="I116" s="4">
        <f t="shared" si="27"/>
        <v>0</v>
      </c>
      <c r="J116" s="4">
        <f t="shared" si="27"/>
        <v>5205178</v>
      </c>
      <c r="K116" s="107">
        <f t="shared" si="27"/>
        <v>728902</v>
      </c>
    </row>
    <row r="117" spans="1:12" x14ac:dyDescent="0.2">
      <c r="A117" s="389"/>
      <c r="B117" s="376"/>
      <c r="C117" s="63" t="s">
        <v>91</v>
      </c>
      <c r="D117" s="4">
        <f>D36</f>
        <v>0</v>
      </c>
      <c r="E117" s="4">
        <f>E36</f>
        <v>83000</v>
      </c>
      <c r="F117" s="4">
        <f t="shared" ref="F117:K117" si="28">F36</f>
        <v>0</v>
      </c>
      <c r="G117" s="4">
        <f t="shared" si="28"/>
        <v>0</v>
      </c>
      <c r="H117" s="4">
        <f t="shared" si="28"/>
        <v>0</v>
      </c>
      <c r="I117" s="4">
        <f t="shared" si="28"/>
        <v>0</v>
      </c>
      <c r="J117" s="4">
        <f t="shared" si="28"/>
        <v>83000</v>
      </c>
      <c r="K117" s="107">
        <f t="shared" si="28"/>
        <v>83000</v>
      </c>
    </row>
    <row r="118" spans="1:12" x14ac:dyDescent="0.2">
      <c r="A118" s="389"/>
      <c r="B118" s="376"/>
      <c r="C118" s="63" t="s">
        <v>12</v>
      </c>
      <c r="D118" s="4">
        <f>D69+D51+D81</f>
        <v>229492</v>
      </c>
      <c r="E118" s="4">
        <f t="shared" ref="E118:K118" si="29">E69+E51+E81</f>
        <v>329492</v>
      </c>
      <c r="F118" s="4">
        <f t="shared" si="29"/>
        <v>40000</v>
      </c>
      <c r="G118" s="4">
        <f t="shared" si="29"/>
        <v>0</v>
      </c>
      <c r="H118" s="4">
        <f t="shared" si="29"/>
        <v>0</v>
      </c>
      <c r="I118" s="4">
        <f t="shared" si="29"/>
        <v>0</v>
      </c>
      <c r="J118" s="4">
        <f t="shared" si="29"/>
        <v>369492</v>
      </c>
      <c r="K118" s="4">
        <f t="shared" si="29"/>
        <v>141600</v>
      </c>
    </row>
    <row r="119" spans="1:12" x14ac:dyDescent="0.2">
      <c r="A119" s="389"/>
      <c r="B119" s="376"/>
      <c r="C119" s="65" t="s">
        <v>95</v>
      </c>
      <c r="D119" s="66">
        <f>D69+D68+D67+D66+D65+D64+D63+D62+D51+D50+D49+D48+D36+D35+D33+D32+D31+D58+D34+D79+D80</f>
        <v>46160517</v>
      </c>
      <c r="E119" s="66">
        <f>E69+E68+E67+E66+E65+E64+E63+E62+E51+E50+E49+E48+E36+E35+E33+E32+E31+E58+E34+E79+E80+E81</f>
        <v>49410517</v>
      </c>
      <c r="F119" s="66">
        <f>F69+F68+F67+F66+F65+F64+F63+F62+F51+F50+F49+F48+F36+F35+F33+F32+F31+F58+F34+F79+F80+F81</f>
        <v>-1253</v>
      </c>
      <c r="G119" s="66">
        <f t="shared" ref="G119:K119" si="30">G69+G68+G67+G66+G65+G64+G63+G62+G51+G50+G49+G48+G36+G35+G33+G32+G31+G58+G34+G79+G80+G81</f>
        <v>7407752</v>
      </c>
      <c r="H119" s="66">
        <f t="shared" si="30"/>
        <v>0</v>
      </c>
      <c r="I119" s="66">
        <f t="shared" si="30"/>
        <v>0</v>
      </c>
      <c r="J119" s="66">
        <f t="shared" si="30"/>
        <v>56817016</v>
      </c>
      <c r="K119" s="66">
        <f t="shared" si="30"/>
        <v>12189408</v>
      </c>
      <c r="L119" s="1"/>
    </row>
    <row r="120" spans="1:12" x14ac:dyDescent="0.2">
      <c r="A120" s="389"/>
      <c r="B120" s="376"/>
      <c r="C120" s="63" t="s">
        <v>36</v>
      </c>
      <c r="D120" s="4">
        <f>D70</f>
        <v>0</v>
      </c>
      <c r="E120" s="4">
        <f>E70</f>
        <v>0</v>
      </c>
      <c r="F120" s="4">
        <f t="shared" ref="F120:K120" si="31">F70</f>
        <v>0</v>
      </c>
      <c r="G120" s="4">
        <f t="shared" si="31"/>
        <v>0</v>
      </c>
      <c r="H120" s="4">
        <f t="shared" si="31"/>
        <v>0</v>
      </c>
      <c r="I120" s="4">
        <f t="shared" si="31"/>
        <v>0</v>
      </c>
      <c r="J120" s="4">
        <f t="shared" si="31"/>
        <v>0</v>
      </c>
      <c r="K120" s="107">
        <f t="shared" si="31"/>
        <v>0</v>
      </c>
    </row>
    <row r="121" spans="1:12" x14ac:dyDescent="0.2">
      <c r="A121" s="389"/>
      <c r="B121" s="376"/>
      <c r="C121" s="63" t="s">
        <v>23</v>
      </c>
      <c r="D121" s="4">
        <f>D44+D42+D40+D37</f>
        <v>19744030</v>
      </c>
      <c r="E121" s="4">
        <f>E44+E42+E40+E37</f>
        <v>19744030</v>
      </c>
      <c r="F121" s="4">
        <f t="shared" ref="F121:J121" si="32">F44+F42+F40+F37</f>
        <v>1253</v>
      </c>
      <c r="G121" s="4">
        <f t="shared" si="32"/>
        <v>0</v>
      </c>
      <c r="H121" s="4">
        <f t="shared" si="32"/>
        <v>0</v>
      </c>
      <c r="I121" s="4">
        <f t="shared" si="32"/>
        <v>0</v>
      </c>
      <c r="J121" s="4">
        <f t="shared" si="32"/>
        <v>19745283</v>
      </c>
      <c r="K121" s="135">
        <f>K44+K42+K40+K37</f>
        <v>8668362</v>
      </c>
    </row>
    <row r="122" spans="1:12" x14ac:dyDescent="0.2">
      <c r="A122" s="389"/>
      <c r="B122" s="376"/>
      <c r="C122" s="63" t="s">
        <v>5</v>
      </c>
      <c r="D122" s="4">
        <f>D45+D41+D38</f>
        <v>16308950</v>
      </c>
      <c r="E122" s="4">
        <f>E45+E41+E38</f>
        <v>16308950</v>
      </c>
      <c r="F122" s="4">
        <f t="shared" ref="F122:K122" si="33">F45+F41+F38</f>
        <v>0</v>
      </c>
      <c r="G122" s="4">
        <f t="shared" si="33"/>
        <v>0</v>
      </c>
      <c r="H122" s="4">
        <f t="shared" si="33"/>
        <v>0</v>
      </c>
      <c r="I122" s="4">
        <f t="shared" si="33"/>
        <v>0</v>
      </c>
      <c r="J122" s="4">
        <f t="shared" si="33"/>
        <v>16308950</v>
      </c>
      <c r="K122" s="107">
        <f t="shared" si="33"/>
        <v>8179475</v>
      </c>
    </row>
    <row r="123" spans="1:12" x14ac:dyDescent="0.2">
      <c r="A123" s="389"/>
      <c r="B123" s="376"/>
      <c r="C123" s="65" t="s">
        <v>96</v>
      </c>
      <c r="D123" s="66">
        <f>D45+D44+D42+D41+D40+D38+D37</f>
        <v>36052980</v>
      </c>
      <c r="E123" s="66">
        <f>E45+E44+E42+E41+E40+E38+E37</f>
        <v>36052980</v>
      </c>
      <c r="F123" s="66">
        <f t="shared" ref="F123:K123" si="34">F45+F44+F42+F41+F40+F38+F37</f>
        <v>1253</v>
      </c>
      <c r="G123" s="66">
        <f t="shared" si="34"/>
        <v>0</v>
      </c>
      <c r="H123" s="66">
        <f t="shared" si="34"/>
        <v>0</v>
      </c>
      <c r="I123" s="66">
        <f t="shared" si="34"/>
        <v>0</v>
      </c>
      <c r="J123" s="66">
        <f t="shared" si="34"/>
        <v>36054233</v>
      </c>
      <c r="K123" s="109">
        <f t="shared" si="34"/>
        <v>16847837</v>
      </c>
      <c r="L123" s="1"/>
    </row>
    <row r="124" spans="1:12" x14ac:dyDescent="0.2">
      <c r="A124" s="389"/>
      <c r="B124" s="376"/>
      <c r="C124" s="63" t="s">
        <v>31</v>
      </c>
      <c r="D124" s="4">
        <f>D71+D52+D82</f>
        <v>388897</v>
      </c>
      <c r="E124" s="4">
        <f t="shared" ref="E124:K124" si="35">E71+E52+E82</f>
        <v>704400</v>
      </c>
      <c r="F124" s="4">
        <f t="shared" si="35"/>
        <v>0</v>
      </c>
      <c r="G124" s="4">
        <f t="shared" si="35"/>
        <v>262453</v>
      </c>
      <c r="H124" s="4">
        <f t="shared" si="35"/>
        <v>0</v>
      </c>
      <c r="I124" s="4">
        <f t="shared" si="35"/>
        <v>0</v>
      </c>
      <c r="J124" s="4">
        <f t="shared" si="35"/>
        <v>966853</v>
      </c>
      <c r="K124" s="4">
        <f t="shared" si="35"/>
        <v>704400</v>
      </c>
    </row>
    <row r="125" spans="1:12" x14ac:dyDescent="0.2">
      <c r="A125" s="389"/>
      <c r="B125" s="376"/>
      <c r="C125" s="63" t="s">
        <v>32</v>
      </c>
      <c r="D125" s="4">
        <f>D53+D72</f>
        <v>0</v>
      </c>
      <c r="E125" s="4">
        <f t="shared" ref="E125:K125" si="36">E53+E72</f>
        <v>1818096</v>
      </c>
      <c r="F125" s="4">
        <f t="shared" si="36"/>
        <v>0</v>
      </c>
      <c r="G125" s="4">
        <f t="shared" si="36"/>
        <v>0</v>
      </c>
      <c r="H125" s="4">
        <f t="shared" si="36"/>
        <v>0</v>
      </c>
      <c r="I125" s="4">
        <f t="shared" si="36"/>
        <v>0</v>
      </c>
      <c r="J125" s="4">
        <f t="shared" si="36"/>
        <v>1818096</v>
      </c>
      <c r="K125" s="108">
        <f t="shared" si="36"/>
        <v>1818096</v>
      </c>
    </row>
    <row r="126" spans="1:12" x14ac:dyDescent="0.2">
      <c r="A126" s="389"/>
      <c r="B126" s="376"/>
      <c r="C126" s="63" t="s">
        <v>13</v>
      </c>
      <c r="D126" s="4">
        <f>D73+D54+D83</f>
        <v>4296741</v>
      </c>
      <c r="E126" s="4">
        <f t="shared" ref="E126:K126" si="37">E73+E54+E83</f>
        <v>2678560</v>
      </c>
      <c r="F126" s="4">
        <f t="shared" si="37"/>
        <v>0</v>
      </c>
      <c r="G126" s="4">
        <f t="shared" si="37"/>
        <v>8077000</v>
      </c>
      <c r="H126" s="4">
        <f t="shared" si="37"/>
        <v>0</v>
      </c>
      <c r="I126" s="4">
        <f t="shared" si="37"/>
        <v>0</v>
      </c>
      <c r="J126" s="4">
        <f t="shared" si="37"/>
        <v>10755560</v>
      </c>
      <c r="K126" s="4">
        <f t="shared" si="37"/>
        <v>2568661</v>
      </c>
    </row>
    <row r="127" spans="1:12" x14ac:dyDescent="0.2">
      <c r="A127" s="389"/>
      <c r="B127" s="376"/>
      <c r="C127" s="63" t="s">
        <v>14</v>
      </c>
      <c r="D127" s="4">
        <f>D74+D55+D84</f>
        <v>1265122</v>
      </c>
      <c r="E127" s="4">
        <f t="shared" ref="E127:K127" si="38">E74+E55+E84</f>
        <v>1404285</v>
      </c>
      <c r="F127" s="4">
        <f t="shared" si="38"/>
        <v>0</v>
      </c>
      <c r="G127" s="4">
        <f t="shared" si="38"/>
        <v>2251652</v>
      </c>
      <c r="H127" s="4">
        <f t="shared" si="38"/>
        <v>0</v>
      </c>
      <c r="I127" s="4">
        <f t="shared" si="38"/>
        <v>0</v>
      </c>
      <c r="J127" s="4">
        <f t="shared" si="38"/>
        <v>3655937</v>
      </c>
      <c r="K127" s="4">
        <f t="shared" si="38"/>
        <v>1374613</v>
      </c>
    </row>
    <row r="128" spans="1:12" x14ac:dyDescent="0.2">
      <c r="A128" s="389"/>
      <c r="B128" s="376"/>
      <c r="C128" s="65" t="s">
        <v>97</v>
      </c>
      <c r="D128" s="66">
        <f>D74+D73+D71+D55+D54+D53+D52+D72+D82+D83+D84</f>
        <v>5950760</v>
      </c>
      <c r="E128" s="66">
        <f t="shared" ref="E128:K128" si="39">E74+E73+E71+E55+E54+E53+E52+E72+E82+E83+E84</f>
        <v>6605341</v>
      </c>
      <c r="F128" s="66">
        <f t="shared" si="39"/>
        <v>0</v>
      </c>
      <c r="G128" s="66">
        <f t="shared" si="39"/>
        <v>10591105</v>
      </c>
      <c r="H128" s="66">
        <f t="shared" si="39"/>
        <v>0</v>
      </c>
      <c r="I128" s="66">
        <f t="shared" si="39"/>
        <v>0</v>
      </c>
      <c r="J128" s="66">
        <f t="shared" si="39"/>
        <v>17196446</v>
      </c>
      <c r="K128" s="66">
        <f t="shared" si="39"/>
        <v>6465770</v>
      </c>
      <c r="L128" s="1"/>
    </row>
    <row r="129" spans="1:12" x14ac:dyDescent="0.2">
      <c r="A129" s="389"/>
      <c r="B129" s="376"/>
      <c r="C129" s="63" t="s">
        <v>15</v>
      </c>
      <c r="D129" s="4">
        <f>D75+D56+D85</f>
        <v>4121943</v>
      </c>
      <c r="E129" s="4">
        <f t="shared" ref="E129:K129" si="40">E75+E56+E85</f>
        <v>4121943</v>
      </c>
      <c r="F129" s="4">
        <f t="shared" si="40"/>
        <v>0</v>
      </c>
      <c r="G129" s="4">
        <f t="shared" si="40"/>
        <v>30539278</v>
      </c>
      <c r="H129" s="4">
        <f t="shared" si="40"/>
        <v>0</v>
      </c>
      <c r="I129" s="4">
        <f t="shared" si="40"/>
        <v>0</v>
      </c>
      <c r="J129" s="4">
        <f t="shared" si="40"/>
        <v>34661221</v>
      </c>
      <c r="K129" s="4">
        <f t="shared" si="40"/>
        <v>2302859</v>
      </c>
    </row>
    <row r="130" spans="1:12" x14ac:dyDescent="0.2">
      <c r="A130" s="389"/>
      <c r="B130" s="376"/>
      <c r="C130" s="63" t="s">
        <v>16</v>
      </c>
      <c r="D130" s="4">
        <f>D76+D57+D86</f>
        <v>1112924</v>
      </c>
      <c r="E130" s="4">
        <f t="shared" ref="E130:K130" si="41">E76+E57+E86</f>
        <v>1112924</v>
      </c>
      <c r="F130" s="4">
        <f t="shared" si="41"/>
        <v>0</v>
      </c>
      <c r="G130" s="4">
        <f t="shared" si="41"/>
        <v>8245606</v>
      </c>
      <c r="H130" s="4">
        <f t="shared" si="41"/>
        <v>0</v>
      </c>
      <c r="I130" s="4">
        <f t="shared" si="41"/>
        <v>0</v>
      </c>
      <c r="J130" s="4">
        <f t="shared" si="41"/>
        <v>9358530</v>
      </c>
      <c r="K130" s="4">
        <f t="shared" si="41"/>
        <v>351957</v>
      </c>
    </row>
    <row r="131" spans="1:12" x14ac:dyDescent="0.2">
      <c r="A131" s="389"/>
      <c r="B131" s="376"/>
      <c r="C131" s="65" t="s">
        <v>98</v>
      </c>
      <c r="D131" s="66">
        <f>D76+D75+D57+D56+D85+D86</f>
        <v>5234867</v>
      </c>
      <c r="E131" s="66">
        <f t="shared" ref="E131:K131" si="42">E76+E75+E57+E56+E85+E86</f>
        <v>5234867</v>
      </c>
      <c r="F131" s="66">
        <f t="shared" si="42"/>
        <v>0</v>
      </c>
      <c r="G131" s="66">
        <f t="shared" si="42"/>
        <v>38784884</v>
      </c>
      <c r="H131" s="66">
        <f t="shared" si="42"/>
        <v>0</v>
      </c>
      <c r="I131" s="66">
        <f t="shared" si="42"/>
        <v>0</v>
      </c>
      <c r="J131" s="66">
        <f t="shared" si="42"/>
        <v>44019751</v>
      </c>
      <c r="K131" s="66">
        <f t="shared" si="42"/>
        <v>2654816</v>
      </c>
      <c r="L131" s="1"/>
    </row>
    <row r="132" spans="1:12" x14ac:dyDescent="0.2">
      <c r="A132" s="389"/>
      <c r="B132" s="376"/>
      <c r="C132" s="65" t="s">
        <v>110</v>
      </c>
      <c r="D132" s="66">
        <f>D43</f>
        <v>4500000</v>
      </c>
      <c r="E132" s="66">
        <f t="shared" ref="E132:K132" si="43">E43</f>
        <v>4500000</v>
      </c>
      <c r="F132" s="66">
        <f t="shared" si="43"/>
        <v>0</v>
      </c>
      <c r="G132" s="66">
        <f t="shared" si="43"/>
        <v>0</v>
      </c>
      <c r="H132" s="66">
        <f t="shared" si="43"/>
        <v>0</v>
      </c>
      <c r="I132" s="66">
        <f t="shared" si="43"/>
        <v>0</v>
      </c>
      <c r="J132" s="66">
        <f t="shared" si="43"/>
        <v>4500000</v>
      </c>
      <c r="K132" s="110">
        <f t="shared" si="43"/>
        <v>3967790</v>
      </c>
      <c r="L132" s="1"/>
    </row>
    <row r="133" spans="1:12" x14ac:dyDescent="0.2">
      <c r="A133" s="389"/>
      <c r="B133" s="376"/>
      <c r="C133" s="63" t="s">
        <v>3</v>
      </c>
      <c r="D133" s="67">
        <f>D39</f>
        <v>313437148</v>
      </c>
      <c r="E133" s="67">
        <f>E39</f>
        <v>332190752</v>
      </c>
      <c r="F133" s="67">
        <f t="shared" ref="F133:K133" si="44">F39</f>
        <v>0</v>
      </c>
      <c r="G133" s="67">
        <f t="shared" si="44"/>
        <v>0</v>
      </c>
      <c r="H133" s="67">
        <f t="shared" si="44"/>
        <v>0</v>
      </c>
      <c r="I133" s="67">
        <f t="shared" si="44"/>
        <v>0</v>
      </c>
      <c r="J133" s="67">
        <f t="shared" si="44"/>
        <v>332190752</v>
      </c>
      <c r="K133" s="111">
        <f t="shared" si="44"/>
        <v>191830701</v>
      </c>
      <c r="L133" s="1"/>
    </row>
    <row r="134" spans="1:12" x14ac:dyDescent="0.2">
      <c r="A134" s="390"/>
      <c r="B134" s="391"/>
      <c r="C134" s="65" t="s">
        <v>99</v>
      </c>
      <c r="D134" s="66">
        <f>D87</f>
        <v>426209554</v>
      </c>
      <c r="E134" s="66">
        <f t="shared" ref="E134:K134" si="45">E87</f>
        <v>448867739</v>
      </c>
      <c r="F134" s="66">
        <f t="shared" si="45"/>
        <v>0</v>
      </c>
      <c r="G134" s="66">
        <f t="shared" si="45"/>
        <v>59965741</v>
      </c>
      <c r="H134" s="66">
        <f t="shared" si="45"/>
        <v>0</v>
      </c>
      <c r="I134" s="66">
        <f t="shared" si="45"/>
        <v>0</v>
      </c>
      <c r="J134" s="66">
        <f t="shared" si="45"/>
        <v>508833480</v>
      </c>
      <c r="K134" s="66">
        <f t="shared" si="45"/>
        <v>235277872</v>
      </c>
      <c r="L134" s="1"/>
    </row>
    <row r="135" spans="1:12" x14ac:dyDescent="0.2">
      <c r="A135" s="1"/>
      <c r="B135" s="98"/>
      <c r="C135" s="1"/>
      <c r="D135" s="1"/>
      <c r="E135" s="1"/>
      <c r="F135" s="68"/>
      <c r="G135" s="1"/>
      <c r="H135" s="1"/>
      <c r="I135" s="1"/>
      <c r="J135" s="1"/>
      <c r="K135" s="112"/>
      <c r="L135" s="1"/>
    </row>
    <row r="136" spans="1:12" x14ac:dyDescent="0.2">
      <c r="C136" s="5"/>
      <c r="D136" s="5"/>
      <c r="F136" s="2"/>
    </row>
    <row r="137" spans="1:12" x14ac:dyDescent="0.2">
      <c r="C137" s="5"/>
      <c r="D137" s="5"/>
      <c r="F137" s="2"/>
    </row>
  </sheetData>
  <mergeCells count="41">
    <mergeCell ref="A93:B134"/>
    <mergeCell ref="A40:A41"/>
    <mergeCell ref="B40:B41"/>
    <mergeCell ref="A42:A43"/>
    <mergeCell ref="B42:B43"/>
    <mergeCell ref="A44:A45"/>
    <mergeCell ref="B44:B45"/>
    <mergeCell ref="A46:A57"/>
    <mergeCell ref="B46:B57"/>
    <mergeCell ref="A58:A76"/>
    <mergeCell ref="B59:B76"/>
    <mergeCell ref="A87:C87"/>
    <mergeCell ref="A77:A86"/>
    <mergeCell ref="B77:B86"/>
    <mergeCell ref="A30:C30"/>
    <mergeCell ref="A31:A39"/>
    <mergeCell ref="B31:B36"/>
    <mergeCell ref="B37:B39"/>
    <mergeCell ref="A25:A26"/>
    <mergeCell ref="B25:B26"/>
    <mergeCell ref="A11:A12"/>
    <mergeCell ref="B11:B12"/>
    <mergeCell ref="A20:A24"/>
    <mergeCell ref="B20:B22"/>
    <mergeCell ref="B23:B24"/>
    <mergeCell ref="A15:A19"/>
    <mergeCell ref="B15:B17"/>
    <mergeCell ref="B18:B19"/>
    <mergeCell ref="A6:A10"/>
    <mergeCell ref="B6:B8"/>
    <mergeCell ref="B9:B10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</mergeCells>
  <phoneticPr fontId="9" type="noConversion"/>
  <pageMargins left="0.7" right="0.7" top="0.75" bottom="0.75" header="0.3" footer="0.3"/>
  <pageSetup paperSize="9" scale="50" orientation="portrait" r:id="rId1"/>
  <rowBreaks count="1" manualBreakCount="1"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41"/>
  <sheetViews>
    <sheetView topLeftCell="A67" workbookViewId="0">
      <selection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9" width="11.140625" customWidth="1"/>
    <col min="10" max="10" width="14.42578125" customWidth="1"/>
    <col min="11" max="11" width="14.42578125" style="101" customWidth="1"/>
    <col min="12" max="12" width="18" customWidth="1"/>
  </cols>
  <sheetData>
    <row r="1" spans="1:12" x14ac:dyDescent="0.2">
      <c r="A1" s="489" t="s">
        <v>82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491" t="s">
        <v>19</v>
      </c>
      <c r="B4" s="493" t="s">
        <v>0</v>
      </c>
      <c r="C4" s="491" t="s">
        <v>44</v>
      </c>
      <c r="D4" s="491" t="s">
        <v>21</v>
      </c>
      <c r="E4" s="495" t="s">
        <v>129</v>
      </c>
      <c r="F4" s="497" t="s">
        <v>134</v>
      </c>
      <c r="G4" s="498"/>
      <c r="H4" s="498"/>
      <c r="I4" s="499"/>
      <c r="J4" s="495" t="s">
        <v>137</v>
      </c>
      <c r="K4" s="500" t="s">
        <v>135</v>
      </c>
      <c r="L4" s="501" t="s">
        <v>136</v>
      </c>
    </row>
    <row r="5" spans="1:12" ht="32.25" customHeight="1" x14ac:dyDescent="0.2">
      <c r="A5" s="492"/>
      <c r="B5" s="494"/>
      <c r="C5" s="492"/>
      <c r="D5" s="492"/>
      <c r="E5" s="496"/>
      <c r="F5" s="136" t="s">
        <v>43</v>
      </c>
      <c r="G5" s="137" t="s">
        <v>126</v>
      </c>
      <c r="H5" s="137" t="s">
        <v>83</v>
      </c>
      <c r="I5" s="137" t="s">
        <v>141</v>
      </c>
      <c r="J5" s="496"/>
      <c r="K5" s="500"/>
      <c r="L5" s="501"/>
    </row>
    <row r="6" spans="1:12" x14ac:dyDescent="0.2">
      <c r="A6" s="482" t="s">
        <v>38</v>
      </c>
      <c r="B6" s="378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>
        <v>40000</v>
      </c>
      <c r="J6" s="4">
        <f t="shared" ref="J6:J29" si="0">SUM(E6:I6)</f>
        <v>40000</v>
      </c>
      <c r="K6" s="103">
        <v>40000</v>
      </c>
      <c r="L6" s="4">
        <f>J6-K6</f>
        <v>0</v>
      </c>
    </row>
    <row r="7" spans="1:12" x14ac:dyDescent="0.2">
      <c r="A7" s="482"/>
      <c r="B7" s="378"/>
      <c r="C7" s="41" t="s">
        <v>139</v>
      </c>
      <c r="D7" s="42">
        <v>0</v>
      </c>
      <c r="E7" s="42">
        <v>0</v>
      </c>
      <c r="F7" s="43"/>
      <c r="G7" s="38"/>
      <c r="H7" s="38"/>
      <c r="I7" s="38">
        <v>10800</v>
      </c>
      <c r="J7" s="4">
        <f t="shared" si="0"/>
        <v>10800</v>
      </c>
      <c r="K7" s="103">
        <v>10800</v>
      </c>
      <c r="L7" s="4">
        <f t="shared" ref="L7:L29" si="1">J7-K7</f>
        <v>0</v>
      </c>
    </row>
    <row r="8" spans="1:12" x14ac:dyDescent="0.2">
      <c r="A8" s="482"/>
      <c r="B8" s="378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4">
        <f t="shared" si="0"/>
        <v>1500</v>
      </c>
      <c r="K8" s="103">
        <v>1181</v>
      </c>
      <c r="L8" s="4">
        <f t="shared" si="1"/>
        <v>319</v>
      </c>
    </row>
    <row r="9" spans="1:12" x14ac:dyDescent="0.2">
      <c r="A9" s="482"/>
      <c r="B9" s="379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4">
        <f t="shared" si="1"/>
        <v>0</v>
      </c>
    </row>
    <row r="10" spans="1:12" x14ac:dyDescent="0.2">
      <c r="A10" s="482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83" t="s">
        <v>50</v>
      </c>
      <c r="B11" s="341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3638366</v>
      </c>
      <c r="L11" s="4">
        <f t="shared" si="1"/>
        <v>3366897</v>
      </c>
    </row>
    <row r="12" spans="1:12" x14ac:dyDescent="0.2">
      <c r="A12" s="484"/>
      <c r="B12" s="342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3975367</v>
      </c>
      <c r="L12" s="4">
        <f t="shared" si="1"/>
        <v>524633</v>
      </c>
    </row>
    <row r="13" spans="1:12" x14ac:dyDescent="0.2">
      <c r="A13" s="140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10044808</v>
      </c>
      <c r="L13" s="4">
        <f t="shared" si="1"/>
        <v>9701692</v>
      </c>
    </row>
    <row r="14" spans="1:12" x14ac:dyDescent="0.2">
      <c r="A14" s="141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8235221</v>
      </c>
      <c r="L14" s="4">
        <f>J14-K14</f>
        <v>8023729</v>
      </c>
    </row>
    <row r="15" spans="1:12" x14ac:dyDescent="0.2">
      <c r="A15" s="483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/>
      <c r="L15" s="4">
        <f t="shared" si="1"/>
        <v>0</v>
      </c>
    </row>
    <row r="16" spans="1:12" x14ac:dyDescent="0.2">
      <c r="A16" s="485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/>
      <c r="L16" s="4">
        <f t="shared" si="1"/>
        <v>0</v>
      </c>
    </row>
    <row r="17" spans="1:12" x14ac:dyDescent="0.2">
      <c r="A17" s="485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2" x14ac:dyDescent="0.2">
      <c r="A18" s="485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/>
      <c r="L18" s="4">
        <f t="shared" si="1"/>
        <v>0</v>
      </c>
    </row>
    <row r="19" spans="1:12" x14ac:dyDescent="0.2">
      <c r="A19" s="485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/>
      <c r="L19" s="4">
        <f t="shared" si="1"/>
        <v>0</v>
      </c>
    </row>
    <row r="20" spans="1:12" x14ac:dyDescent="0.2">
      <c r="A20" s="486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2" x14ac:dyDescent="0.2">
      <c r="A21" s="487"/>
      <c r="B21" s="382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2" x14ac:dyDescent="0.2">
      <c r="A22" s="487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2" x14ac:dyDescent="0.2">
      <c r="A23" s="487"/>
      <c r="B23" s="341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2" x14ac:dyDescent="0.2">
      <c r="A24" s="488"/>
      <c r="B24" s="342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2" ht="21" customHeight="1" x14ac:dyDescent="0.2">
      <c r="A25" s="483" t="s">
        <v>132</v>
      </c>
      <c r="B25" s="470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2" ht="21" customHeight="1" x14ac:dyDescent="0.2">
      <c r="A26" s="484"/>
      <c r="B26" s="471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2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51">
        <v>279023522</v>
      </c>
      <c r="F27" s="43"/>
      <c r="G27" s="38"/>
      <c r="H27" s="38"/>
      <c r="I27" s="38"/>
      <c r="J27" s="4">
        <f t="shared" si="0"/>
        <v>279023522</v>
      </c>
      <c r="K27" s="103">
        <v>181920749</v>
      </c>
      <c r="L27" s="4">
        <f t="shared" si="1"/>
        <v>97102773</v>
      </c>
    </row>
    <row r="28" spans="1:12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4">
        <f t="shared" si="0"/>
        <v>3196558</v>
      </c>
      <c r="K28" s="103">
        <v>1392626</v>
      </c>
      <c r="L28" s="4">
        <f t="shared" si="1"/>
        <v>1803932</v>
      </c>
    </row>
    <row r="29" spans="1:12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4">
        <f t="shared" si="0"/>
        <v>47502672</v>
      </c>
      <c r="K29" s="103">
        <v>29700325</v>
      </c>
      <c r="L29" s="4">
        <f t="shared" si="1"/>
        <v>17802347</v>
      </c>
    </row>
    <row r="30" spans="1:12" ht="34.5" customHeight="1" x14ac:dyDescent="0.2">
      <c r="A30" s="479" t="s">
        <v>85</v>
      </c>
      <c r="B30" s="480"/>
      <c r="C30" s="481"/>
      <c r="D30" s="138">
        <f t="shared" ref="D30:L30" si="2">SUM(D6:D29)</f>
        <v>426209554</v>
      </c>
      <c r="E30" s="138">
        <f t="shared" si="2"/>
        <v>508833480</v>
      </c>
      <c r="F30" s="138">
        <f t="shared" si="2"/>
        <v>0</v>
      </c>
      <c r="G30" s="138">
        <f t="shared" si="2"/>
        <v>0</v>
      </c>
      <c r="H30" s="138">
        <f t="shared" si="2"/>
        <v>0</v>
      </c>
      <c r="I30" s="138">
        <f t="shared" si="2"/>
        <v>50800</v>
      </c>
      <c r="J30" s="138">
        <f t="shared" si="2"/>
        <v>508884280</v>
      </c>
      <c r="K30" s="139">
        <f t="shared" si="2"/>
        <v>335965394</v>
      </c>
      <c r="L30" s="138">
        <f t="shared" si="2"/>
        <v>172918886</v>
      </c>
    </row>
    <row r="31" spans="1:12" x14ac:dyDescent="0.2">
      <c r="A31" s="339" t="s">
        <v>18</v>
      </c>
      <c r="B31" s="384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4">
        <f t="shared" ref="J31:J90" si="3">SUM(E31:I31)</f>
        <v>24000</v>
      </c>
      <c r="K31" s="105"/>
      <c r="L31" s="4">
        <f t="shared" ref="L31:L90" si="4">J31-K31</f>
        <v>24000</v>
      </c>
    </row>
    <row r="32" spans="1:12" x14ac:dyDescent="0.2">
      <c r="A32" s="367"/>
      <c r="B32" s="385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4">
        <f t="shared" si="3"/>
        <v>1870</v>
      </c>
      <c r="K32" s="105"/>
      <c r="L32" s="4">
        <f t="shared" si="4"/>
        <v>1870</v>
      </c>
    </row>
    <row r="33" spans="1:12" x14ac:dyDescent="0.2">
      <c r="A33" s="367"/>
      <c r="B33" s="385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4">
        <f t="shared" si="3"/>
        <v>50000</v>
      </c>
      <c r="K33" s="105">
        <v>50000</v>
      </c>
      <c r="L33" s="4">
        <f t="shared" si="4"/>
        <v>0</v>
      </c>
    </row>
    <row r="34" spans="1:12" x14ac:dyDescent="0.2">
      <c r="A34" s="367"/>
      <c r="B34" s="385"/>
      <c r="C34" s="39" t="s">
        <v>2</v>
      </c>
      <c r="D34" s="38">
        <v>17684057</v>
      </c>
      <c r="E34" s="38">
        <v>17533971</v>
      </c>
      <c r="F34" s="40">
        <f>-50000-31013</f>
        <v>-81013</v>
      </c>
      <c r="G34" s="38"/>
      <c r="H34" s="38"/>
      <c r="I34" s="38"/>
      <c r="J34" s="4">
        <f t="shared" si="3"/>
        <v>17452958</v>
      </c>
      <c r="K34" s="105">
        <v>5381112</v>
      </c>
      <c r="L34" s="4">
        <f t="shared" si="4"/>
        <v>12071846</v>
      </c>
    </row>
    <row r="35" spans="1:12" x14ac:dyDescent="0.2">
      <c r="A35" s="367"/>
      <c r="B35" s="385"/>
      <c r="C35" s="39" t="s">
        <v>117</v>
      </c>
      <c r="D35" s="38">
        <v>0</v>
      </c>
      <c r="E35" s="38">
        <v>48840</v>
      </c>
      <c r="F35" s="40">
        <v>24420</v>
      </c>
      <c r="G35" s="38"/>
      <c r="H35" s="38"/>
      <c r="I35" s="38"/>
      <c r="J35" s="4">
        <f t="shared" si="3"/>
        <v>73260</v>
      </c>
      <c r="K35" s="105">
        <v>73260</v>
      </c>
      <c r="L35" s="4">
        <f t="shared" si="4"/>
        <v>0</v>
      </c>
    </row>
    <row r="36" spans="1:12" x14ac:dyDescent="0.2">
      <c r="A36" s="367"/>
      <c r="B36" s="385"/>
      <c r="C36" s="41" t="s">
        <v>11</v>
      </c>
      <c r="D36" s="38">
        <v>60264</v>
      </c>
      <c r="E36" s="38">
        <v>77257</v>
      </c>
      <c r="F36" s="40">
        <v>6593</v>
      </c>
      <c r="G36" s="38"/>
      <c r="H36" s="38"/>
      <c r="I36" s="38">
        <v>10800</v>
      </c>
      <c r="J36" s="4">
        <f t="shared" si="3"/>
        <v>94650</v>
      </c>
      <c r="K36" s="105">
        <v>78990</v>
      </c>
      <c r="L36" s="4">
        <f t="shared" si="4"/>
        <v>15660</v>
      </c>
    </row>
    <row r="37" spans="1:12" x14ac:dyDescent="0.2">
      <c r="A37" s="367"/>
      <c r="B37" s="385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4">
        <f t="shared" si="3"/>
        <v>83000</v>
      </c>
      <c r="K37" s="105">
        <v>83000</v>
      </c>
      <c r="L37" s="4">
        <f t="shared" si="4"/>
        <v>0</v>
      </c>
    </row>
    <row r="38" spans="1:12" x14ac:dyDescent="0.2">
      <c r="A38" s="367"/>
      <c r="B38" s="386"/>
      <c r="C38" s="41" t="s">
        <v>12</v>
      </c>
      <c r="D38" s="38">
        <v>0</v>
      </c>
      <c r="E38" s="38">
        <v>0</v>
      </c>
      <c r="F38" s="40"/>
      <c r="G38" s="38"/>
      <c r="H38" s="38"/>
      <c r="I38" s="38">
        <v>40000</v>
      </c>
      <c r="J38" s="4">
        <f t="shared" si="3"/>
        <v>40000</v>
      </c>
      <c r="K38" s="105">
        <v>40000</v>
      </c>
      <c r="L38" s="4">
        <f t="shared" si="4"/>
        <v>0</v>
      </c>
    </row>
    <row r="39" spans="1:12" x14ac:dyDescent="0.2">
      <c r="A39" s="367"/>
      <c r="B39" s="341" t="s">
        <v>4</v>
      </c>
      <c r="C39" s="41" t="s">
        <v>23</v>
      </c>
      <c r="D39" s="38">
        <v>2267</v>
      </c>
      <c r="E39" s="38">
        <v>3520</v>
      </c>
      <c r="F39" s="40"/>
      <c r="G39" s="38"/>
      <c r="H39" s="38"/>
      <c r="I39" s="38"/>
      <c r="J39" s="4">
        <f t="shared" si="3"/>
        <v>3520</v>
      </c>
      <c r="K39" s="133">
        <v>3520</v>
      </c>
      <c r="L39" s="120">
        <f t="shared" si="4"/>
        <v>0</v>
      </c>
    </row>
    <row r="40" spans="1:12" x14ac:dyDescent="0.2">
      <c r="A40" s="367"/>
      <c r="B40" s="383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4">
        <f t="shared" si="3"/>
        <v>0</v>
      </c>
      <c r="K40" s="105">
        <v>0</v>
      </c>
      <c r="L40" s="4">
        <f t="shared" si="4"/>
        <v>0</v>
      </c>
    </row>
    <row r="41" spans="1:12" x14ac:dyDescent="0.2">
      <c r="A41" s="367"/>
      <c r="B41" s="383"/>
      <c r="C41" s="39" t="s">
        <v>3</v>
      </c>
      <c r="D41" s="38">
        <v>313437148</v>
      </c>
      <c r="E41" s="38">
        <v>332190752</v>
      </c>
      <c r="F41" s="43"/>
      <c r="G41" s="38"/>
      <c r="H41" s="38"/>
      <c r="I41" s="38"/>
      <c r="J41" s="4">
        <f t="shared" si="3"/>
        <v>332190752</v>
      </c>
      <c r="K41" s="105">
        <v>215480447</v>
      </c>
      <c r="L41" s="4">
        <f t="shared" si="4"/>
        <v>116710305</v>
      </c>
    </row>
    <row r="42" spans="1:12" x14ac:dyDescent="0.2">
      <c r="A42" s="339" t="s">
        <v>24</v>
      </c>
      <c r="B42" s="341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4">
        <f t="shared" si="3"/>
        <v>7005263</v>
      </c>
      <c r="K42" s="105">
        <v>3579633</v>
      </c>
      <c r="L42" s="4">
        <f t="shared" si="4"/>
        <v>3425630</v>
      </c>
    </row>
    <row r="43" spans="1:12" x14ac:dyDescent="0.2">
      <c r="A43" s="340"/>
      <c r="B43" s="342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4">
        <f t="shared" si="3"/>
        <v>4500000</v>
      </c>
      <c r="K43" s="105">
        <v>3967790</v>
      </c>
      <c r="L43" s="4">
        <f t="shared" si="4"/>
        <v>532210</v>
      </c>
    </row>
    <row r="44" spans="1:12" x14ac:dyDescent="0.2">
      <c r="A44" s="339" t="s">
        <v>30</v>
      </c>
      <c r="B44" s="341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4">
        <f t="shared" si="3"/>
        <v>12736500</v>
      </c>
      <c r="K44" s="105">
        <v>5085209</v>
      </c>
      <c r="L44" s="4">
        <f t="shared" si="4"/>
        <v>7651291</v>
      </c>
    </row>
    <row r="45" spans="1:12" x14ac:dyDescent="0.2">
      <c r="A45" s="340"/>
      <c r="B45" s="342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4">
        <f t="shared" si="3"/>
        <v>50000</v>
      </c>
      <c r="K45" s="105">
        <v>50000</v>
      </c>
      <c r="L45" s="4">
        <f t="shared" si="4"/>
        <v>0</v>
      </c>
    </row>
    <row r="46" spans="1:12" x14ac:dyDescent="0.2">
      <c r="A46" s="339" t="s">
        <v>138</v>
      </c>
      <c r="B46" s="368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4">
        <f>SUM(E46:I46)</f>
        <v>0</v>
      </c>
      <c r="K46" s="105">
        <v>0</v>
      </c>
      <c r="L46" s="4">
        <f>J46-K46</f>
        <v>0</v>
      </c>
    </row>
    <row r="47" spans="1:12" x14ac:dyDescent="0.2">
      <c r="A47" s="358"/>
      <c r="B47" s="369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4">
        <f>SUM(E47:I47)</f>
        <v>16258950</v>
      </c>
      <c r="K47" s="105">
        <v>9484387</v>
      </c>
      <c r="L47" s="4">
        <f>J47-K47</f>
        <v>6774563</v>
      </c>
    </row>
    <row r="48" spans="1:12" x14ac:dyDescent="0.2">
      <c r="A48" s="339" t="s">
        <v>48</v>
      </c>
      <c r="B48" s="368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4">
        <f t="shared" si="3"/>
        <v>0</v>
      </c>
      <c r="K48" s="105">
        <v>0</v>
      </c>
      <c r="L48" s="4">
        <f t="shared" si="4"/>
        <v>0</v>
      </c>
    </row>
    <row r="49" spans="1:12" x14ac:dyDescent="0.2">
      <c r="A49" s="367"/>
      <c r="B49" s="369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367"/>
      <c r="B50" s="369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7"/>
      <c r="B51" s="369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4">
        <f t="shared" si="3"/>
        <v>99713</v>
      </c>
      <c r="K51" s="105">
        <v>500</v>
      </c>
      <c r="L51" s="4">
        <f t="shared" si="4"/>
        <v>99213</v>
      </c>
    </row>
    <row r="52" spans="1:12" x14ac:dyDescent="0.2">
      <c r="A52" s="367"/>
      <c r="B52" s="369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4">
        <f t="shared" si="3"/>
        <v>0</v>
      </c>
      <c r="K52" s="105">
        <v>0</v>
      </c>
      <c r="L52" s="4">
        <f t="shared" si="4"/>
        <v>0</v>
      </c>
    </row>
    <row r="53" spans="1:12" x14ac:dyDescent="0.2">
      <c r="A53" s="367"/>
      <c r="B53" s="369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4">
        <f t="shared" si="3"/>
        <v>100000</v>
      </c>
      <c r="K53" s="105">
        <v>100000</v>
      </c>
      <c r="L53" s="4">
        <f t="shared" si="4"/>
        <v>0</v>
      </c>
    </row>
    <row r="54" spans="1:12" x14ac:dyDescent="0.2">
      <c r="A54" s="367"/>
      <c r="B54" s="369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4">
        <f t="shared" si="3"/>
        <v>0</v>
      </c>
      <c r="K54" s="105">
        <v>0</v>
      </c>
      <c r="L54" s="4">
        <f t="shared" si="4"/>
        <v>0</v>
      </c>
    </row>
    <row r="55" spans="1:12" x14ac:dyDescent="0.2">
      <c r="A55" s="367"/>
      <c r="B55" s="369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67"/>
      <c r="B56" s="369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7"/>
      <c r="B57" s="369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7"/>
      <c r="B58" s="369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7"/>
      <c r="B59" s="369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39" t="s">
        <v>49</v>
      </c>
      <c r="B60" s="13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4">
        <f t="shared" si="3"/>
        <v>8</v>
      </c>
      <c r="K60" s="105">
        <v>8</v>
      </c>
      <c r="L60" s="4">
        <f t="shared" si="4"/>
        <v>0</v>
      </c>
    </row>
    <row r="61" spans="1:12" ht="12.75" customHeight="1" x14ac:dyDescent="0.2">
      <c r="A61" s="367"/>
      <c r="B61" s="392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4">
        <f t="shared" si="3"/>
        <v>970000</v>
      </c>
      <c r="K61" s="105">
        <v>560000</v>
      </c>
      <c r="L61" s="4">
        <f t="shared" si="4"/>
        <v>410000</v>
      </c>
    </row>
    <row r="62" spans="1:12" x14ac:dyDescent="0.2">
      <c r="A62" s="367"/>
      <c r="B62" s="392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4">
        <f t="shared" si="3"/>
        <v>10791000</v>
      </c>
      <c r="K62" s="105">
        <v>736000</v>
      </c>
      <c r="L62" s="4">
        <f t="shared" si="4"/>
        <v>10055000</v>
      </c>
    </row>
    <row r="63" spans="1:12" x14ac:dyDescent="0.2">
      <c r="A63" s="367"/>
      <c r="B63" s="392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4">
        <f t="shared" si="3"/>
        <v>3112282</v>
      </c>
      <c r="K63" s="105">
        <v>107800</v>
      </c>
      <c r="L63" s="4">
        <f t="shared" si="4"/>
        <v>3004482</v>
      </c>
    </row>
    <row r="64" spans="1:12" x14ac:dyDescent="0.2">
      <c r="A64" s="367"/>
      <c r="B64" s="392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4">
        <f t="shared" si="3"/>
        <v>230000</v>
      </c>
      <c r="K64" s="105">
        <v>0</v>
      </c>
      <c r="L64" s="4">
        <f t="shared" si="4"/>
        <v>230000</v>
      </c>
    </row>
    <row r="65" spans="1:12" x14ac:dyDescent="0.2">
      <c r="A65" s="367"/>
      <c r="B65" s="392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4">
        <f t="shared" si="3"/>
        <v>72000</v>
      </c>
      <c r="K65" s="105">
        <v>0</v>
      </c>
      <c r="L65" s="4">
        <f t="shared" si="4"/>
        <v>72000</v>
      </c>
    </row>
    <row r="66" spans="1:12" x14ac:dyDescent="0.2">
      <c r="A66" s="367"/>
      <c r="B66" s="392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4">
        <f t="shared" si="3"/>
        <v>230000</v>
      </c>
      <c r="K66" s="105">
        <v>0</v>
      </c>
      <c r="L66" s="4">
        <f t="shared" si="4"/>
        <v>230000</v>
      </c>
    </row>
    <row r="67" spans="1:12" x14ac:dyDescent="0.2">
      <c r="A67" s="367"/>
      <c r="B67" s="392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4">
        <f t="shared" si="3"/>
        <v>8009100</v>
      </c>
      <c r="K67" s="105">
        <v>750000</v>
      </c>
      <c r="L67" s="4">
        <f t="shared" si="4"/>
        <v>7259100</v>
      </c>
    </row>
    <row r="68" spans="1:12" x14ac:dyDescent="0.2">
      <c r="A68" s="367"/>
      <c r="B68" s="392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4">
        <f t="shared" si="3"/>
        <v>13999992</v>
      </c>
      <c r="K68" s="105">
        <v>2436000</v>
      </c>
      <c r="L68" s="4">
        <f t="shared" si="4"/>
        <v>11563992</v>
      </c>
    </row>
    <row r="69" spans="1:12" x14ac:dyDescent="0.2">
      <c r="A69" s="367"/>
      <c r="B69" s="392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4">
        <f t="shared" si="3"/>
        <v>292100</v>
      </c>
      <c r="K69" s="105">
        <v>0</v>
      </c>
      <c r="L69" s="4">
        <f t="shared" si="4"/>
        <v>292100</v>
      </c>
    </row>
    <row r="70" spans="1:12" x14ac:dyDescent="0.2">
      <c r="A70" s="367"/>
      <c r="B70" s="392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4">
        <f t="shared" si="3"/>
        <v>5127921</v>
      </c>
      <c r="K70" s="105">
        <v>657720</v>
      </c>
      <c r="L70" s="4">
        <f t="shared" si="4"/>
        <v>4470201</v>
      </c>
    </row>
    <row r="71" spans="1:12" x14ac:dyDescent="0.2">
      <c r="A71" s="367"/>
      <c r="B71" s="392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4">
        <f t="shared" si="3"/>
        <v>229492</v>
      </c>
      <c r="K71" s="105">
        <v>1900</v>
      </c>
      <c r="L71" s="4">
        <f t="shared" si="4"/>
        <v>227592</v>
      </c>
    </row>
    <row r="72" spans="1:12" x14ac:dyDescent="0.2">
      <c r="A72" s="367"/>
      <c r="B72" s="392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4">
        <f t="shared" si="3"/>
        <v>0</v>
      </c>
      <c r="K72" s="105">
        <v>0</v>
      </c>
      <c r="L72" s="4">
        <f t="shared" si="4"/>
        <v>0</v>
      </c>
    </row>
    <row r="73" spans="1:12" x14ac:dyDescent="0.2">
      <c r="A73" s="367"/>
      <c r="B73" s="392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4">
        <f t="shared" si="3"/>
        <v>704400</v>
      </c>
      <c r="K73" s="105">
        <v>704400</v>
      </c>
      <c r="L73" s="4">
        <f t="shared" si="4"/>
        <v>0</v>
      </c>
    </row>
    <row r="74" spans="1:12" x14ac:dyDescent="0.2">
      <c r="A74" s="367"/>
      <c r="B74" s="392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4">
        <f t="shared" si="3"/>
        <v>1818096</v>
      </c>
      <c r="K74" s="105">
        <v>1818096</v>
      </c>
      <c r="L74" s="4">
        <f t="shared" si="4"/>
        <v>0</v>
      </c>
    </row>
    <row r="75" spans="1:12" x14ac:dyDescent="0.2">
      <c r="A75" s="367"/>
      <c r="B75" s="392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4">
        <f t="shared" si="3"/>
        <v>2678560</v>
      </c>
      <c r="K75" s="105">
        <v>2568661</v>
      </c>
      <c r="L75" s="4">
        <f t="shared" si="4"/>
        <v>109899</v>
      </c>
    </row>
    <row r="76" spans="1:12" x14ac:dyDescent="0.2">
      <c r="A76" s="367"/>
      <c r="B76" s="392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4">
        <f t="shared" si="3"/>
        <v>1404285</v>
      </c>
      <c r="K76" s="105">
        <v>1374613</v>
      </c>
      <c r="L76" s="4">
        <f t="shared" si="4"/>
        <v>29672</v>
      </c>
    </row>
    <row r="77" spans="1:12" x14ac:dyDescent="0.2">
      <c r="A77" s="367"/>
      <c r="B77" s="392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4">
        <f t="shared" si="3"/>
        <v>4121943</v>
      </c>
      <c r="K77" s="105">
        <v>2828729</v>
      </c>
      <c r="L77" s="4">
        <f t="shared" si="4"/>
        <v>1293214</v>
      </c>
    </row>
    <row r="78" spans="1:12" x14ac:dyDescent="0.2">
      <c r="A78" s="340"/>
      <c r="B78" s="392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4">
        <f t="shared" si="3"/>
        <v>1112924</v>
      </c>
      <c r="K78" s="105">
        <v>493942</v>
      </c>
      <c r="L78" s="4">
        <f t="shared" si="4"/>
        <v>618982</v>
      </c>
    </row>
    <row r="79" spans="1:12" ht="16.5" customHeight="1" x14ac:dyDescent="0.2">
      <c r="A79" s="476" t="s">
        <v>127</v>
      </c>
      <c r="B79" s="470" t="s">
        <v>128</v>
      </c>
      <c r="C79" s="131" t="s">
        <v>7</v>
      </c>
      <c r="D79" s="42">
        <v>0</v>
      </c>
      <c r="E79" s="42">
        <v>2662762</v>
      </c>
      <c r="F79" s="43">
        <v>2611378</v>
      </c>
      <c r="G79" s="38"/>
      <c r="H79" s="38"/>
      <c r="I79" s="38"/>
      <c r="J79" s="4">
        <f t="shared" si="3"/>
        <v>5274140</v>
      </c>
      <c r="K79" s="105">
        <v>500000</v>
      </c>
      <c r="L79" s="4">
        <f t="shared" si="4"/>
        <v>4774140</v>
      </c>
    </row>
    <row r="80" spans="1:12" x14ac:dyDescent="0.2">
      <c r="A80" s="477"/>
      <c r="B80" s="475"/>
      <c r="C80" s="131" t="s">
        <v>9</v>
      </c>
      <c r="D80" s="42">
        <v>0</v>
      </c>
      <c r="E80" s="42">
        <v>519238</v>
      </c>
      <c r="F80" s="43">
        <v>459281</v>
      </c>
      <c r="G80" s="38"/>
      <c r="H80" s="38"/>
      <c r="I80" s="38"/>
      <c r="J80" s="4">
        <f t="shared" si="3"/>
        <v>978519</v>
      </c>
      <c r="K80" s="105">
        <v>87500</v>
      </c>
      <c r="L80" s="4">
        <f t="shared" si="4"/>
        <v>891019</v>
      </c>
    </row>
    <row r="81" spans="1:12" x14ac:dyDescent="0.2">
      <c r="A81" s="477"/>
      <c r="B81" s="475"/>
      <c r="C81" s="131" t="s">
        <v>22</v>
      </c>
      <c r="D81" s="42">
        <v>0</v>
      </c>
      <c r="E81" s="42">
        <v>0</v>
      </c>
      <c r="F81" s="43">
        <v>2756</v>
      </c>
      <c r="G81" s="38"/>
      <c r="H81" s="38"/>
      <c r="I81" s="38"/>
      <c r="J81" s="4">
        <f t="shared" si="3"/>
        <v>2756</v>
      </c>
      <c r="K81" s="105">
        <v>2756</v>
      </c>
      <c r="L81" s="4">
        <f t="shared" si="4"/>
        <v>0</v>
      </c>
    </row>
    <row r="82" spans="1:12" x14ac:dyDescent="0.2">
      <c r="A82" s="477"/>
      <c r="B82" s="475"/>
      <c r="C82" s="131" t="s">
        <v>34</v>
      </c>
      <c r="D82" s="42">
        <v>0</v>
      </c>
      <c r="E82" s="42">
        <v>1248000</v>
      </c>
      <c r="F82" s="43"/>
      <c r="G82" s="38"/>
      <c r="H82" s="38"/>
      <c r="I82" s="38"/>
      <c r="J82" s="4">
        <f t="shared" si="3"/>
        <v>1248000</v>
      </c>
      <c r="K82" s="105">
        <v>0</v>
      </c>
      <c r="L82" s="4">
        <f t="shared" si="4"/>
        <v>1248000</v>
      </c>
    </row>
    <row r="83" spans="1:12" x14ac:dyDescent="0.2">
      <c r="A83" s="477"/>
      <c r="B83" s="475"/>
      <c r="C83" s="131" t="s">
        <v>2</v>
      </c>
      <c r="D83" s="42">
        <v>0</v>
      </c>
      <c r="E83" s="42">
        <v>9369752</v>
      </c>
      <c r="F83" s="43">
        <v>-3076859</v>
      </c>
      <c r="G83" s="38"/>
      <c r="H83" s="38"/>
      <c r="I83" s="38"/>
      <c r="J83" s="4">
        <f t="shared" si="3"/>
        <v>6292893</v>
      </c>
      <c r="K83" s="105">
        <v>3250000</v>
      </c>
      <c r="L83" s="4">
        <f t="shared" si="4"/>
        <v>3042893</v>
      </c>
    </row>
    <row r="84" spans="1:12" x14ac:dyDescent="0.2">
      <c r="A84" s="477"/>
      <c r="B84" s="475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4">
        <f t="shared" si="3"/>
        <v>3444</v>
      </c>
      <c r="K84" s="105">
        <v>744</v>
      </c>
      <c r="L84" s="4">
        <f t="shared" si="4"/>
        <v>2700</v>
      </c>
    </row>
    <row r="85" spans="1:12" x14ac:dyDescent="0.2">
      <c r="A85" s="477"/>
      <c r="B85" s="475"/>
      <c r="C85" s="131" t="s">
        <v>12</v>
      </c>
      <c r="D85" s="42">
        <v>0</v>
      </c>
      <c r="E85" s="42">
        <v>40000</v>
      </c>
      <c r="F85" s="43"/>
      <c r="G85" s="38"/>
      <c r="H85" s="38"/>
      <c r="I85" s="38"/>
      <c r="J85" s="4">
        <f t="shared" si="3"/>
        <v>40000</v>
      </c>
      <c r="K85" s="105">
        <v>0</v>
      </c>
      <c r="L85" s="4">
        <f t="shared" si="4"/>
        <v>40000</v>
      </c>
    </row>
    <row r="86" spans="1:12" x14ac:dyDescent="0.2">
      <c r="A86" s="477"/>
      <c r="B86" s="475"/>
      <c r="C86" s="131" t="s">
        <v>31</v>
      </c>
      <c r="D86" s="42">
        <v>0</v>
      </c>
      <c r="E86" s="42">
        <v>262453</v>
      </c>
      <c r="F86" s="43"/>
      <c r="G86" s="38"/>
      <c r="H86" s="38"/>
      <c r="I86" s="38"/>
      <c r="J86" s="4">
        <f t="shared" si="3"/>
        <v>262453</v>
      </c>
      <c r="K86" s="105">
        <v>0</v>
      </c>
      <c r="L86" s="4">
        <f t="shared" si="4"/>
        <v>262453</v>
      </c>
    </row>
    <row r="87" spans="1:12" ht="13.5" customHeight="1" x14ac:dyDescent="0.2">
      <c r="A87" s="477"/>
      <c r="B87" s="475"/>
      <c r="C87" s="131" t="s">
        <v>13</v>
      </c>
      <c r="D87" s="42">
        <v>0</v>
      </c>
      <c r="E87" s="42">
        <v>8077000</v>
      </c>
      <c r="F87" s="43"/>
      <c r="G87" s="38"/>
      <c r="H87" s="38"/>
      <c r="I87" s="38"/>
      <c r="J87" s="4">
        <f t="shared" si="3"/>
        <v>8077000</v>
      </c>
      <c r="K87" s="105">
        <v>0</v>
      </c>
      <c r="L87" s="4">
        <f t="shared" si="4"/>
        <v>8077000</v>
      </c>
    </row>
    <row r="88" spans="1:12" ht="13.5" customHeight="1" x14ac:dyDescent="0.2">
      <c r="A88" s="477"/>
      <c r="B88" s="475"/>
      <c r="C88" s="131" t="s">
        <v>14</v>
      </c>
      <c r="D88" s="42">
        <v>0</v>
      </c>
      <c r="E88" s="42">
        <v>2251652</v>
      </c>
      <c r="F88" s="43"/>
      <c r="G88" s="38"/>
      <c r="H88" s="38"/>
      <c r="I88" s="38"/>
      <c r="J88" s="4">
        <f t="shared" si="3"/>
        <v>2251652</v>
      </c>
      <c r="K88" s="105">
        <v>0</v>
      </c>
      <c r="L88" s="4">
        <f t="shared" si="4"/>
        <v>2251652</v>
      </c>
    </row>
    <row r="89" spans="1:12" x14ac:dyDescent="0.2">
      <c r="A89" s="477"/>
      <c r="B89" s="475"/>
      <c r="C89" s="131" t="s">
        <v>15</v>
      </c>
      <c r="D89" s="42">
        <v>0</v>
      </c>
      <c r="E89" s="42">
        <v>30539278</v>
      </c>
      <c r="F89" s="43"/>
      <c r="G89" s="38"/>
      <c r="H89" s="38"/>
      <c r="I89" s="38"/>
      <c r="J89" s="4">
        <f t="shared" si="3"/>
        <v>30539278</v>
      </c>
      <c r="K89" s="105">
        <v>0</v>
      </c>
      <c r="L89" s="4">
        <f t="shared" si="4"/>
        <v>30539278</v>
      </c>
    </row>
    <row r="90" spans="1:12" x14ac:dyDescent="0.2">
      <c r="A90" s="478"/>
      <c r="B90" s="471"/>
      <c r="C90" s="131" t="s">
        <v>16</v>
      </c>
      <c r="D90" s="42">
        <v>0</v>
      </c>
      <c r="E90" s="42">
        <v>8245606</v>
      </c>
      <c r="F90" s="43"/>
      <c r="G90" s="38"/>
      <c r="H90" s="38"/>
      <c r="I90" s="38"/>
      <c r="J90" s="4">
        <f t="shared" si="3"/>
        <v>8245606</v>
      </c>
      <c r="K90" s="105">
        <v>0</v>
      </c>
      <c r="L90" s="4">
        <f t="shared" si="4"/>
        <v>8245606</v>
      </c>
    </row>
    <row r="91" spans="1:12" ht="23.25" customHeight="1" x14ac:dyDescent="0.2">
      <c r="A91" s="479" t="s">
        <v>86</v>
      </c>
      <c r="B91" s="480"/>
      <c r="C91" s="481"/>
      <c r="D91" s="138">
        <f t="shared" ref="D91:L91" si="5">SUM(D31:D90)</f>
        <v>426209554</v>
      </c>
      <c r="E91" s="138">
        <f t="shared" si="5"/>
        <v>508833480</v>
      </c>
      <c r="F91" s="138">
        <f t="shared" si="5"/>
        <v>0</v>
      </c>
      <c r="G91" s="138">
        <f t="shared" si="5"/>
        <v>0</v>
      </c>
      <c r="H91" s="138">
        <f t="shared" si="5"/>
        <v>0</v>
      </c>
      <c r="I91" s="138">
        <f t="shared" si="5"/>
        <v>50800</v>
      </c>
      <c r="J91" s="138">
        <f t="shared" si="5"/>
        <v>508884280</v>
      </c>
      <c r="K91" s="138">
        <f t="shared" si="5"/>
        <v>262336717</v>
      </c>
      <c r="L91" s="138">
        <f t="shared" si="5"/>
        <v>246547563</v>
      </c>
    </row>
    <row r="92" spans="1:12" x14ac:dyDescent="0.2">
      <c r="F92" s="2"/>
    </row>
    <row r="93" spans="1:12" x14ac:dyDescent="0.2">
      <c r="F93" s="2"/>
    </row>
    <row r="94" spans="1:12" x14ac:dyDescent="0.2">
      <c r="F94" s="2"/>
    </row>
    <row r="95" spans="1:12" ht="15.75" x14ac:dyDescent="0.25">
      <c r="A95" s="64" t="s">
        <v>140</v>
      </c>
      <c r="F95" s="2"/>
    </row>
    <row r="96" spans="1:12" x14ac:dyDescent="0.2">
      <c r="G96" s="73">
        <v>43708</v>
      </c>
      <c r="L96" s="55"/>
    </row>
    <row r="97" spans="1:12" s="85" customFormat="1" ht="33.75" x14ac:dyDescent="0.2">
      <c r="A97" s="387" t="s">
        <v>101</v>
      </c>
      <c r="B97" s="388"/>
      <c r="C97" s="84" t="s">
        <v>44</v>
      </c>
      <c r="D97" s="86" t="s">
        <v>21</v>
      </c>
      <c r="E97" s="86" t="s">
        <v>129</v>
      </c>
      <c r="F97" s="87" t="s">
        <v>43</v>
      </c>
      <c r="G97" s="100" t="s">
        <v>126</v>
      </c>
      <c r="H97" s="100" t="s">
        <v>83</v>
      </c>
      <c r="I97" s="100" t="s">
        <v>141</v>
      </c>
      <c r="J97" s="86" t="s">
        <v>137</v>
      </c>
      <c r="K97" s="106" t="s">
        <v>135</v>
      </c>
    </row>
    <row r="98" spans="1:12" x14ac:dyDescent="0.2">
      <c r="A98" s="389"/>
      <c r="B98" s="376"/>
      <c r="C98" s="63" t="s">
        <v>25</v>
      </c>
      <c r="D98" s="4">
        <f t="shared" ref="D98:J98" si="6">D29+D28+D27+D20+D15+D13+D11+D14+D9+D25</f>
        <v>393662673</v>
      </c>
      <c r="E98" s="4">
        <f t="shared" si="6"/>
        <v>426256029</v>
      </c>
      <c r="F98" s="4">
        <f t="shared" si="6"/>
        <v>0</v>
      </c>
      <c r="G98" s="4">
        <f t="shared" si="6"/>
        <v>0</v>
      </c>
      <c r="H98" s="4">
        <f t="shared" si="6"/>
        <v>0</v>
      </c>
      <c r="I98" s="4">
        <f t="shared" si="6"/>
        <v>0</v>
      </c>
      <c r="J98" s="4">
        <f t="shared" si="6"/>
        <v>426256029</v>
      </c>
      <c r="K98" s="4">
        <f t="shared" ref="K98" si="7">K29+K28+K27+K20+K15+K13+K11+K14+K9+K25</f>
        <v>253862595</v>
      </c>
    </row>
    <row r="99" spans="1:12" x14ac:dyDescent="0.2">
      <c r="A99" s="389"/>
      <c r="B99" s="376"/>
      <c r="C99" s="63" t="s">
        <v>37</v>
      </c>
      <c r="D99" s="4">
        <f t="shared" ref="D99:J99" si="8">D21+D16+D12+D26</f>
        <v>4500000</v>
      </c>
      <c r="E99" s="4">
        <f t="shared" si="8"/>
        <v>54530570</v>
      </c>
      <c r="F99" s="4">
        <f t="shared" si="8"/>
        <v>0</v>
      </c>
      <c r="G99" s="4">
        <f t="shared" si="8"/>
        <v>0</v>
      </c>
      <c r="H99" s="4">
        <f t="shared" si="8"/>
        <v>0</v>
      </c>
      <c r="I99" s="4">
        <f t="shared" si="8"/>
        <v>0</v>
      </c>
      <c r="J99" s="4">
        <f t="shared" si="8"/>
        <v>54530570</v>
      </c>
      <c r="K99" s="4">
        <f t="shared" ref="K99" si="9">K21+K16+K12+K26</f>
        <v>54005937</v>
      </c>
    </row>
    <row r="100" spans="1:12" x14ac:dyDescent="0.2">
      <c r="A100" s="389"/>
      <c r="B100" s="376"/>
      <c r="C100" s="63" t="s">
        <v>27</v>
      </c>
      <c r="D100" s="4">
        <f t="shared" ref="D100:I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si="10"/>
        <v>0</v>
      </c>
      <c r="I100" s="4">
        <f t="shared" si="10"/>
        <v>40000</v>
      </c>
      <c r="J100" s="4">
        <v>0</v>
      </c>
      <c r="K100" s="4">
        <v>0</v>
      </c>
    </row>
    <row r="101" spans="1:12" x14ac:dyDescent="0.2">
      <c r="A101" s="389"/>
      <c r="B101" s="376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si="10"/>
        <v>0</v>
      </c>
      <c r="I101" s="4">
        <f t="shared" si="10"/>
        <v>10800</v>
      </c>
      <c r="J101" s="4">
        <f>J7</f>
        <v>10800</v>
      </c>
      <c r="K101" s="4">
        <f>K7</f>
        <v>10800</v>
      </c>
    </row>
    <row r="102" spans="1:12" x14ac:dyDescent="0.2">
      <c r="A102" s="389"/>
      <c r="B102" s="376"/>
      <c r="C102" s="63" t="s">
        <v>40</v>
      </c>
      <c r="D102" s="4">
        <f t="shared" ref="D102:J102" si="11">D24+D18+D8</f>
        <v>2300</v>
      </c>
      <c r="E102" s="4">
        <f t="shared" si="11"/>
        <v>2000</v>
      </c>
      <c r="F102" s="4">
        <f t="shared" si="11"/>
        <v>0</v>
      </c>
      <c r="G102" s="4">
        <f t="shared" si="11"/>
        <v>0</v>
      </c>
      <c r="H102" s="4">
        <f t="shared" si="11"/>
        <v>0</v>
      </c>
      <c r="I102" s="4">
        <f t="shared" si="11"/>
        <v>0</v>
      </c>
      <c r="J102" s="4">
        <f t="shared" si="11"/>
        <v>2000</v>
      </c>
      <c r="K102" s="4">
        <f t="shared" ref="K102" si="12">K24+K18+K8</f>
        <v>1181</v>
      </c>
    </row>
    <row r="103" spans="1:12" x14ac:dyDescent="0.2">
      <c r="A103" s="389"/>
      <c r="B103" s="376"/>
      <c r="C103" s="63" t="s">
        <v>41</v>
      </c>
      <c r="D103" s="4">
        <f t="shared" ref="D103:I103" si="13">D19+D23</f>
        <v>0</v>
      </c>
      <c r="E103" s="4">
        <f t="shared" si="13"/>
        <v>300</v>
      </c>
      <c r="F103" s="4">
        <f t="shared" si="13"/>
        <v>0</v>
      </c>
      <c r="G103" s="4">
        <f t="shared" si="13"/>
        <v>0</v>
      </c>
      <c r="H103" s="4">
        <f t="shared" si="13"/>
        <v>0</v>
      </c>
      <c r="I103" s="4">
        <f t="shared" si="13"/>
        <v>0</v>
      </c>
      <c r="J103" s="4">
        <f>J19+J23+J6</f>
        <v>40300</v>
      </c>
      <c r="K103" s="4">
        <f>K19+K23+K6</f>
        <v>40300</v>
      </c>
    </row>
    <row r="104" spans="1:12" x14ac:dyDescent="0.2">
      <c r="A104" s="389"/>
      <c r="B104" s="376"/>
      <c r="C104" s="65" t="s">
        <v>93</v>
      </c>
      <c r="D104" s="66">
        <f t="shared" ref="D104:J104" si="14">D29+D28+D27+D24+D21+D20+D19+D18+D16+D15+D13+D12+D11+D14+D9+D8+D7+D6+D23</f>
        <v>398164973</v>
      </c>
      <c r="E104" s="66">
        <f t="shared" si="14"/>
        <v>417573158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50800</v>
      </c>
      <c r="J104" s="66">
        <f t="shared" si="14"/>
        <v>417623958</v>
      </c>
      <c r="K104" s="66">
        <f>K24+K23+K19+K18+K8+K7+K6</f>
        <v>52281</v>
      </c>
      <c r="L104" s="1"/>
    </row>
    <row r="105" spans="1:12" x14ac:dyDescent="0.2">
      <c r="A105" s="389"/>
      <c r="B105" s="376"/>
      <c r="C105" s="63" t="s">
        <v>28</v>
      </c>
      <c r="D105" s="4">
        <f t="shared" ref="D105:K105" si="15">D22+D17+D10</f>
        <v>28044581</v>
      </c>
      <c r="E105" s="4">
        <f t="shared" si="15"/>
        <v>28044581</v>
      </c>
      <c r="F105" s="4">
        <f t="shared" si="15"/>
        <v>0</v>
      </c>
      <c r="G105" s="4">
        <f t="shared" si="15"/>
        <v>0</v>
      </c>
      <c r="H105" s="4">
        <f t="shared" si="15"/>
        <v>0</v>
      </c>
      <c r="I105" s="4">
        <f t="shared" si="15"/>
        <v>0</v>
      </c>
      <c r="J105" s="4">
        <f t="shared" si="15"/>
        <v>28044581</v>
      </c>
      <c r="K105" s="107">
        <f t="shared" si="15"/>
        <v>28044581</v>
      </c>
    </row>
    <row r="106" spans="1:12" x14ac:dyDescent="0.2">
      <c r="A106" s="389"/>
      <c r="B106" s="376"/>
      <c r="C106" s="65" t="s">
        <v>92</v>
      </c>
      <c r="D106" s="66">
        <f t="shared" ref="D106:K106" si="16">D22+D17+D10</f>
        <v>28044581</v>
      </c>
      <c r="E106" s="66">
        <f t="shared" si="16"/>
        <v>28044581</v>
      </c>
      <c r="F106" s="66">
        <f t="shared" si="16"/>
        <v>0</v>
      </c>
      <c r="G106" s="66">
        <f t="shared" si="16"/>
        <v>0</v>
      </c>
      <c r="H106" s="66">
        <f t="shared" si="16"/>
        <v>0</v>
      </c>
      <c r="I106" s="66">
        <f t="shared" si="16"/>
        <v>0</v>
      </c>
      <c r="J106" s="66">
        <f t="shared" si="16"/>
        <v>28044581</v>
      </c>
      <c r="K106" s="109">
        <f t="shared" si="16"/>
        <v>28044581</v>
      </c>
      <c r="L106" s="1"/>
    </row>
    <row r="107" spans="1:12" x14ac:dyDescent="0.2">
      <c r="A107" s="389"/>
      <c r="B107" s="376"/>
      <c r="C107" s="65" t="s">
        <v>102</v>
      </c>
      <c r="D107" s="66">
        <f t="shared" ref="D107:K107" si="17">D30</f>
        <v>426209554</v>
      </c>
      <c r="E107" s="66">
        <f t="shared" si="17"/>
        <v>508833480</v>
      </c>
      <c r="F107" s="66">
        <f t="shared" si="17"/>
        <v>0</v>
      </c>
      <c r="G107" s="66">
        <f t="shared" si="17"/>
        <v>0</v>
      </c>
      <c r="H107" s="66">
        <f t="shared" si="17"/>
        <v>0</v>
      </c>
      <c r="I107" s="66">
        <f t="shared" si="17"/>
        <v>50800</v>
      </c>
      <c r="J107" s="66">
        <f t="shared" si="17"/>
        <v>508884280</v>
      </c>
      <c r="K107" s="66">
        <f t="shared" si="17"/>
        <v>335965394</v>
      </c>
      <c r="L107" s="1"/>
    </row>
    <row r="108" spans="1:12" x14ac:dyDescent="0.2">
      <c r="A108" s="389"/>
      <c r="B108" s="376"/>
      <c r="C108" s="63" t="s">
        <v>7</v>
      </c>
      <c r="D108" s="4">
        <f>D61+D48+D79</f>
        <v>970000</v>
      </c>
      <c r="E108" s="4">
        <f>E61+E48+E79</f>
        <v>3632762</v>
      </c>
      <c r="F108" s="4">
        <f t="shared" ref="F108:K108" si="18">F61+F48+F79</f>
        <v>2611378</v>
      </c>
      <c r="G108" s="4">
        <f t="shared" si="18"/>
        <v>0</v>
      </c>
      <c r="H108" s="4">
        <f t="shared" si="18"/>
        <v>0</v>
      </c>
      <c r="I108" s="4">
        <f t="shared" si="18"/>
        <v>0</v>
      </c>
      <c r="J108" s="4">
        <f t="shared" si="18"/>
        <v>6244140</v>
      </c>
      <c r="K108" s="120">
        <f t="shared" si="18"/>
        <v>1060000</v>
      </c>
    </row>
    <row r="109" spans="1:12" x14ac:dyDescent="0.2">
      <c r="A109" s="389"/>
      <c r="B109" s="376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K109" si="19">F62</f>
        <v>0</v>
      </c>
      <c r="G109" s="4">
        <f t="shared" si="19"/>
        <v>0</v>
      </c>
      <c r="H109" s="4">
        <f t="shared" si="19"/>
        <v>0</v>
      </c>
      <c r="I109" s="4">
        <f t="shared" si="19"/>
        <v>0</v>
      </c>
      <c r="J109" s="4">
        <f t="shared" si="19"/>
        <v>10791000</v>
      </c>
      <c r="K109" s="120">
        <f t="shared" si="19"/>
        <v>736000</v>
      </c>
    </row>
    <row r="110" spans="1:12" x14ac:dyDescent="0.2">
      <c r="A110" s="389"/>
      <c r="B110" s="376"/>
      <c r="C110" s="65" t="s">
        <v>94</v>
      </c>
      <c r="D110" s="66">
        <f>D62+D61+D48+D79</f>
        <v>11761000</v>
      </c>
      <c r="E110" s="66">
        <f>E62+E61+E48+E79</f>
        <v>14423762</v>
      </c>
      <c r="F110" s="66">
        <f t="shared" ref="F110:K110" si="20">F62+F61+F48+F79</f>
        <v>2611378</v>
      </c>
      <c r="G110" s="66">
        <f t="shared" si="20"/>
        <v>0</v>
      </c>
      <c r="H110" s="66">
        <f t="shared" si="20"/>
        <v>0</v>
      </c>
      <c r="I110" s="66">
        <f t="shared" si="20"/>
        <v>0</v>
      </c>
      <c r="J110" s="66">
        <f t="shared" si="20"/>
        <v>17035140</v>
      </c>
      <c r="K110" s="66">
        <f t="shared" si="20"/>
        <v>1796000</v>
      </c>
      <c r="L110" s="1"/>
    </row>
    <row r="111" spans="1:12" x14ac:dyDescent="0.2">
      <c r="A111" s="389"/>
      <c r="B111" s="376"/>
      <c r="C111" s="65" t="s">
        <v>9</v>
      </c>
      <c r="D111" s="66">
        <f>D63+D49+D80</f>
        <v>3112282</v>
      </c>
      <c r="E111" s="66">
        <f>E63+E49+E80</f>
        <v>3631520</v>
      </c>
      <c r="F111" s="66">
        <f t="shared" ref="F111:K111" si="21">F63+F49+F80</f>
        <v>459281</v>
      </c>
      <c r="G111" s="66">
        <f t="shared" si="21"/>
        <v>0</v>
      </c>
      <c r="H111" s="66">
        <f t="shared" si="21"/>
        <v>0</v>
      </c>
      <c r="I111" s="66">
        <f t="shared" si="21"/>
        <v>0</v>
      </c>
      <c r="J111" s="66">
        <f t="shared" si="21"/>
        <v>4090801</v>
      </c>
      <c r="K111" s="66">
        <f t="shared" si="21"/>
        <v>195300</v>
      </c>
      <c r="L111" s="1"/>
    </row>
    <row r="112" spans="1:12" x14ac:dyDescent="0.2">
      <c r="A112" s="389"/>
      <c r="B112" s="376"/>
      <c r="C112" s="63" t="s">
        <v>22</v>
      </c>
      <c r="D112" s="4">
        <f t="shared" ref="D112:I112" si="22">D64+D31</f>
        <v>254000</v>
      </c>
      <c r="E112" s="4">
        <f t="shared" si="22"/>
        <v>254000</v>
      </c>
      <c r="F112" s="4">
        <f t="shared" si="22"/>
        <v>0</v>
      </c>
      <c r="G112" s="4">
        <f t="shared" si="22"/>
        <v>0</v>
      </c>
      <c r="H112" s="4">
        <f t="shared" si="22"/>
        <v>0</v>
      </c>
      <c r="I112" s="4">
        <f t="shared" si="22"/>
        <v>0</v>
      </c>
      <c r="J112" s="4">
        <f>J64+J31+J81</f>
        <v>256756</v>
      </c>
      <c r="K112" s="4">
        <f>K64+K31+K81</f>
        <v>2756</v>
      </c>
    </row>
    <row r="113" spans="1:12" x14ac:dyDescent="0.2">
      <c r="A113" s="389"/>
      <c r="B113" s="376"/>
      <c r="C113" s="63" t="s">
        <v>33</v>
      </c>
      <c r="D113" s="4">
        <f>D65</f>
        <v>72000</v>
      </c>
      <c r="E113" s="4">
        <f>E65</f>
        <v>72000</v>
      </c>
      <c r="F113" s="4">
        <f t="shared" ref="F113:K113" si="23">F65</f>
        <v>0</v>
      </c>
      <c r="G113" s="4">
        <f t="shared" si="23"/>
        <v>0</v>
      </c>
      <c r="H113" s="4">
        <f t="shared" si="23"/>
        <v>0</v>
      </c>
      <c r="I113" s="4">
        <f t="shared" si="23"/>
        <v>0</v>
      </c>
      <c r="J113" s="4">
        <f t="shared" si="23"/>
        <v>72000</v>
      </c>
      <c r="K113" s="107">
        <f t="shared" si="23"/>
        <v>0</v>
      </c>
    </row>
    <row r="114" spans="1:12" x14ac:dyDescent="0.2">
      <c r="A114" s="389"/>
      <c r="B114" s="376"/>
      <c r="C114" s="63" t="s">
        <v>89</v>
      </c>
      <c r="D114" s="4">
        <f t="shared" ref="D114:K114" si="24">D32</f>
        <v>1870</v>
      </c>
      <c r="E114" s="4">
        <f t="shared" si="24"/>
        <v>1870</v>
      </c>
      <c r="F114" s="4">
        <f t="shared" si="24"/>
        <v>0</v>
      </c>
      <c r="G114" s="4">
        <f t="shared" si="24"/>
        <v>0</v>
      </c>
      <c r="H114" s="4">
        <f t="shared" si="24"/>
        <v>0</v>
      </c>
      <c r="I114" s="4">
        <f t="shared" si="24"/>
        <v>0</v>
      </c>
      <c r="J114" s="4">
        <f t="shared" si="24"/>
        <v>1870</v>
      </c>
      <c r="K114" s="107">
        <f t="shared" si="24"/>
        <v>0</v>
      </c>
    </row>
    <row r="115" spans="1:12" x14ac:dyDescent="0.2">
      <c r="A115" s="389"/>
      <c r="B115" s="376"/>
      <c r="C115" s="63" t="s">
        <v>34</v>
      </c>
      <c r="D115" s="4">
        <f>D66+D82</f>
        <v>230000</v>
      </c>
      <c r="E115" s="4">
        <f>E66+E82</f>
        <v>1478000</v>
      </c>
      <c r="F115" s="4">
        <f t="shared" ref="F115:K115" si="25">F66+F82</f>
        <v>0</v>
      </c>
      <c r="G115" s="4">
        <f t="shared" si="25"/>
        <v>0</v>
      </c>
      <c r="H115" s="4">
        <f t="shared" si="25"/>
        <v>0</v>
      </c>
      <c r="I115" s="4">
        <f t="shared" si="25"/>
        <v>0</v>
      </c>
      <c r="J115" s="4">
        <f t="shared" si="25"/>
        <v>1478000</v>
      </c>
      <c r="K115" s="4">
        <f t="shared" si="25"/>
        <v>0</v>
      </c>
    </row>
    <row r="116" spans="1:12" x14ac:dyDescent="0.2">
      <c r="A116" s="389"/>
      <c r="B116" s="376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K116" si="26">G67+G50+G33</f>
        <v>0</v>
      </c>
      <c r="H116" s="4">
        <f t="shared" si="26"/>
        <v>0</v>
      </c>
      <c r="I116" s="4">
        <f t="shared" si="26"/>
        <v>0</v>
      </c>
      <c r="J116" s="4">
        <f t="shared" si="26"/>
        <v>8059100</v>
      </c>
      <c r="K116" s="4">
        <f t="shared" si="26"/>
        <v>800000</v>
      </c>
    </row>
    <row r="117" spans="1:12" x14ac:dyDescent="0.2">
      <c r="A117" s="389"/>
      <c r="B117" s="376"/>
      <c r="C117" s="63" t="s">
        <v>2</v>
      </c>
      <c r="D117" s="4">
        <f t="shared" ref="D117:K117" si="27">D68+D51+D34+D60+D83</f>
        <v>31883770</v>
      </c>
      <c r="E117" s="4">
        <f t="shared" si="27"/>
        <v>41003436</v>
      </c>
      <c r="F117" s="4">
        <f t="shared" si="27"/>
        <v>-3157872</v>
      </c>
      <c r="G117" s="4">
        <f t="shared" si="27"/>
        <v>0</v>
      </c>
      <c r="H117" s="4">
        <f t="shared" si="27"/>
        <v>0</v>
      </c>
      <c r="I117" s="4">
        <f t="shared" si="27"/>
        <v>0</v>
      </c>
      <c r="J117" s="4">
        <f t="shared" si="27"/>
        <v>37845564</v>
      </c>
      <c r="K117" s="4">
        <f t="shared" si="27"/>
        <v>11067620</v>
      </c>
    </row>
    <row r="118" spans="1:12" x14ac:dyDescent="0.2">
      <c r="A118" s="389"/>
      <c r="B118" s="376"/>
      <c r="C118" s="63" t="s">
        <v>35</v>
      </c>
      <c r="D118" s="4">
        <f>D69</f>
        <v>292100</v>
      </c>
      <c r="E118" s="4">
        <f>E69</f>
        <v>292100</v>
      </c>
      <c r="F118" s="4">
        <f t="shared" ref="F118:K118" si="28">F69</f>
        <v>0</v>
      </c>
      <c r="G118" s="4">
        <f t="shared" si="28"/>
        <v>0</v>
      </c>
      <c r="H118" s="4">
        <f t="shared" si="28"/>
        <v>0</v>
      </c>
      <c r="I118" s="4">
        <f t="shared" si="28"/>
        <v>0</v>
      </c>
      <c r="J118" s="4">
        <f t="shared" si="28"/>
        <v>292100</v>
      </c>
      <c r="K118" s="107">
        <f t="shared" si="28"/>
        <v>0</v>
      </c>
    </row>
    <row r="119" spans="1:12" x14ac:dyDescent="0.2">
      <c r="A119" s="389"/>
      <c r="B119" s="376"/>
      <c r="C119" s="63" t="s">
        <v>117</v>
      </c>
      <c r="D119" s="4">
        <f t="shared" ref="D119:K119" si="29">D35</f>
        <v>0</v>
      </c>
      <c r="E119" s="4">
        <f t="shared" si="29"/>
        <v>48840</v>
      </c>
      <c r="F119" s="4">
        <f t="shared" si="29"/>
        <v>24420</v>
      </c>
      <c r="G119" s="4">
        <f t="shared" si="29"/>
        <v>0</v>
      </c>
      <c r="H119" s="4">
        <f t="shared" si="29"/>
        <v>0</v>
      </c>
      <c r="I119" s="4">
        <f t="shared" si="29"/>
        <v>0</v>
      </c>
      <c r="J119" s="4">
        <f t="shared" si="29"/>
        <v>73260</v>
      </c>
      <c r="K119" s="108">
        <f t="shared" si="29"/>
        <v>73260</v>
      </c>
    </row>
    <row r="120" spans="1:12" x14ac:dyDescent="0.2">
      <c r="A120" s="389"/>
      <c r="B120" s="376"/>
      <c r="C120" s="63" t="s">
        <v>11</v>
      </c>
      <c r="D120" s="4">
        <f t="shared" ref="D120:I120" si="30">D70+D52+D36</f>
        <v>5188185</v>
      </c>
      <c r="E120" s="4">
        <f t="shared" si="30"/>
        <v>5205178</v>
      </c>
      <c r="F120" s="4">
        <f t="shared" si="30"/>
        <v>6593</v>
      </c>
      <c r="G120" s="4">
        <f t="shared" si="30"/>
        <v>0</v>
      </c>
      <c r="H120" s="4">
        <f t="shared" si="30"/>
        <v>0</v>
      </c>
      <c r="I120" s="4">
        <f t="shared" si="30"/>
        <v>10800</v>
      </c>
      <c r="J120" s="4">
        <f>J70+J52+J36+J84</f>
        <v>5226015</v>
      </c>
      <c r="K120" s="4">
        <f>K70+K52+K36+K84</f>
        <v>737454</v>
      </c>
    </row>
    <row r="121" spans="1:12" x14ac:dyDescent="0.2">
      <c r="A121" s="389"/>
      <c r="B121" s="376"/>
      <c r="C121" s="63" t="s">
        <v>91</v>
      </c>
      <c r="D121" s="4">
        <f t="shared" ref="D121:K121" si="31">D37</f>
        <v>0</v>
      </c>
      <c r="E121" s="4">
        <f t="shared" si="31"/>
        <v>83000</v>
      </c>
      <c r="F121" s="4">
        <f t="shared" si="31"/>
        <v>0</v>
      </c>
      <c r="G121" s="4">
        <f t="shared" si="31"/>
        <v>0</v>
      </c>
      <c r="H121" s="4">
        <f t="shared" si="31"/>
        <v>0</v>
      </c>
      <c r="I121" s="4">
        <f t="shared" si="31"/>
        <v>0</v>
      </c>
      <c r="J121" s="4">
        <f t="shared" si="31"/>
        <v>83000</v>
      </c>
      <c r="K121" s="107">
        <f t="shared" si="31"/>
        <v>83000</v>
      </c>
    </row>
    <row r="122" spans="1:12" x14ac:dyDescent="0.2">
      <c r="A122" s="389"/>
      <c r="B122" s="376"/>
      <c r="C122" s="63" t="s">
        <v>12</v>
      </c>
      <c r="D122" s="4">
        <f t="shared" ref="D122:I122" si="32">D71+D53+D85+D38</f>
        <v>229492</v>
      </c>
      <c r="E122" s="4">
        <f t="shared" si="32"/>
        <v>369492</v>
      </c>
      <c r="F122" s="4">
        <f t="shared" si="32"/>
        <v>0</v>
      </c>
      <c r="G122" s="4">
        <f t="shared" si="32"/>
        <v>0</v>
      </c>
      <c r="H122" s="4">
        <f t="shared" si="32"/>
        <v>0</v>
      </c>
      <c r="I122" s="4">
        <f t="shared" si="32"/>
        <v>40000</v>
      </c>
      <c r="J122" s="4">
        <f>J71+J53+J85+J38</f>
        <v>409492</v>
      </c>
      <c r="K122" s="4">
        <f>K71+K53+K85+K38</f>
        <v>141900</v>
      </c>
    </row>
    <row r="123" spans="1:12" x14ac:dyDescent="0.2">
      <c r="A123" s="389"/>
      <c r="B123" s="376"/>
      <c r="C123" s="65" t="s">
        <v>95</v>
      </c>
      <c r="D123" s="66">
        <f t="shared" ref="D123:I123" si="33">D71+D70+D69+D68+D67+D66+D65+D64+D53+D52+D51+D50+D37+D36+D34+D32+D31+D60+D35+D82+D83+D85+D84+D81+D38+D33</f>
        <v>46160517</v>
      </c>
      <c r="E123" s="66">
        <f t="shared" si="33"/>
        <v>56817016</v>
      </c>
      <c r="F123" s="66">
        <f t="shared" si="33"/>
        <v>-3070659</v>
      </c>
      <c r="G123" s="66">
        <f t="shared" si="33"/>
        <v>0</v>
      </c>
      <c r="H123" s="66">
        <f t="shared" si="33"/>
        <v>0</v>
      </c>
      <c r="I123" s="66">
        <f t="shared" si="33"/>
        <v>50800</v>
      </c>
      <c r="J123" s="66">
        <f>J71+J70+J69+J68+J67+J66+J65+J64+J53+J52+J51+J50+J37+J36+J34+J32+J31+J60+J35+J82+J83+J85+J84+J81+J38+J33</f>
        <v>53797157</v>
      </c>
      <c r="K123" s="66">
        <f>K71+K70+K69+K68+K67+K66+K65+K64+K53+K52+K51+K50+K37+K36+K34+K32+K31+K60+K35+K82+K83+K85+K84+K81+K38+K33</f>
        <v>12905990</v>
      </c>
      <c r="L123" s="1"/>
    </row>
    <row r="124" spans="1:12" x14ac:dyDescent="0.2">
      <c r="A124" s="389"/>
      <c r="B124" s="376"/>
      <c r="C124" s="63" t="s">
        <v>36</v>
      </c>
      <c r="D124" s="4">
        <f>D72</f>
        <v>0</v>
      </c>
      <c r="E124" s="4">
        <f>E72</f>
        <v>0</v>
      </c>
      <c r="F124" s="4">
        <f t="shared" ref="F124:K124" si="34">F72</f>
        <v>0</v>
      </c>
      <c r="G124" s="4">
        <f t="shared" si="34"/>
        <v>0</v>
      </c>
      <c r="H124" s="4">
        <f t="shared" si="34"/>
        <v>0</v>
      </c>
      <c r="I124" s="4">
        <f t="shared" si="34"/>
        <v>0</v>
      </c>
      <c r="J124" s="4">
        <f t="shared" si="34"/>
        <v>0</v>
      </c>
      <c r="K124" s="107">
        <f t="shared" si="34"/>
        <v>0</v>
      </c>
    </row>
    <row r="125" spans="1:12" x14ac:dyDescent="0.2">
      <c r="A125" s="389"/>
      <c r="B125" s="376"/>
      <c r="C125" s="63" t="s">
        <v>23</v>
      </c>
      <c r="D125" s="4">
        <f t="shared" ref="D125:K125" si="35">D44+D42+D46+D39</f>
        <v>19744030</v>
      </c>
      <c r="E125" s="4">
        <f t="shared" si="35"/>
        <v>19745283</v>
      </c>
      <c r="F125" s="4">
        <f t="shared" si="35"/>
        <v>0</v>
      </c>
      <c r="G125" s="4">
        <f t="shared" si="35"/>
        <v>0</v>
      </c>
      <c r="H125" s="4">
        <f t="shared" si="35"/>
        <v>0</v>
      </c>
      <c r="I125" s="4">
        <f t="shared" si="35"/>
        <v>0</v>
      </c>
      <c r="J125" s="4">
        <f t="shared" si="35"/>
        <v>19745283</v>
      </c>
      <c r="K125" s="135">
        <f t="shared" si="35"/>
        <v>8668362</v>
      </c>
    </row>
    <row r="126" spans="1:12" x14ac:dyDescent="0.2">
      <c r="A126" s="389"/>
      <c r="B126" s="376"/>
      <c r="C126" s="63" t="s">
        <v>5</v>
      </c>
      <c r="D126" s="4">
        <f t="shared" ref="D126:K126" si="36">D45+D47+D40</f>
        <v>16308950</v>
      </c>
      <c r="E126" s="4">
        <f t="shared" si="36"/>
        <v>16308950</v>
      </c>
      <c r="F126" s="4">
        <f t="shared" si="36"/>
        <v>0</v>
      </c>
      <c r="G126" s="4">
        <f t="shared" si="36"/>
        <v>0</v>
      </c>
      <c r="H126" s="4">
        <f t="shared" si="36"/>
        <v>0</v>
      </c>
      <c r="I126" s="4">
        <f t="shared" si="36"/>
        <v>0</v>
      </c>
      <c r="J126" s="4">
        <f t="shared" si="36"/>
        <v>16308950</v>
      </c>
      <c r="K126" s="107">
        <f t="shared" si="36"/>
        <v>9534387</v>
      </c>
    </row>
    <row r="127" spans="1:12" x14ac:dyDescent="0.2">
      <c r="A127" s="389"/>
      <c r="B127" s="376"/>
      <c r="C127" s="65" t="s">
        <v>96</v>
      </c>
      <c r="D127" s="66">
        <f t="shared" ref="D127:K127" si="37">D45+D44+D42+D47+D46+D40+D39</f>
        <v>36052980</v>
      </c>
      <c r="E127" s="66">
        <f t="shared" si="37"/>
        <v>36054233</v>
      </c>
      <c r="F127" s="66">
        <f t="shared" si="37"/>
        <v>0</v>
      </c>
      <c r="G127" s="66">
        <f t="shared" si="37"/>
        <v>0</v>
      </c>
      <c r="H127" s="66">
        <f t="shared" si="37"/>
        <v>0</v>
      </c>
      <c r="I127" s="66">
        <f t="shared" si="37"/>
        <v>0</v>
      </c>
      <c r="J127" s="66">
        <f t="shared" si="37"/>
        <v>36054233</v>
      </c>
      <c r="K127" s="109">
        <f t="shared" si="37"/>
        <v>18202749</v>
      </c>
      <c r="L127" s="1"/>
    </row>
    <row r="128" spans="1:12" x14ac:dyDescent="0.2">
      <c r="A128" s="389"/>
      <c r="B128" s="376"/>
      <c r="C128" s="63" t="s">
        <v>31</v>
      </c>
      <c r="D128" s="4">
        <f>D73+D54+D86</f>
        <v>388897</v>
      </c>
      <c r="E128" s="4">
        <f t="shared" ref="E128:K128" si="38">E73+E54+E86</f>
        <v>966853</v>
      </c>
      <c r="F128" s="4">
        <f t="shared" si="38"/>
        <v>0</v>
      </c>
      <c r="G128" s="4">
        <f t="shared" si="38"/>
        <v>0</v>
      </c>
      <c r="H128" s="4">
        <f t="shared" si="38"/>
        <v>0</v>
      </c>
      <c r="I128" s="4">
        <f t="shared" si="38"/>
        <v>0</v>
      </c>
      <c r="J128" s="4">
        <f t="shared" si="38"/>
        <v>966853</v>
      </c>
      <c r="K128" s="4">
        <f t="shared" si="38"/>
        <v>704400</v>
      </c>
    </row>
    <row r="129" spans="1:12" x14ac:dyDescent="0.2">
      <c r="A129" s="389"/>
      <c r="B129" s="376"/>
      <c r="C129" s="63" t="s">
        <v>32</v>
      </c>
      <c r="D129" s="4">
        <f>D55+D74</f>
        <v>0</v>
      </c>
      <c r="E129" s="4">
        <f t="shared" ref="E129:K129" si="39">E55+E74</f>
        <v>1818096</v>
      </c>
      <c r="F129" s="4">
        <f t="shared" si="39"/>
        <v>0</v>
      </c>
      <c r="G129" s="4">
        <f t="shared" si="39"/>
        <v>0</v>
      </c>
      <c r="H129" s="4">
        <f t="shared" si="39"/>
        <v>0</v>
      </c>
      <c r="I129" s="4">
        <f t="shared" si="39"/>
        <v>0</v>
      </c>
      <c r="J129" s="4">
        <f t="shared" si="39"/>
        <v>1818096</v>
      </c>
      <c r="K129" s="108">
        <f t="shared" si="39"/>
        <v>1818096</v>
      </c>
    </row>
    <row r="130" spans="1:12" x14ac:dyDescent="0.2">
      <c r="A130" s="389"/>
      <c r="B130" s="376"/>
      <c r="C130" s="63" t="s">
        <v>13</v>
      </c>
      <c r="D130" s="4">
        <f t="shared" ref="D130:K131" si="40">D75+D56+D87</f>
        <v>4296741</v>
      </c>
      <c r="E130" s="4">
        <f t="shared" si="40"/>
        <v>10755560</v>
      </c>
      <c r="F130" s="4">
        <f t="shared" si="40"/>
        <v>0</v>
      </c>
      <c r="G130" s="4">
        <f t="shared" si="40"/>
        <v>0</v>
      </c>
      <c r="H130" s="4">
        <f t="shared" si="40"/>
        <v>0</v>
      </c>
      <c r="I130" s="4">
        <f t="shared" si="40"/>
        <v>0</v>
      </c>
      <c r="J130" s="4">
        <f t="shared" si="40"/>
        <v>10755560</v>
      </c>
      <c r="K130" s="4">
        <f t="shared" si="40"/>
        <v>2568661</v>
      </c>
    </row>
    <row r="131" spans="1:12" x14ac:dyDescent="0.2">
      <c r="A131" s="389"/>
      <c r="B131" s="376"/>
      <c r="C131" s="63" t="s">
        <v>14</v>
      </c>
      <c r="D131" s="4">
        <f t="shared" si="40"/>
        <v>1265122</v>
      </c>
      <c r="E131" s="4">
        <f t="shared" si="40"/>
        <v>3655937</v>
      </c>
      <c r="F131" s="4">
        <f t="shared" si="40"/>
        <v>0</v>
      </c>
      <c r="G131" s="4">
        <f t="shared" si="40"/>
        <v>0</v>
      </c>
      <c r="H131" s="4">
        <f t="shared" si="40"/>
        <v>0</v>
      </c>
      <c r="I131" s="4">
        <f t="shared" si="40"/>
        <v>0</v>
      </c>
      <c r="J131" s="4">
        <f t="shared" si="40"/>
        <v>3655937</v>
      </c>
      <c r="K131" s="4">
        <f t="shared" si="40"/>
        <v>1374613</v>
      </c>
    </row>
    <row r="132" spans="1:12" x14ac:dyDescent="0.2">
      <c r="A132" s="389"/>
      <c r="B132" s="376"/>
      <c r="C132" s="65" t="s">
        <v>97</v>
      </c>
      <c r="D132" s="66">
        <f>D76+D75+D73+D57+D56+D55+D54+D74+D86+D87+D88</f>
        <v>5950760</v>
      </c>
      <c r="E132" s="66">
        <f t="shared" ref="E132:K132" si="41">E76+E75+E73+E57+E56+E55+E54+E74+E86+E87+E88</f>
        <v>17196446</v>
      </c>
      <c r="F132" s="66">
        <f t="shared" si="41"/>
        <v>0</v>
      </c>
      <c r="G132" s="66">
        <f t="shared" si="41"/>
        <v>0</v>
      </c>
      <c r="H132" s="66">
        <f t="shared" si="41"/>
        <v>0</v>
      </c>
      <c r="I132" s="66">
        <f t="shared" si="41"/>
        <v>0</v>
      </c>
      <c r="J132" s="66">
        <f t="shared" si="41"/>
        <v>17196446</v>
      </c>
      <c r="K132" s="66">
        <f t="shared" si="41"/>
        <v>6465770</v>
      </c>
      <c r="L132" s="1"/>
    </row>
    <row r="133" spans="1:12" x14ac:dyDescent="0.2">
      <c r="A133" s="389"/>
      <c r="B133" s="376"/>
      <c r="C133" s="63" t="s">
        <v>15</v>
      </c>
      <c r="D133" s="4">
        <f t="shared" ref="D133:K134" si="42">D77+D58+D89</f>
        <v>4121943</v>
      </c>
      <c r="E133" s="4">
        <f t="shared" si="42"/>
        <v>34661221</v>
      </c>
      <c r="F133" s="4">
        <f t="shared" si="42"/>
        <v>0</v>
      </c>
      <c r="G133" s="4">
        <f t="shared" si="42"/>
        <v>0</v>
      </c>
      <c r="H133" s="4">
        <f t="shared" si="42"/>
        <v>0</v>
      </c>
      <c r="I133" s="4">
        <f t="shared" si="42"/>
        <v>0</v>
      </c>
      <c r="J133" s="4">
        <f t="shared" si="42"/>
        <v>34661221</v>
      </c>
      <c r="K133" s="4">
        <f t="shared" si="42"/>
        <v>2828729</v>
      </c>
    </row>
    <row r="134" spans="1:12" x14ac:dyDescent="0.2">
      <c r="A134" s="389"/>
      <c r="B134" s="376"/>
      <c r="C134" s="63" t="s">
        <v>16</v>
      </c>
      <c r="D134" s="4">
        <f t="shared" si="42"/>
        <v>1112924</v>
      </c>
      <c r="E134" s="4">
        <f t="shared" si="42"/>
        <v>9358530</v>
      </c>
      <c r="F134" s="4">
        <f t="shared" si="42"/>
        <v>0</v>
      </c>
      <c r="G134" s="4">
        <f t="shared" si="42"/>
        <v>0</v>
      </c>
      <c r="H134" s="4">
        <f t="shared" si="42"/>
        <v>0</v>
      </c>
      <c r="I134" s="4">
        <f t="shared" si="42"/>
        <v>0</v>
      </c>
      <c r="J134" s="4">
        <f t="shared" si="42"/>
        <v>9358530</v>
      </c>
      <c r="K134" s="4">
        <f t="shared" si="42"/>
        <v>493942</v>
      </c>
    </row>
    <row r="135" spans="1:12" x14ac:dyDescent="0.2">
      <c r="A135" s="389"/>
      <c r="B135" s="376"/>
      <c r="C135" s="65" t="s">
        <v>98</v>
      </c>
      <c r="D135" s="66">
        <f>D78+D77+D59+D58+D89+D90</f>
        <v>5234867</v>
      </c>
      <c r="E135" s="66">
        <f t="shared" ref="E135:K135" si="43">E78+E77+E59+E58+E89+E90</f>
        <v>44019751</v>
      </c>
      <c r="F135" s="66">
        <f t="shared" si="43"/>
        <v>0</v>
      </c>
      <c r="G135" s="66">
        <f t="shared" si="43"/>
        <v>0</v>
      </c>
      <c r="H135" s="66">
        <f t="shared" si="43"/>
        <v>0</v>
      </c>
      <c r="I135" s="66">
        <f t="shared" si="43"/>
        <v>0</v>
      </c>
      <c r="J135" s="66">
        <f t="shared" si="43"/>
        <v>44019751</v>
      </c>
      <c r="K135" s="66">
        <f t="shared" si="43"/>
        <v>3322671</v>
      </c>
      <c r="L135" s="1"/>
    </row>
    <row r="136" spans="1:12" x14ac:dyDescent="0.2">
      <c r="A136" s="389"/>
      <c r="B136" s="376"/>
      <c r="C136" s="65" t="s">
        <v>110</v>
      </c>
      <c r="D136" s="66">
        <f>D43</f>
        <v>4500000</v>
      </c>
      <c r="E136" s="66">
        <f t="shared" ref="E136:K136" si="44">E43</f>
        <v>4500000</v>
      </c>
      <c r="F136" s="66">
        <f t="shared" si="44"/>
        <v>0</v>
      </c>
      <c r="G136" s="66">
        <f t="shared" si="44"/>
        <v>0</v>
      </c>
      <c r="H136" s="66">
        <f t="shared" si="44"/>
        <v>0</v>
      </c>
      <c r="I136" s="66">
        <f t="shared" si="44"/>
        <v>0</v>
      </c>
      <c r="J136" s="66">
        <f t="shared" si="44"/>
        <v>4500000</v>
      </c>
      <c r="K136" s="110">
        <f t="shared" si="44"/>
        <v>3967790</v>
      </c>
      <c r="L136" s="1"/>
    </row>
    <row r="137" spans="1:12" x14ac:dyDescent="0.2">
      <c r="A137" s="389"/>
      <c r="B137" s="376"/>
      <c r="C137" s="63" t="s">
        <v>3</v>
      </c>
      <c r="D137" s="67">
        <f t="shared" ref="D137:K137" si="45">D41</f>
        <v>313437148</v>
      </c>
      <c r="E137" s="67">
        <f t="shared" si="45"/>
        <v>332190752</v>
      </c>
      <c r="F137" s="67">
        <f t="shared" si="45"/>
        <v>0</v>
      </c>
      <c r="G137" s="67">
        <f t="shared" si="45"/>
        <v>0</v>
      </c>
      <c r="H137" s="67">
        <f t="shared" si="45"/>
        <v>0</v>
      </c>
      <c r="I137" s="67">
        <f t="shared" si="45"/>
        <v>0</v>
      </c>
      <c r="J137" s="67">
        <f t="shared" si="45"/>
        <v>332190752</v>
      </c>
      <c r="K137" s="111">
        <f t="shared" si="45"/>
        <v>215480447</v>
      </c>
      <c r="L137" s="1"/>
    </row>
    <row r="138" spans="1:12" x14ac:dyDescent="0.2">
      <c r="A138" s="390"/>
      <c r="B138" s="391"/>
      <c r="C138" s="65" t="s">
        <v>99</v>
      </c>
      <c r="D138" s="66">
        <f>D91</f>
        <v>426209554</v>
      </c>
      <c r="E138" s="66">
        <f t="shared" ref="E138:K138" si="46">E91</f>
        <v>508833480</v>
      </c>
      <c r="F138" s="66">
        <f t="shared" si="46"/>
        <v>0</v>
      </c>
      <c r="G138" s="66">
        <f t="shared" si="46"/>
        <v>0</v>
      </c>
      <c r="H138" s="66">
        <f t="shared" si="46"/>
        <v>0</v>
      </c>
      <c r="I138" s="66">
        <f t="shared" si="46"/>
        <v>50800</v>
      </c>
      <c r="J138" s="66">
        <f t="shared" si="46"/>
        <v>508884280</v>
      </c>
      <c r="K138" s="66">
        <f t="shared" si="46"/>
        <v>262336717</v>
      </c>
      <c r="L138" s="1"/>
    </row>
    <row r="139" spans="1:12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12"/>
      <c r="L139" s="1"/>
    </row>
    <row r="140" spans="1:12" x14ac:dyDescent="0.2">
      <c r="C140" s="5"/>
      <c r="D140" s="5"/>
      <c r="F140" s="2"/>
    </row>
    <row r="141" spans="1:12" x14ac:dyDescent="0.2">
      <c r="C141" s="5"/>
      <c r="D141" s="5"/>
      <c r="F141" s="2"/>
    </row>
  </sheetData>
  <mergeCells count="41"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0:C30"/>
    <mergeCell ref="A6:A10"/>
    <mergeCell ref="B6:B8"/>
    <mergeCell ref="B9:B10"/>
    <mergeCell ref="A11:A12"/>
    <mergeCell ref="B11:B12"/>
    <mergeCell ref="A15:A19"/>
    <mergeCell ref="B15:B17"/>
    <mergeCell ref="B18:B19"/>
    <mergeCell ref="A20:A24"/>
    <mergeCell ref="B20:B22"/>
    <mergeCell ref="B23:B24"/>
    <mergeCell ref="A25:A26"/>
    <mergeCell ref="B25:B26"/>
    <mergeCell ref="A31:A41"/>
    <mergeCell ref="B39:B41"/>
    <mergeCell ref="A46:A47"/>
    <mergeCell ref="B46:B47"/>
    <mergeCell ref="A42:A43"/>
    <mergeCell ref="B42:B43"/>
    <mergeCell ref="B31:B38"/>
    <mergeCell ref="A79:A90"/>
    <mergeCell ref="B79:B90"/>
    <mergeCell ref="A91:C91"/>
    <mergeCell ref="A97:B138"/>
    <mergeCell ref="A44:A45"/>
    <mergeCell ref="B44:B45"/>
    <mergeCell ref="A48:A59"/>
    <mergeCell ref="B48:B59"/>
    <mergeCell ref="A60:A78"/>
    <mergeCell ref="B61:B78"/>
  </mergeCells>
  <pageMargins left="0.7" right="0.7" top="0.75" bottom="0.75" header="0.3" footer="0.3"/>
  <pageSetup paperSize="9" scale="50" orientation="portrait" r:id="rId1"/>
  <rowBreaks count="1" manualBreakCount="1">
    <brk id="9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27"/>
  <sheetViews>
    <sheetView zoomScaleSheetLayoutView="59" workbookViewId="0">
      <pane xSplit="2" ySplit="5" topLeftCell="C15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40" customWidth="1"/>
    <col min="2" max="2" width="7.7109375" style="96" customWidth="1"/>
    <col min="3" max="3" width="8" customWidth="1"/>
    <col min="4" max="5" width="14.5703125" customWidth="1"/>
    <col min="6" max="6" width="14.85546875" customWidth="1"/>
    <col min="7" max="10" width="11.140625" customWidth="1"/>
    <col min="11" max="11" width="14.42578125" customWidth="1"/>
    <col min="12" max="12" width="14.42578125" style="101" customWidth="1"/>
    <col min="13" max="13" width="18" customWidth="1"/>
  </cols>
  <sheetData>
    <row r="1" spans="1:13" x14ac:dyDescent="0.2">
      <c r="A1" s="489" t="s">
        <v>82</v>
      </c>
      <c r="B1" s="490"/>
      <c r="C1" s="490"/>
      <c r="D1" s="490"/>
      <c r="E1" s="490"/>
      <c r="F1" s="490"/>
      <c r="G1" s="490"/>
      <c r="H1" s="490"/>
      <c r="I1" s="490"/>
      <c r="J1" s="490"/>
      <c r="K1" s="490"/>
      <c r="L1" s="490"/>
      <c r="M1" s="490"/>
    </row>
    <row r="2" spans="1:13" x14ac:dyDescent="0.2">
      <c r="F2" s="2"/>
    </row>
    <row r="3" spans="1:13" x14ac:dyDescent="0.2">
      <c r="E3" s="5"/>
      <c r="F3" s="3"/>
      <c r="L3" s="102"/>
    </row>
    <row r="4" spans="1:13" x14ac:dyDescent="0.2">
      <c r="A4" s="491" t="s">
        <v>19</v>
      </c>
      <c r="B4" s="493" t="s">
        <v>0</v>
      </c>
      <c r="C4" s="491" t="s">
        <v>44</v>
      </c>
      <c r="D4" s="491" t="s">
        <v>21</v>
      </c>
      <c r="E4" s="495" t="s">
        <v>112</v>
      </c>
      <c r="F4" s="497" t="s">
        <v>143</v>
      </c>
      <c r="G4" s="498"/>
      <c r="H4" s="498"/>
      <c r="I4" s="498"/>
      <c r="J4" s="499"/>
      <c r="K4" s="495" t="s">
        <v>142</v>
      </c>
      <c r="L4" s="500" t="s">
        <v>135</v>
      </c>
      <c r="M4" s="501" t="s">
        <v>84</v>
      </c>
    </row>
    <row r="5" spans="1:13" ht="46.5" customHeight="1" x14ac:dyDescent="0.2">
      <c r="A5" s="492"/>
      <c r="B5" s="494"/>
      <c r="C5" s="492"/>
      <c r="D5" s="492"/>
      <c r="E5" s="496"/>
      <c r="F5" s="136" t="s">
        <v>43</v>
      </c>
      <c r="G5" s="137" t="s">
        <v>126</v>
      </c>
      <c r="H5" s="137" t="s">
        <v>163</v>
      </c>
      <c r="I5" s="137" t="s">
        <v>144</v>
      </c>
      <c r="J5" s="137" t="s">
        <v>141</v>
      </c>
      <c r="K5" s="496"/>
      <c r="L5" s="500"/>
      <c r="M5" s="501"/>
    </row>
    <row r="6" spans="1:13" x14ac:dyDescent="0.2">
      <c r="A6" s="482" t="s">
        <v>38</v>
      </c>
      <c r="B6" s="378" t="s">
        <v>1</v>
      </c>
      <c r="C6" s="41" t="s">
        <v>41</v>
      </c>
      <c r="D6" s="42">
        <v>0</v>
      </c>
      <c r="E6" s="42">
        <v>0</v>
      </c>
      <c r="F6" s="43"/>
      <c r="G6" s="38"/>
      <c r="H6" s="38"/>
      <c r="I6" s="38"/>
      <c r="J6" s="38">
        <v>40000</v>
      </c>
      <c r="K6" s="4">
        <f t="shared" ref="K6:K29" si="0">SUM(E6:J6)</f>
        <v>40000</v>
      </c>
      <c r="L6" s="103">
        <v>40000</v>
      </c>
      <c r="M6" s="4">
        <f>K6-L6</f>
        <v>0</v>
      </c>
    </row>
    <row r="7" spans="1:13" x14ac:dyDescent="0.2">
      <c r="A7" s="482"/>
      <c r="B7" s="378"/>
      <c r="C7" s="41" t="s">
        <v>139</v>
      </c>
      <c r="D7" s="42">
        <v>0</v>
      </c>
      <c r="E7" s="42">
        <v>0</v>
      </c>
      <c r="F7" s="43"/>
      <c r="G7" s="38"/>
      <c r="H7" s="38"/>
      <c r="I7" s="38"/>
      <c r="J7" s="38">
        <v>10800</v>
      </c>
      <c r="K7" s="4">
        <f t="shared" si="0"/>
        <v>10800</v>
      </c>
      <c r="L7" s="103">
        <v>10800</v>
      </c>
      <c r="M7" s="4">
        <f t="shared" ref="M7:M29" si="1">K7-L7</f>
        <v>0</v>
      </c>
    </row>
    <row r="8" spans="1:13" x14ac:dyDescent="0.2">
      <c r="A8" s="482"/>
      <c r="B8" s="378"/>
      <c r="C8" s="41" t="s">
        <v>40</v>
      </c>
      <c r="D8" s="42">
        <v>1500</v>
      </c>
      <c r="E8" s="42">
        <v>1500</v>
      </c>
      <c r="F8" s="43"/>
      <c r="G8" s="38"/>
      <c r="H8" s="38"/>
      <c r="I8" s="38"/>
      <c r="J8" s="38"/>
      <c r="K8" s="4">
        <f t="shared" si="0"/>
        <v>1500</v>
      </c>
      <c r="L8" s="103">
        <v>1181</v>
      </c>
      <c r="M8" s="4">
        <f t="shared" si="1"/>
        <v>319</v>
      </c>
    </row>
    <row r="9" spans="1:13" x14ac:dyDescent="0.2">
      <c r="A9" s="482"/>
      <c r="B9" s="379" t="s">
        <v>4</v>
      </c>
      <c r="C9" s="41" t="s">
        <v>25</v>
      </c>
      <c r="D9" s="42">
        <v>2468000</v>
      </c>
      <c r="E9" s="42">
        <v>21221604</v>
      </c>
      <c r="F9" s="43">
        <v>-18753604</v>
      </c>
      <c r="G9" s="38"/>
      <c r="H9" s="38"/>
      <c r="I9" s="38"/>
      <c r="J9" s="38"/>
      <c r="K9" s="4">
        <f t="shared" si="0"/>
        <v>2468000</v>
      </c>
      <c r="L9" s="132">
        <v>2468000</v>
      </c>
      <c r="M9" s="4">
        <f t="shared" si="1"/>
        <v>0</v>
      </c>
    </row>
    <row r="10" spans="1:13" x14ac:dyDescent="0.2">
      <c r="A10" s="482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38"/>
      <c r="K10" s="4">
        <f t="shared" si="0"/>
        <v>10810958</v>
      </c>
      <c r="L10" s="103">
        <v>10810958</v>
      </c>
      <c r="M10" s="4">
        <f t="shared" si="1"/>
        <v>0</v>
      </c>
    </row>
    <row r="11" spans="1:13" x14ac:dyDescent="0.2">
      <c r="A11" s="483" t="s">
        <v>50</v>
      </c>
      <c r="B11" s="341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38"/>
      <c r="K11" s="4">
        <f t="shared" si="0"/>
        <v>7005263</v>
      </c>
      <c r="L11" s="103">
        <v>3638366</v>
      </c>
      <c r="M11" s="4">
        <f t="shared" si="1"/>
        <v>3366897</v>
      </c>
    </row>
    <row r="12" spans="1:13" x14ac:dyDescent="0.2">
      <c r="A12" s="484"/>
      <c r="B12" s="342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38"/>
      <c r="K12" s="4">
        <f t="shared" si="0"/>
        <v>4500000</v>
      </c>
      <c r="L12" s="103">
        <v>3975367</v>
      </c>
      <c r="M12" s="4">
        <f t="shared" si="1"/>
        <v>524633</v>
      </c>
    </row>
    <row r="13" spans="1:13" x14ac:dyDescent="0.2">
      <c r="A13" s="146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38"/>
      <c r="K13" s="4">
        <f t="shared" si="0"/>
        <v>19746500</v>
      </c>
      <c r="L13" s="103">
        <v>10044808</v>
      </c>
      <c r="M13" s="4">
        <f t="shared" si="1"/>
        <v>9701692</v>
      </c>
    </row>
    <row r="14" spans="1:13" x14ac:dyDescent="0.2">
      <c r="A14" s="145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38"/>
      <c r="K14" s="4">
        <f>SUM(E14:J14)</f>
        <v>16258950</v>
      </c>
      <c r="L14" s="103">
        <v>8235221</v>
      </c>
      <c r="M14" s="4">
        <f>K14-L14</f>
        <v>8023729</v>
      </c>
    </row>
    <row r="15" spans="1:13" x14ac:dyDescent="0.2">
      <c r="A15" s="483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38"/>
      <c r="K15" s="4">
        <f t="shared" si="0"/>
        <v>0</v>
      </c>
      <c r="L15" s="103"/>
      <c r="M15" s="4">
        <f t="shared" si="1"/>
        <v>0</v>
      </c>
    </row>
    <row r="16" spans="1:13" x14ac:dyDescent="0.2">
      <c r="A16" s="485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38"/>
      <c r="K16" s="4">
        <f t="shared" si="0"/>
        <v>0</v>
      </c>
      <c r="L16" s="103"/>
      <c r="M16" s="4">
        <f t="shared" si="1"/>
        <v>0</v>
      </c>
    </row>
    <row r="17" spans="1:13" x14ac:dyDescent="0.2">
      <c r="A17" s="485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38"/>
      <c r="K17" s="4">
        <f t="shared" si="0"/>
        <v>199713</v>
      </c>
      <c r="L17" s="103">
        <v>199713</v>
      </c>
      <c r="M17" s="4">
        <f t="shared" si="1"/>
        <v>0</v>
      </c>
    </row>
    <row r="18" spans="1:13" x14ac:dyDescent="0.2">
      <c r="A18" s="485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38"/>
      <c r="K18" s="4">
        <f t="shared" si="0"/>
        <v>0</v>
      </c>
      <c r="L18" s="103"/>
      <c r="M18" s="4">
        <f t="shared" si="1"/>
        <v>0</v>
      </c>
    </row>
    <row r="19" spans="1:13" x14ac:dyDescent="0.2">
      <c r="A19" s="485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38"/>
      <c r="K19" s="4">
        <f t="shared" si="0"/>
        <v>0</v>
      </c>
      <c r="L19" s="103"/>
      <c r="M19" s="4">
        <f t="shared" si="1"/>
        <v>0</v>
      </c>
    </row>
    <row r="20" spans="1:13" x14ac:dyDescent="0.2">
      <c r="A20" s="486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38"/>
      <c r="K20" s="4">
        <f t="shared" si="0"/>
        <v>37214812</v>
      </c>
      <c r="L20" s="103">
        <v>2622748</v>
      </c>
      <c r="M20" s="4">
        <f t="shared" si="1"/>
        <v>34592064</v>
      </c>
    </row>
    <row r="21" spans="1:13" x14ac:dyDescent="0.2">
      <c r="A21" s="487"/>
      <c r="B21" s="382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38"/>
      <c r="K21" s="4">
        <f t="shared" si="0"/>
        <v>654581</v>
      </c>
      <c r="L21" s="103">
        <v>654581</v>
      </c>
      <c r="M21" s="4">
        <f t="shared" si="1"/>
        <v>0</v>
      </c>
    </row>
    <row r="22" spans="1:13" x14ac:dyDescent="0.2">
      <c r="A22" s="487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38"/>
      <c r="K22" s="4">
        <f t="shared" si="0"/>
        <v>17033910</v>
      </c>
      <c r="L22" s="103">
        <v>17033910</v>
      </c>
      <c r="M22" s="4">
        <f t="shared" si="1"/>
        <v>0</v>
      </c>
    </row>
    <row r="23" spans="1:13" x14ac:dyDescent="0.2">
      <c r="A23" s="487"/>
      <c r="B23" s="341" t="s">
        <v>17</v>
      </c>
      <c r="C23" s="41" t="s">
        <v>41</v>
      </c>
      <c r="D23" s="42">
        <v>0</v>
      </c>
      <c r="E23" s="42">
        <v>100</v>
      </c>
      <c r="F23" s="43">
        <f>100+100</f>
        <v>200</v>
      </c>
      <c r="G23" s="38"/>
      <c r="H23" s="38"/>
      <c r="I23" s="38"/>
      <c r="J23" s="38"/>
      <c r="K23" s="4">
        <f t="shared" si="0"/>
        <v>300</v>
      </c>
      <c r="L23" s="103">
        <v>300</v>
      </c>
      <c r="M23" s="120">
        <f t="shared" si="1"/>
        <v>0</v>
      </c>
    </row>
    <row r="24" spans="1:13" x14ac:dyDescent="0.2">
      <c r="A24" s="488"/>
      <c r="B24" s="342"/>
      <c r="C24" s="41" t="s">
        <v>40</v>
      </c>
      <c r="D24" s="42">
        <v>800</v>
      </c>
      <c r="E24" s="42">
        <v>700</v>
      </c>
      <c r="F24" s="43">
        <f>-100-100</f>
        <v>-200</v>
      </c>
      <c r="G24" s="38"/>
      <c r="H24" s="38"/>
      <c r="I24" s="38"/>
      <c r="J24" s="38"/>
      <c r="K24" s="4">
        <f t="shared" si="0"/>
        <v>500</v>
      </c>
      <c r="L24" s="103">
        <v>0</v>
      </c>
      <c r="M24" s="4">
        <f t="shared" si="1"/>
        <v>500</v>
      </c>
    </row>
    <row r="25" spans="1:13" ht="21" customHeight="1" x14ac:dyDescent="0.2">
      <c r="A25" s="483" t="s">
        <v>132</v>
      </c>
      <c r="B25" s="470" t="s">
        <v>4</v>
      </c>
      <c r="C25" s="126" t="s">
        <v>25</v>
      </c>
      <c r="D25" s="42">
        <v>0</v>
      </c>
      <c r="E25" s="42">
        <v>0</v>
      </c>
      <c r="F25" s="43"/>
      <c r="G25" s="38">
        <f>10589752+3250000</f>
        <v>13839752</v>
      </c>
      <c r="H25" s="38"/>
      <c r="I25" s="38"/>
      <c r="J25" s="38"/>
      <c r="K25" s="4">
        <f t="shared" si="0"/>
        <v>13839752</v>
      </c>
      <c r="L25" s="103">
        <v>13839752</v>
      </c>
      <c r="M25" s="4">
        <f t="shared" si="1"/>
        <v>0</v>
      </c>
    </row>
    <row r="26" spans="1:13" ht="21" customHeight="1" x14ac:dyDescent="0.2">
      <c r="A26" s="484"/>
      <c r="B26" s="471"/>
      <c r="C26" s="126" t="s">
        <v>37</v>
      </c>
      <c r="D26" s="42">
        <v>0</v>
      </c>
      <c r="E26" s="42">
        <v>0</v>
      </c>
      <c r="F26" s="43"/>
      <c r="G26" s="38">
        <v>49375989</v>
      </c>
      <c r="H26" s="38"/>
      <c r="I26" s="38"/>
      <c r="J26" s="38"/>
      <c r="K26" s="4">
        <f t="shared" si="0"/>
        <v>49375989</v>
      </c>
      <c r="L26" s="103">
        <v>49375989</v>
      </c>
      <c r="M26" s="4">
        <f t="shared" si="1"/>
        <v>0</v>
      </c>
    </row>
    <row r="27" spans="1:13" x14ac:dyDescent="0.2">
      <c r="A27" s="142" t="s">
        <v>29</v>
      </c>
      <c r="B27" s="97" t="s">
        <v>4</v>
      </c>
      <c r="C27" s="41" t="s">
        <v>25</v>
      </c>
      <c r="D27" s="51">
        <v>260269918</v>
      </c>
      <c r="E27" s="74">
        <v>260269918</v>
      </c>
      <c r="F27" s="43">
        <v>18753604</v>
      </c>
      <c r="G27" s="38"/>
      <c r="H27" s="38">
        <v>-1740637</v>
      </c>
      <c r="I27" s="38">
        <v>12252421</v>
      </c>
      <c r="J27" s="38"/>
      <c r="K27" s="4">
        <f t="shared" si="0"/>
        <v>289535306</v>
      </c>
      <c r="L27" s="103">
        <v>181920749</v>
      </c>
      <c r="M27" s="4">
        <f t="shared" si="1"/>
        <v>107614557</v>
      </c>
    </row>
    <row r="28" spans="1:13" x14ac:dyDescent="0.2">
      <c r="A28" s="142" t="s">
        <v>87</v>
      </c>
      <c r="B28" s="97" t="s">
        <v>4</v>
      </c>
      <c r="C28" s="41" t="s">
        <v>25</v>
      </c>
      <c r="D28" s="51">
        <v>3196558</v>
      </c>
      <c r="E28" s="51">
        <v>3196558</v>
      </c>
      <c r="F28" s="43"/>
      <c r="G28" s="38"/>
      <c r="H28" s="38"/>
      <c r="I28" s="38"/>
      <c r="J28" s="38"/>
      <c r="K28" s="4">
        <f t="shared" si="0"/>
        <v>3196558</v>
      </c>
      <c r="L28" s="103">
        <v>1392626</v>
      </c>
      <c r="M28" s="4">
        <f t="shared" si="1"/>
        <v>1803932</v>
      </c>
    </row>
    <row r="29" spans="1:13" x14ac:dyDescent="0.2">
      <c r="A29" s="143" t="s">
        <v>42</v>
      </c>
      <c r="B29" s="97" t="s">
        <v>4</v>
      </c>
      <c r="C29" s="41" t="s">
        <v>25</v>
      </c>
      <c r="D29" s="42">
        <v>47502672</v>
      </c>
      <c r="E29" s="42">
        <v>47502672</v>
      </c>
      <c r="F29" s="43"/>
      <c r="G29" s="38"/>
      <c r="H29" s="38"/>
      <c r="I29" s="38"/>
      <c r="J29" s="38"/>
      <c r="K29" s="4">
        <f t="shared" si="0"/>
        <v>47502672</v>
      </c>
      <c r="L29" s="103">
        <v>29700325</v>
      </c>
      <c r="M29" s="4">
        <f t="shared" si="1"/>
        <v>17802347</v>
      </c>
    </row>
    <row r="30" spans="1:13" ht="34.5" customHeight="1" x14ac:dyDescent="0.2">
      <c r="A30" s="479" t="s">
        <v>85</v>
      </c>
      <c r="B30" s="480"/>
      <c r="C30" s="481"/>
      <c r="D30" s="138">
        <f t="shared" ref="D30:M30" si="2">SUM(D6:D29)</f>
        <v>426209554</v>
      </c>
      <c r="E30" s="138">
        <f t="shared" si="2"/>
        <v>445617739</v>
      </c>
      <c r="F30" s="138">
        <f t="shared" si="2"/>
        <v>0</v>
      </c>
      <c r="G30" s="138">
        <f t="shared" si="2"/>
        <v>63215741</v>
      </c>
      <c r="H30" s="138">
        <f t="shared" si="2"/>
        <v>-1740637</v>
      </c>
      <c r="I30" s="138">
        <f t="shared" si="2"/>
        <v>12252421</v>
      </c>
      <c r="J30" s="138">
        <f t="shared" si="2"/>
        <v>50800</v>
      </c>
      <c r="K30" s="139">
        <f t="shared" si="2"/>
        <v>519396064</v>
      </c>
      <c r="L30" s="139">
        <f t="shared" si="2"/>
        <v>335965394</v>
      </c>
      <c r="M30" s="138">
        <f t="shared" si="2"/>
        <v>183430670</v>
      </c>
    </row>
    <row r="31" spans="1:13" x14ac:dyDescent="0.2">
      <c r="A31" s="339" t="s">
        <v>18</v>
      </c>
      <c r="B31" s="384" t="s">
        <v>1</v>
      </c>
      <c r="C31" s="41" t="s">
        <v>22</v>
      </c>
      <c r="D31" s="44">
        <v>24000</v>
      </c>
      <c r="E31" s="44">
        <v>24000</v>
      </c>
      <c r="F31" s="45"/>
      <c r="G31" s="38"/>
      <c r="H31" s="38"/>
      <c r="I31" s="38"/>
      <c r="J31" s="38"/>
      <c r="K31" s="4">
        <f t="shared" ref="K31:K90" si="3">SUM(E31:J31)</f>
        <v>24000</v>
      </c>
      <c r="L31" s="105"/>
      <c r="M31" s="4">
        <f t="shared" ref="M31:M90" si="4">K31-L31</f>
        <v>24000</v>
      </c>
    </row>
    <row r="32" spans="1:13" x14ac:dyDescent="0.2">
      <c r="A32" s="367"/>
      <c r="B32" s="385"/>
      <c r="C32" s="41" t="s">
        <v>89</v>
      </c>
      <c r="D32" s="38">
        <v>1870</v>
      </c>
      <c r="E32" s="38">
        <v>1870</v>
      </c>
      <c r="F32" s="40"/>
      <c r="G32" s="38"/>
      <c r="H32" s="38"/>
      <c r="I32" s="38"/>
      <c r="J32" s="38"/>
      <c r="K32" s="4">
        <f t="shared" si="3"/>
        <v>1870</v>
      </c>
      <c r="L32" s="105"/>
      <c r="M32" s="4">
        <f t="shared" si="4"/>
        <v>1870</v>
      </c>
    </row>
    <row r="33" spans="1:13" x14ac:dyDescent="0.2">
      <c r="A33" s="367"/>
      <c r="B33" s="385"/>
      <c r="C33" s="41" t="s">
        <v>10</v>
      </c>
      <c r="D33" s="38">
        <v>0</v>
      </c>
      <c r="E33" s="38">
        <v>0</v>
      </c>
      <c r="F33" s="40">
        <v>50000</v>
      </c>
      <c r="G33" s="38"/>
      <c r="H33" s="38"/>
      <c r="I33" s="38"/>
      <c r="J33" s="38"/>
      <c r="K33" s="4">
        <f t="shared" si="3"/>
        <v>50000</v>
      </c>
      <c r="L33" s="105">
        <v>50000</v>
      </c>
      <c r="M33" s="4">
        <f t="shared" si="4"/>
        <v>0</v>
      </c>
    </row>
    <row r="34" spans="1:13" x14ac:dyDescent="0.2">
      <c r="A34" s="367"/>
      <c r="B34" s="385"/>
      <c r="C34" s="39" t="s">
        <v>2</v>
      </c>
      <c r="D34" s="38">
        <v>17684057</v>
      </c>
      <c r="E34" s="38">
        <v>17574715</v>
      </c>
      <c r="F34" s="40">
        <f>-50000-31013-32266-8478</f>
        <v>-121757</v>
      </c>
      <c r="G34" s="38"/>
      <c r="H34" s="38"/>
      <c r="I34" s="38"/>
      <c r="J34" s="38"/>
      <c r="K34" s="4">
        <f t="shared" si="3"/>
        <v>17452958</v>
      </c>
      <c r="L34" s="105">
        <v>5381112</v>
      </c>
      <c r="M34" s="4">
        <f t="shared" si="4"/>
        <v>12071846</v>
      </c>
    </row>
    <row r="35" spans="1:13" x14ac:dyDescent="0.2">
      <c r="A35" s="367"/>
      <c r="B35" s="385"/>
      <c r="C35" s="39" t="s">
        <v>117</v>
      </c>
      <c r="D35" s="38">
        <v>0</v>
      </c>
      <c r="E35" s="38">
        <v>24420</v>
      </c>
      <c r="F35" s="40">
        <f>24420+24420</f>
        <v>48840</v>
      </c>
      <c r="G35" s="38"/>
      <c r="H35" s="38"/>
      <c r="I35" s="38"/>
      <c r="J35" s="38"/>
      <c r="K35" s="4">
        <f t="shared" si="3"/>
        <v>73260</v>
      </c>
      <c r="L35" s="105">
        <v>73260</v>
      </c>
      <c r="M35" s="4">
        <f t="shared" si="4"/>
        <v>0</v>
      </c>
    </row>
    <row r="36" spans="1:13" x14ac:dyDescent="0.2">
      <c r="A36" s="367"/>
      <c r="B36" s="385"/>
      <c r="C36" s="41" t="s">
        <v>11</v>
      </c>
      <c r="D36" s="38">
        <v>60264</v>
      </c>
      <c r="E36" s="38">
        <v>62186</v>
      </c>
      <c r="F36" s="40">
        <f>6593+8478+6593</f>
        <v>21664</v>
      </c>
      <c r="G36" s="38"/>
      <c r="H36" s="38"/>
      <c r="I36" s="38"/>
      <c r="J36" s="38">
        <v>10800</v>
      </c>
      <c r="K36" s="4">
        <f t="shared" si="3"/>
        <v>94650</v>
      </c>
      <c r="L36" s="105">
        <v>78990</v>
      </c>
      <c r="M36" s="4">
        <f t="shared" si="4"/>
        <v>15660</v>
      </c>
    </row>
    <row r="37" spans="1:13" x14ac:dyDescent="0.2">
      <c r="A37" s="367"/>
      <c r="B37" s="385"/>
      <c r="C37" s="41" t="s">
        <v>91</v>
      </c>
      <c r="D37" s="38">
        <v>0</v>
      </c>
      <c r="E37" s="38">
        <v>83000</v>
      </c>
      <c r="F37" s="40"/>
      <c r="G37" s="38"/>
      <c r="H37" s="38"/>
      <c r="I37" s="38"/>
      <c r="J37" s="38"/>
      <c r="K37" s="4">
        <f t="shared" si="3"/>
        <v>83000</v>
      </c>
      <c r="L37" s="105">
        <v>83000</v>
      </c>
      <c r="M37" s="4">
        <f t="shared" si="4"/>
        <v>0</v>
      </c>
    </row>
    <row r="38" spans="1:13" x14ac:dyDescent="0.2">
      <c r="A38" s="367"/>
      <c r="B38" s="386"/>
      <c r="C38" s="41" t="s">
        <v>12</v>
      </c>
      <c r="D38" s="38">
        <v>0</v>
      </c>
      <c r="E38" s="38">
        <v>0</v>
      </c>
      <c r="F38" s="40"/>
      <c r="G38" s="38"/>
      <c r="H38" s="38"/>
      <c r="I38" s="38"/>
      <c r="J38" s="38">
        <v>40000</v>
      </c>
      <c r="K38" s="4">
        <f t="shared" si="3"/>
        <v>40000</v>
      </c>
      <c r="L38" s="105">
        <v>40000</v>
      </c>
      <c r="M38" s="4">
        <f t="shared" si="4"/>
        <v>0</v>
      </c>
    </row>
    <row r="39" spans="1:13" x14ac:dyDescent="0.2">
      <c r="A39" s="367"/>
      <c r="B39" s="341" t="s">
        <v>4</v>
      </c>
      <c r="C39" s="41" t="s">
        <v>23</v>
      </c>
      <c r="D39" s="38">
        <v>2267</v>
      </c>
      <c r="E39" s="38">
        <v>2267</v>
      </c>
      <c r="F39" s="40">
        <v>1253</v>
      </c>
      <c r="G39" s="38"/>
      <c r="H39" s="38"/>
      <c r="I39" s="38"/>
      <c r="J39" s="38"/>
      <c r="K39" s="4">
        <f t="shared" si="3"/>
        <v>3520</v>
      </c>
      <c r="L39" s="133">
        <v>3520</v>
      </c>
      <c r="M39" s="120">
        <f t="shared" si="4"/>
        <v>0</v>
      </c>
    </row>
    <row r="40" spans="1:13" x14ac:dyDescent="0.2">
      <c r="A40" s="367"/>
      <c r="B40" s="383"/>
      <c r="C40" s="41" t="s">
        <v>5</v>
      </c>
      <c r="D40" s="42">
        <v>0</v>
      </c>
      <c r="E40" s="42">
        <v>0</v>
      </c>
      <c r="F40" s="45"/>
      <c r="G40" s="38"/>
      <c r="H40" s="38"/>
      <c r="I40" s="38"/>
      <c r="J40" s="38"/>
      <c r="K40" s="4">
        <f t="shared" si="3"/>
        <v>0</v>
      </c>
      <c r="L40" s="105">
        <v>0</v>
      </c>
      <c r="M40" s="4">
        <f t="shared" si="4"/>
        <v>0</v>
      </c>
    </row>
    <row r="41" spans="1:13" x14ac:dyDescent="0.2">
      <c r="A41" s="367"/>
      <c r="B41" s="383"/>
      <c r="C41" s="39" t="s">
        <v>3</v>
      </c>
      <c r="D41" s="38">
        <v>313437148</v>
      </c>
      <c r="E41" s="38">
        <v>332190752</v>
      </c>
      <c r="F41" s="43"/>
      <c r="G41" s="38"/>
      <c r="H41" s="38">
        <v>-1740637</v>
      </c>
      <c r="I41" s="38">
        <v>12252421</v>
      </c>
      <c r="J41" s="38"/>
      <c r="K41" s="4">
        <f t="shared" si="3"/>
        <v>342702536</v>
      </c>
      <c r="L41" s="105">
        <v>215480447</v>
      </c>
      <c r="M41" s="4">
        <f t="shared" si="4"/>
        <v>127222089</v>
      </c>
    </row>
    <row r="42" spans="1:13" x14ac:dyDescent="0.2">
      <c r="A42" s="339" t="s">
        <v>24</v>
      </c>
      <c r="B42" s="341" t="s">
        <v>4</v>
      </c>
      <c r="C42" s="41" t="s">
        <v>23</v>
      </c>
      <c r="D42" s="38">
        <v>7005263</v>
      </c>
      <c r="E42" s="38">
        <v>7005263</v>
      </c>
      <c r="F42" s="40"/>
      <c r="G42" s="38"/>
      <c r="H42" s="38"/>
      <c r="I42" s="38"/>
      <c r="J42" s="38"/>
      <c r="K42" s="4">
        <f t="shared" si="3"/>
        <v>7005263</v>
      </c>
      <c r="L42" s="105">
        <v>3579633</v>
      </c>
      <c r="M42" s="4">
        <f t="shared" si="4"/>
        <v>3425630</v>
      </c>
    </row>
    <row r="43" spans="1:13" x14ac:dyDescent="0.2">
      <c r="A43" s="340"/>
      <c r="B43" s="342"/>
      <c r="C43" s="41" t="s">
        <v>90</v>
      </c>
      <c r="D43" s="38">
        <v>4500000</v>
      </c>
      <c r="E43" s="38">
        <v>4500000</v>
      </c>
      <c r="F43" s="40"/>
      <c r="G43" s="38"/>
      <c r="H43" s="38"/>
      <c r="I43" s="38"/>
      <c r="J43" s="38"/>
      <c r="K43" s="4">
        <f t="shared" si="3"/>
        <v>4500000</v>
      </c>
      <c r="L43" s="105">
        <v>3967790</v>
      </c>
      <c r="M43" s="4">
        <f t="shared" si="4"/>
        <v>532210</v>
      </c>
    </row>
    <row r="44" spans="1:13" x14ac:dyDescent="0.2">
      <c r="A44" s="339" t="s">
        <v>30</v>
      </c>
      <c r="B44" s="341" t="s">
        <v>4</v>
      </c>
      <c r="C44" s="41" t="s">
        <v>23</v>
      </c>
      <c r="D44" s="38">
        <v>12736500</v>
      </c>
      <c r="E44" s="38">
        <v>12736500</v>
      </c>
      <c r="F44" s="40"/>
      <c r="G44" s="38"/>
      <c r="H44" s="38"/>
      <c r="I44" s="38"/>
      <c r="J44" s="38"/>
      <c r="K44" s="4">
        <f t="shared" si="3"/>
        <v>12736500</v>
      </c>
      <c r="L44" s="105">
        <v>5085209</v>
      </c>
      <c r="M44" s="4">
        <f t="shared" si="4"/>
        <v>7651291</v>
      </c>
    </row>
    <row r="45" spans="1:13" x14ac:dyDescent="0.2">
      <c r="A45" s="340"/>
      <c r="B45" s="342"/>
      <c r="C45" s="41" t="s">
        <v>5</v>
      </c>
      <c r="D45" s="38">
        <v>50000</v>
      </c>
      <c r="E45" s="38">
        <v>50000</v>
      </c>
      <c r="F45" s="40"/>
      <c r="G45" s="38"/>
      <c r="H45" s="38"/>
      <c r="I45" s="38"/>
      <c r="J45" s="38"/>
      <c r="K45" s="4">
        <f t="shared" si="3"/>
        <v>50000</v>
      </c>
      <c r="L45" s="105">
        <v>50000</v>
      </c>
      <c r="M45" s="4">
        <f t="shared" si="4"/>
        <v>0</v>
      </c>
    </row>
    <row r="46" spans="1:13" x14ac:dyDescent="0.2">
      <c r="A46" s="339" t="s">
        <v>138</v>
      </c>
      <c r="B46" s="368" t="s">
        <v>6</v>
      </c>
      <c r="C46" s="41" t="s">
        <v>23</v>
      </c>
      <c r="D46" s="42">
        <v>0</v>
      </c>
      <c r="E46" s="42">
        <v>0</v>
      </c>
      <c r="F46" s="45"/>
      <c r="G46" s="38"/>
      <c r="H46" s="38"/>
      <c r="I46" s="38"/>
      <c r="J46" s="38"/>
      <c r="K46" s="4">
        <f>SUM(E46:J46)</f>
        <v>0</v>
      </c>
      <c r="L46" s="105">
        <v>0</v>
      </c>
      <c r="M46" s="4">
        <f>K46-L46</f>
        <v>0</v>
      </c>
    </row>
    <row r="47" spans="1:13" x14ac:dyDescent="0.2">
      <c r="A47" s="358"/>
      <c r="B47" s="369"/>
      <c r="C47" s="39" t="s">
        <v>5</v>
      </c>
      <c r="D47" s="38">
        <v>16258950</v>
      </c>
      <c r="E47" s="38">
        <v>16258950</v>
      </c>
      <c r="F47" s="43"/>
      <c r="G47" s="38"/>
      <c r="H47" s="38"/>
      <c r="I47" s="38"/>
      <c r="J47" s="38"/>
      <c r="K47" s="4">
        <f>SUM(E47:J47)</f>
        <v>16258950</v>
      </c>
      <c r="L47" s="105">
        <v>9484387</v>
      </c>
      <c r="M47" s="4">
        <f>K47-L47</f>
        <v>6774563</v>
      </c>
    </row>
    <row r="48" spans="1:13" x14ac:dyDescent="0.2">
      <c r="A48" s="339" t="s">
        <v>48</v>
      </c>
      <c r="B48" s="368" t="s">
        <v>8</v>
      </c>
      <c r="C48" s="39" t="s">
        <v>7</v>
      </c>
      <c r="D48" s="38">
        <v>0</v>
      </c>
      <c r="E48" s="38">
        <v>0</v>
      </c>
      <c r="F48" s="43"/>
      <c r="G48" s="38"/>
      <c r="H48" s="38"/>
      <c r="I48" s="38"/>
      <c r="J48" s="38"/>
      <c r="K48" s="4">
        <f t="shared" si="3"/>
        <v>0</v>
      </c>
      <c r="L48" s="105">
        <v>0</v>
      </c>
      <c r="M48" s="4">
        <f t="shared" si="4"/>
        <v>0</v>
      </c>
    </row>
    <row r="49" spans="1:13" x14ac:dyDescent="0.2">
      <c r="A49" s="367"/>
      <c r="B49" s="369"/>
      <c r="C49" s="39" t="s">
        <v>9</v>
      </c>
      <c r="D49" s="38">
        <v>0</v>
      </c>
      <c r="E49" s="38">
        <v>0</v>
      </c>
      <c r="F49" s="43"/>
      <c r="G49" s="38"/>
      <c r="H49" s="38"/>
      <c r="I49" s="38"/>
      <c r="J49" s="38"/>
      <c r="K49" s="4">
        <f t="shared" si="3"/>
        <v>0</v>
      </c>
      <c r="L49" s="105">
        <v>0</v>
      </c>
      <c r="M49" s="4">
        <f t="shared" si="4"/>
        <v>0</v>
      </c>
    </row>
    <row r="50" spans="1:13" x14ac:dyDescent="0.2">
      <c r="A50" s="367"/>
      <c r="B50" s="369"/>
      <c r="C50" s="39" t="s">
        <v>10</v>
      </c>
      <c r="D50" s="38">
        <v>0</v>
      </c>
      <c r="E50" s="38">
        <v>0</v>
      </c>
      <c r="F50" s="40"/>
      <c r="G50" s="38"/>
      <c r="H50" s="38"/>
      <c r="I50" s="38"/>
      <c r="J50" s="38"/>
      <c r="K50" s="4">
        <f t="shared" si="3"/>
        <v>0</v>
      </c>
      <c r="L50" s="105">
        <v>0</v>
      </c>
      <c r="M50" s="4">
        <f t="shared" si="4"/>
        <v>0</v>
      </c>
    </row>
    <row r="51" spans="1:13" x14ac:dyDescent="0.2">
      <c r="A51" s="367"/>
      <c r="B51" s="369"/>
      <c r="C51" s="39" t="s">
        <v>2</v>
      </c>
      <c r="D51" s="38">
        <v>199713</v>
      </c>
      <c r="E51" s="38">
        <v>99713</v>
      </c>
      <c r="F51" s="43"/>
      <c r="G51" s="38"/>
      <c r="H51" s="38"/>
      <c r="I51" s="38"/>
      <c r="J51" s="38"/>
      <c r="K51" s="4">
        <f t="shared" si="3"/>
        <v>99713</v>
      </c>
      <c r="L51" s="105">
        <v>500</v>
      </c>
      <c r="M51" s="4">
        <f t="shared" si="4"/>
        <v>99213</v>
      </c>
    </row>
    <row r="52" spans="1:13" x14ac:dyDescent="0.2">
      <c r="A52" s="367"/>
      <c r="B52" s="369"/>
      <c r="C52" s="39" t="s">
        <v>11</v>
      </c>
      <c r="D52" s="38">
        <v>0</v>
      </c>
      <c r="E52" s="38">
        <v>0</v>
      </c>
      <c r="F52" s="40"/>
      <c r="G52" s="38"/>
      <c r="H52" s="38"/>
      <c r="I52" s="38"/>
      <c r="J52" s="38"/>
      <c r="K52" s="4">
        <f t="shared" si="3"/>
        <v>0</v>
      </c>
      <c r="L52" s="105">
        <v>0</v>
      </c>
      <c r="M52" s="4">
        <f t="shared" si="4"/>
        <v>0</v>
      </c>
    </row>
    <row r="53" spans="1:13" x14ac:dyDescent="0.2">
      <c r="A53" s="367"/>
      <c r="B53" s="369"/>
      <c r="C53" s="39" t="s">
        <v>12</v>
      </c>
      <c r="D53" s="38">
        <v>0</v>
      </c>
      <c r="E53" s="38">
        <v>100000</v>
      </c>
      <c r="F53" s="43"/>
      <c r="G53" s="38"/>
      <c r="H53" s="38"/>
      <c r="I53" s="38"/>
      <c r="J53" s="38"/>
      <c r="K53" s="4">
        <f t="shared" si="3"/>
        <v>100000</v>
      </c>
      <c r="L53" s="105">
        <v>100000</v>
      </c>
      <c r="M53" s="4">
        <f t="shared" si="4"/>
        <v>0</v>
      </c>
    </row>
    <row r="54" spans="1:13" x14ac:dyDescent="0.2">
      <c r="A54" s="367"/>
      <c r="B54" s="369"/>
      <c r="C54" s="41" t="s">
        <v>31</v>
      </c>
      <c r="D54" s="38">
        <v>0</v>
      </c>
      <c r="E54" s="38">
        <v>0</v>
      </c>
      <c r="F54" s="43"/>
      <c r="G54" s="38"/>
      <c r="H54" s="38"/>
      <c r="I54" s="38"/>
      <c r="J54" s="38"/>
      <c r="K54" s="4">
        <f t="shared" si="3"/>
        <v>0</v>
      </c>
      <c r="L54" s="105">
        <v>0</v>
      </c>
      <c r="M54" s="4">
        <f t="shared" si="4"/>
        <v>0</v>
      </c>
    </row>
    <row r="55" spans="1:13" x14ac:dyDescent="0.2">
      <c r="A55" s="367"/>
      <c r="B55" s="369"/>
      <c r="C55" s="41" t="s">
        <v>32</v>
      </c>
      <c r="D55" s="38">
        <v>0</v>
      </c>
      <c r="E55" s="38">
        <v>0</v>
      </c>
      <c r="F55" s="43"/>
      <c r="G55" s="38"/>
      <c r="H55" s="38"/>
      <c r="I55" s="38"/>
      <c r="J55" s="38"/>
      <c r="K55" s="4">
        <f t="shared" si="3"/>
        <v>0</v>
      </c>
      <c r="L55" s="105">
        <v>0</v>
      </c>
      <c r="M55" s="4">
        <f t="shared" si="4"/>
        <v>0</v>
      </c>
    </row>
    <row r="56" spans="1:13" x14ac:dyDescent="0.2">
      <c r="A56" s="367"/>
      <c r="B56" s="369"/>
      <c r="C56" s="39" t="s">
        <v>13</v>
      </c>
      <c r="D56" s="38">
        <v>0</v>
      </c>
      <c r="E56" s="38">
        <v>0</v>
      </c>
      <c r="F56" s="43"/>
      <c r="G56" s="38"/>
      <c r="H56" s="38"/>
      <c r="I56" s="38"/>
      <c r="J56" s="38"/>
      <c r="K56" s="4">
        <f t="shared" si="3"/>
        <v>0</v>
      </c>
      <c r="L56" s="105">
        <v>0</v>
      </c>
      <c r="M56" s="4">
        <f t="shared" si="4"/>
        <v>0</v>
      </c>
    </row>
    <row r="57" spans="1:13" x14ac:dyDescent="0.2">
      <c r="A57" s="367"/>
      <c r="B57" s="369"/>
      <c r="C57" s="39" t="s">
        <v>14</v>
      </c>
      <c r="D57" s="38">
        <v>0</v>
      </c>
      <c r="E57" s="38">
        <v>0</v>
      </c>
      <c r="F57" s="43"/>
      <c r="G57" s="38"/>
      <c r="H57" s="38"/>
      <c r="I57" s="38"/>
      <c r="J57" s="38"/>
      <c r="K57" s="4">
        <f t="shared" si="3"/>
        <v>0</v>
      </c>
      <c r="L57" s="105">
        <v>0</v>
      </c>
      <c r="M57" s="4">
        <f t="shared" si="4"/>
        <v>0</v>
      </c>
    </row>
    <row r="58" spans="1:13" x14ac:dyDescent="0.2">
      <c r="A58" s="367"/>
      <c r="B58" s="369"/>
      <c r="C58" s="39" t="s">
        <v>15</v>
      </c>
      <c r="D58" s="38">
        <v>0</v>
      </c>
      <c r="E58" s="38">
        <v>0</v>
      </c>
      <c r="F58" s="43"/>
      <c r="G58" s="38"/>
      <c r="H58" s="38"/>
      <c r="I58" s="38"/>
      <c r="J58" s="38"/>
      <c r="K58" s="4">
        <f t="shared" si="3"/>
        <v>0</v>
      </c>
      <c r="L58" s="105">
        <v>0</v>
      </c>
      <c r="M58" s="4">
        <f t="shared" si="4"/>
        <v>0</v>
      </c>
    </row>
    <row r="59" spans="1:13" x14ac:dyDescent="0.2">
      <c r="A59" s="367"/>
      <c r="B59" s="369"/>
      <c r="C59" s="39" t="s">
        <v>16</v>
      </c>
      <c r="D59" s="38">
        <v>0</v>
      </c>
      <c r="E59" s="38">
        <v>0</v>
      </c>
      <c r="F59" s="43"/>
      <c r="G59" s="38"/>
      <c r="H59" s="38"/>
      <c r="I59" s="38"/>
      <c r="J59" s="38"/>
      <c r="K59" s="4">
        <f t="shared" si="3"/>
        <v>0</v>
      </c>
      <c r="L59" s="105">
        <v>0</v>
      </c>
      <c r="M59" s="4">
        <f t="shared" si="4"/>
        <v>0</v>
      </c>
    </row>
    <row r="60" spans="1:13" x14ac:dyDescent="0.2">
      <c r="A60" s="339" t="s">
        <v>49</v>
      </c>
      <c r="B60" s="144" t="s">
        <v>1</v>
      </c>
      <c r="C60" s="39" t="s">
        <v>2</v>
      </c>
      <c r="D60" s="39">
        <v>0</v>
      </c>
      <c r="E60" s="38">
        <v>8</v>
      </c>
      <c r="F60" s="43"/>
      <c r="G60" s="38"/>
      <c r="H60" s="38"/>
      <c r="I60" s="38"/>
      <c r="J60" s="38"/>
      <c r="K60" s="4">
        <f t="shared" si="3"/>
        <v>8</v>
      </c>
      <c r="L60" s="105">
        <v>8</v>
      </c>
      <c r="M60" s="4">
        <f t="shared" si="4"/>
        <v>0</v>
      </c>
    </row>
    <row r="61" spans="1:13" ht="12.75" customHeight="1" x14ac:dyDescent="0.2">
      <c r="A61" s="367"/>
      <c r="B61" s="392" t="s">
        <v>17</v>
      </c>
      <c r="C61" s="39" t="s">
        <v>7</v>
      </c>
      <c r="D61" s="38">
        <v>970000</v>
      </c>
      <c r="E61" s="38">
        <v>970000</v>
      </c>
      <c r="F61" s="40"/>
      <c r="G61" s="38"/>
      <c r="H61" s="38"/>
      <c r="I61" s="38"/>
      <c r="J61" s="38"/>
      <c r="K61" s="4">
        <f t="shared" si="3"/>
        <v>970000</v>
      </c>
      <c r="L61" s="105">
        <v>560000</v>
      </c>
      <c r="M61" s="4">
        <f t="shared" si="4"/>
        <v>410000</v>
      </c>
    </row>
    <row r="62" spans="1:13" x14ac:dyDescent="0.2">
      <c r="A62" s="367"/>
      <c r="B62" s="392"/>
      <c r="C62" s="41" t="s">
        <v>88</v>
      </c>
      <c r="D62" s="38">
        <v>10791000</v>
      </c>
      <c r="E62" s="38">
        <v>10791000</v>
      </c>
      <c r="F62" s="40"/>
      <c r="G62" s="38"/>
      <c r="H62" s="38"/>
      <c r="I62" s="38"/>
      <c r="J62" s="38"/>
      <c r="K62" s="4">
        <f t="shared" si="3"/>
        <v>10791000</v>
      </c>
      <c r="L62" s="105">
        <v>736000</v>
      </c>
      <c r="M62" s="4">
        <f t="shared" si="4"/>
        <v>10055000</v>
      </c>
    </row>
    <row r="63" spans="1:13" x14ac:dyDescent="0.2">
      <c r="A63" s="367"/>
      <c r="B63" s="392"/>
      <c r="C63" s="39" t="s">
        <v>9</v>
      </c>
      <c r="D63" s="38">
        <v>3112282</v>
      </c>
      <c r="E63" s="38">
        <v>3112282</v>
      </c>
      <c r="F63" s="40"/>
      <c r="G63" s="38"/>
      <c r="H63" s="38"/>
      <c r="I63" s="38"/>
      <c r="J63" s="38"/>
      <c r="K63" s="4">
        <f t="shared" si="3"/>
        <v>3112282</v>
      </c>
      <c r="L63" s="105">
        <v>107800</v>
      </c>
      <c r="M63" s="4">
        <f t="shared" si="4"/>
        <v>3004482</v>
      </c>
    </row>
    <row r="64" spans="1:13" x14ac:dyDescent="0.2">
      <c r="A64" s="367"/>
      <c r="B64" s="392"/>
      <c r="C64" s="41" t="s">
        <v>22</v>
      </c>
      <c r="D64" s="38">
        <v>230000</v>
      </c>
      <c r="E64" s="38">
        <v>230000</v>
      </c>
      <c r="F64" s="40"/>
      <c r="G64" s="38"/>
      <c r="H64" s="38"/>
      <c r="I64" s="38"/>
      <c r="J64" s="38"/>
      <c r="K64" s="4">
        <f t="shared" si="3"/>
        <v>230000</v>
      </c>
      <c r="L64" s="105">
        <v>0</v>
      </c>
      <c r="M64" s="4">
        <f t="shared" si="4"/>
        <v>230000</v>
      </c>
    </row>
    <row r="65" spans="1:13" x14ac:dyDescent="0.2">
      <c r="A65" s="367"/>
      <c r="B65" s="392"/>
      <c r="C65" s="41" t="s">
        <v>33</v>
      </c>
      <c r="D65" s="38">
        <v>72000</v>
      </c>
      <c r="E65" s="38">
        <v>72000</v>
      </c>
      <c r="F65" s="40"/>
      <c r="G65" s="38"/>
      <c r="H65" s="38"/>
      <c r="I65" s="38"/>
      <c r="J65" s="38"/>
      <c r="K65" s="4">
        <f t="shared" si="3"/>
        <v>72000</v>
      </c>
      <c r="L65" s="105">
        <v>0</v>
      </c>
      <c r="M65" s="4">
        <f t="shared" si="4"/>
        <v>72000</v>
      </c>
    </row>
    <row r="66" spans="1:13" x14ac:dyDescent="0.2">
      <c r="A66" s="367"/>
      <c r="B66" s="392"/>
      <c r="C66" s="41" t="s">
        <v>34</v>
      </c>
      <c r="D66" s="38">
        <v>230000</v>
      </c>
      <c r="E66" s="38">
        <v>230000</v>
      </c>
      <c r="F66" s="40"/>
      <c r="G66" s="38"/>
      <c r="H66" s="38"/>
      <c r="I66" s="38"/>
      <c r="J66" s="38"/>
      <c r="K66" s="4">
        <f t="shared" si="3"/>
        <v>230000</v>
      </c>
      <c r="L66" s="105">
        <v>0</v>
      </c>
      <c r="M66" s="4">
        <f t="shared" si="4"/>
        <v>230000</v>
      </c>
    </row>
    <row r="67" spans="1:13" x14ac:dyDescent="0.2">
      <c r="A67" s="367"/>
      <c r="B67" s="392"/>
      <c r="C67" s="41" t="s">
        <v>10</v>
      </c>
      <c r="D67" s="38">
        <v>8009100</v>
      </c>
      <c r="E67" s="38">
        <v>8009100</v>
      </c>
      <c r="F67" s="40"/>
      <c r="G67" s="38"/>
      <c r="H67" s="38"/>
      <c r="I67" s="38"/>
      <c r="J67" s="38"/>
      <c r="K67" s="4">
        <f t="shared" si="3"/>
        <v>8009100</v>
      </c>
      <c r="L67" s="105">
        <v>750000</v>
      </c>
      <c r="M67" s="4">
        <f t="shared" si="4"/>
        <v>7259100</v>
      </c>
    </row>
    <row r="68" spans="1:13" x14ac:dyDescent="0.2">
      <c r="A68" s="367"/>
      <c r="B68" s="392"/>
      <c r="C68" s="41" t="s">
        <v>2</v>
      </c>
      <c r="D68" s="38">
        <v>14000000</v>
      </c>
      <c r="E68" s="38">
        <v>13999992</v>
      </c>
      <c r="F68" s="40"/>
      <c r="G68" s="38"/>
      <c r="H68" s="38"/>
      <c r="I68" s="38"/>
      <c r="J68" s="38"/>
      <c r="K68" s="4">
        <f t="shared" si="3"/>
        <v>13999992</v>
      </c>
      <c r="L68" s="105">
        <v>2436000</v>
      </c>
      <c r="M68" s="4">
        <f t="shared" si="4"/>
        <v>11563992</v>
      </c>
    </row>
    <row r="69" spans="1:13" x14ac:dyDescent="0.2">
      <c r="A69" s="367"/>
      <c r="B69" s="392"/>
      <c r="C69" s="41" t="s">
        <v>35</v>
      </c>
      <c r="D69" s="38">
        <v>292100</v>
      </c>
      <c r="E69" s="38">
        <v>292100</v>
      </c>
      <c r="F69" s="40"/>
      <c r="G69" s="38"/>
      <c r="H69" s="38"/>
      <c r="I69" s="38"/>
      <c r="J69" s="38"/>
      <c r="K69" s="4">
        <f t="shared" si="3"/>
        <v>292100</v>
      </c>
      <c r="L69" s="105">
        <v>0</v>
      </c>
      <c r="M69" s="4">
        <f t="shared" si="4"/>
        <v>292100</v>
      </c>
    </row>
    <row r="70" spans="1:13" x14ac:dyDescent="0.2">
      <c r="A70" s="367"/>
      <c r="B70" s="392"/>
      <c r="C70" s="41" t="s">
        <v>11</v>
      </c>
      <c r="D70" s="38">
        <v>5127921</v>
      </c>
      <c r="E70" s="38">
        <v>5127921</v>
      </c>
      <c r="F70" s="40"/>
      <c r="G70" s="38"/>
      <c r="H70" s="38"/>
      <c r="I70" s="38"/>
      <c r="J70" s="38"/>
      <c r="K70" s="4">
        <f t="shared" si="3"/>
        <v>5127921</v>
      </c>
      <c r="L70" s="105">
        <v>657720</v>
      </c>
      <c r="M70" s="4">
        <f t="shared" si="4"/>
        <v>4470201</v>
      </c>
    </row>
    <row r="71" spans="1:13" x14ac:dyDescent="0.2">
      <c r="A71" s="367"/>
      <c r="B71" s="392"/>
      <c r="C71" s="41" t="s">
        <v>12</v>
      </c>
      <c r="D71" s="38">
        <v>229492</v>
      </c>
      <c r="E71" s="38">
        <v>229492</v>
      </c>
      <c r="F71" s="40"/>
      <c r="G71" s="38"/>
      <c r="H71" s="38"/>
      <c r="I71" s="38"/>
      <c r="J71" s="38"/>
      <c r="K71" s="4">
        <f t="shared" si="3"/>
        <v>229492</v>
      </c>
      <c r="L71" s="105">
        <v>1900</v>
      </c>
      <c r="M71" s="4">
        <f t="shared" si="4"/>
        <v>227592</v>
      </c>
    </row>
    <row r="72" spans="1:13" x14ac:dyDescent="0.2">
      <c r="A72" s="367"/>
      <c r="B72" s="392"/>
      <c r="C72" s="41" t="s">
        <v>36</v>
      </c>
      <c r="D72" s="38">
        <v>0</v>
      </c>
      <c r="E72" s="38">
        <v>0</v>
      </c>
      <c r="F72" s="40"/>
      <c r="G72" s="38"/>
      <c r="H72" s="38"/>
      <c r="I72" s="38"/>
      <c r="J72" s="38"/>
      <c r="K72" s="4">
        <f t="shared" si="3"/>
        <v>0</v>
      </c>
      <c r="L72" s="105">
        <v>0</v>
      </c>
      <c r="M72" s="4">
        <f t="shared" si="4"/>
        <v>0</v>
      </c>
    </row>
    <row r="73" spans="1:13" x14ac:dyDescent="0.2">
      <c r="A73" s="367"/>
      <c r="B73" s="392"/>
      <c r="C73" s="41" t="s">
        <v>31</v>
      </c>
      <c r="D73" s="38">
        <v>388897</v>
      </c>
      <c r="E73" s="38">
        <v>704400</v>
      </c>
      <c r="F73" s="40"/>
      <c r="G73" s="38"/>
      <c r="H73" s="38"/>
      <c r="I73" s="38"/>
      <c r="J73" s="38"/>
      <c r="K73" s="4">
        <f t="shared" si="3"/>
        <v>704400</v>
      </c>
      <c r="L73" s="105">
        <v>704400</v>
      </c>
      <c r="M73" s="4">
        <f t="shared" si="4"/>
        <v>0</v>
      </c>
    </row>
    <row r="74" spans="1:13" x14ac:dyDescent="0.2">
      <c r="A74" s="367"/>
      <c r="B74" s="392"/>
      <c r="C74" s="41" t="s">
        <v>32</v>
      </c>
      <c r="D74" s="38">
        <v>0</v>
      </c>
      <c r="E74" s="38">
        <v>1818096</v>
      </c>
      <c r="F74" s="40"/>
      <c r="G74" s="38"/>
      <c r="H74" s="38"/>
      <c r="I74" s="38"/>
      <c r="J74" s="38"/>
      <c r="K74" s="4">
        <f t="shared" si="3"/>
        <v>1818096</v>
      </c>
      <c r="L74" s="105">
        <v>1818096</v>
      </c>
      <c r="M74" s="4">
        <f t="shared" si="4"/>
        <v>0</v>
      </c>
    </row>
    <row r="75" spans="1:13" x14ac:dyDescent="0.2">
      <c r="A75" s="367"/>
      <c r="B75" s="392"/>
      <c r="C75" s="41" t="s">
        <v>13</v>
      </c>
      <c r="D75" s="38">
        <v>4296741</v>
      </c>
      <c r="E75" s="38">
        <v>2678560</v>
      </c>
      <c r="F75" s="40"/>
      <c r="G75" s="38"/>
      <c r="H75" s="38"/>
      <c r="I75" s="38"/>
      <c r="J75" s="38"/>
      <c r="K75" s="4">
        <f t="shared" si="3"/>
        <v>2678560</v>
      </c>
      <c r="L75" s="105">
        <v>2568661</v>
      </c>
      <c r="M75" s="4">
        <f t="shared" si="4"/>
        <v>109899</v>
      </c>
    </row>
    <row r="76" spans="1:13" x14ac:dyDescent="0.2">
      <c r="A76" s="367"/>
      <c r="B76" s="392"/>
      <c r="C76" s="41" t="s">
        <v>14</v>
      </c>
      <c r="D76" s="38">
        <v>1265122</v>
      </c>
      <c r="E76" s="38">
        <v>1404285</v>
      </c>
      <c r="F76" s="40"/>
      <c r="G76" s="38"/>
      <c r="H76" s="38"/>
      <c r="I76" s="38"/>
      <c r="J76" s="38"/>
      <c r="K76" s="4">
        <f t="shared" si="3"/>
        <v>1404285</v>
      </c>
      <c r="L76" s="105">
        <v>1374613</v>
      </c>
      <c r="M76" s="4">
        <f t="shared" si="4"/>
        <v>29672</v>
      </c>
    </row>
    <row r="77" spans="1:13" x14ac:dyDescent="0.2">
      <c r="A77" s="367"/>
      <c r="B77" s="392"/>
      <c r="C77" s="41" t="s">
        <v>15</v>
      </c>
      <c r="D77" s="38">
        <v>4121943</v>
      </c>
      <c r="E77" s="38">
        <v>4121943</v>
      </c>
      <c r="F77" s="40"/>
      <c r="G77" s="38"/>
      <c r="H77" s="38"/>
      <c r="I77" s="38"/>
      <c r="J77" s="38"/>
      <c r="K77" s="4">
        <f t="shared" si="3"/>
        <v>4121943</v>
      </c>
      <c r="L77" s="105">
        <v>2828729</v>
      </c>
      <c r="M77" s="4">
        <f t="shared" si="4"/>
        <v>1293214</v>
      </c>
    </row>
    <row r="78" spans="1:13" x14ac:dyDescent="0.2">
      <c r="A78" s="340"/>
      <c r="B78" s="392"/>
      <c r="C78" s="41" t="s">
        <v>16</v>
      </c>
      <c r="D78" s="38">
        <v>1112924</v>
      </c>
      <c r="E78" s="38">
        <v>1112924</v>
      </c>
      <c r="F78" s="40"/>
      <c r="G78" s="38"/>
      <c r="H78" s="38"/>
      <c r="I78" s="38"/>
      <c r="J78" s="38"/>
      <c r="K78" s="4">
        <f t="shared" si="3"/>
        <v>1112924</v>
      </c>
      <c r="L78" s="105">
        <v>493942</v>
      </c>
      <c r="M78" s="4">
        <f t="shared" si="4"/>
        <v>618982</v>
      </c>
    </row>
    <row r="79" spans="1:13" ht="16.5" customHeight="1" x14ac:dyDescent="0.2">
      <c r="A79" s="476" t="s">
        <v>127</v>
      </c>
      <c r="B79" s="470" t="s">
        <v>128</v>
      </c>
      <c r="C79" s="131" t="s">
        <v>7</v>
      </c>
      <c r="D79" s="42">
        <v>0</v>
      </c>
      <c r="E79" s="42">
        <v>0</v>
      </c>
      <c r="F79" s="43">
        <v>2611378</v>
      </c>
      <c r="G79" s="38">
        <v>2662762</v>
      </c>
      <c r="H79" s="38"/>
      <c r="I79" s="38"/>
      <c r="J79" s="38"/>
      <c r="K79" s="4">
        <f t="shared" si="3"/>
        <v>5274140</v>
      </c>
      <c r="L79" s="105">
        <v>500000</v>
      </c>
      <c r="M79" s="4">
        <f t="shared" si="4"/>
        <v>4774140</v>
      </c>
    </row>
    <row r="80" spans="1:13" x14ac:dyDescent="0.2">
      <c r="A80" s="477"/>
      <c r="B80" s="475"/>
      <c r="C80" s="131" t="s">
        <v>9</v>
      </c>
      <c r="D80" s="42">
        <v>0</v>
      </c>
      <c r="E80" s="42">
        <v>0</v>
      </c>
      <c r="F80" s="43">
        <v>459281</v>
      </c>
      <c r="G80" s="38">
        <v>519238</v>
      </c>
      <c r="H80" s="38"/>
      <c r="I80" s="38"/>
      <c r="J80" s="38"/>
      <c r="K80" s="4">
        <f t="shared" si="3"/>
        <v>978519</v>
      </c>
      <c r="L80" s="105">
        <v>87500</v>
      </c>
      <c r="M80" s="4">
        <f t="shared" si="4"/>
        <v>891019</v>
      </c>
    </row>
    <row r="81" spans="1:13" x14ac:dyDescent="0.2">
      <c r="A81" s="477"/>
      <c r="B81" s="475"/>
      <c r="C81" s="131" t="s">
        <v>22</v>
      </c>
      <c r="D81" s="42">
        <v>0</v>
      </c>
      <c r="E81" s="42">
        <v>0</v>
      </c>
      <c r="F81" s="43">
        <v>2756</v>
      </c>
      <c r="G81" s="38">
        <v>0</v>
      </c>
      <c r="H81" s="38"/>
      <c r="I81" s="38"/>
      <c r="J81" s="38"/>
      <c r="K81" s="4">
        <f t="shared" si="3"/>
        <v>2756</v>
      </c>
      <c r="L81" s="105">
        <v>2756</v>
      </c>
      <c r="M81" s="4">
        <f t="shared" si="4"/>
        <v>0</v>
      </c>
    </row>
    <row r="82" spans="1:13" x14ac:dyDescent="0.2">
      <c r="A82" s="477"/>
      <c r="B82" s="475"/>
      <c r="C82" s="131" t="s">
        <v>34</v>
      </c>
      <c r="D82" s="42">
        <v>0</v>
      </c>
      <c r="E82" s="42">
        <v>0</v>
      </c>
      <c r="F82" s="43"/>
      <c r="G82" s="38">
        <v>1248000</v>
      </c>
      <c r="H82" s="38"/>
      <c r="I82" s="38"/>
      <c r="J82" s="38"/>
      <c r="K82" s="4">
        <f t="shared" si="3"/>
        <v>1248000</v>
      </c>
      <c r="L82" s="105">
        <v>0</v>
      </c>
      <c r="M82" s="4">
        <f t="shared" si="4"/>
        <v>1248000</v>
      </c>
    </row>
    <row r="83" spans="1:13" x14ac:dyDescent="0.2">
      <c r="A83" s="477"/>
      <c r="B83" s="475"/>
      <c r="C83" s="131" t="s">
        <v>2</v>
      </c>
      <c r="D83" s="42">
        <v>0</v>
      </c>
      <c r="E83" s="42">
        <v>0</v>
      </c>
      <c r="F83" s="43">
        <f>-3076859-40000</f>
        <v>-3116859</v>
      </c>
      <c r="G83" s="38">
        <f>3250000+6159752</f>
        <v>9409752</v>
      </c>
      <c r="H83" s="38"/>
      <c r="I83" s="38"/>
      <c r="J83" s="38"/>
      <c r="K83" s="4">
        <f t="shared" si="3"/>
        <v>6292893</v>
      </c>
      <c r="L83" s="105">
        <v>3250000</v>
      </c>
      <c r="M83" s="4">
        <f t="shared" si="4"/>
        <v>3042893</v>
      </c>
    </row>
    <row r="84" spans="1:13" x14ac:dyDescent="0.2">
      <c r="A84" s="477"/>
      <c r="B84" s="475"/>
      <c r="C84" s="131" t="s">
        <v>11</v>
      </c>
      <c r="D84" s="42">
        <v>0</v>
      </c>
      <c r="E84" s="42">
        <v>0</v>
      </c>
      <c r="F84" s="43">
        <v>3444</v>
      </c>
      <c r="G84" s="38"/>
      <c r="H84" s="38"/>
      <c r="I84" s="38"/>
      <c r="J84" s="38"/>
      <c r="K84" s="4">
        <f t="shared" si="3"/>
        <v>3444</v>
      </c>
      <c r="L84" s="105">
        <v>744</v>
      </c>
      <c r="M84" s="4">
        <f t="shared" si="4"/>
        <v>2700</v>
      </c>
    </row>
    <row r="85" spans="1:13" x14ac:dyDescent="0.2">
      <c r="A85" s="477"/>
      <c r="B85" s="475"/>
      <c r="C85" s="131" t="s">
        <v>12</v>
      </c>
      <c r="D85" s="42">
        <v>0</v>
      </c>
      <c r="E85" s="42">
        <v>0</v>
      </c>
      <c r="F85" s="43">
        <v>40000</v>
      </c>
      <c r="G85" s="38"/>
      <c r="H85" s="38"/>
      <c r="I85" s="38"/>
      <c r="J85" s="38"/>
      <c r="K85" s="4">
        <f t="shared" si="3"/>
        <v>40000</v>
      </c>
      <c r="L85" s="105">
        <v>0</v>
      </c>
      <c r="M85" s="4">
        <f t="shared" si="4"/>
        <v>40000</v>
      </c>
    </row>
    <row r="86" spans="1:13" x14ac:dyDescent="0.2">
      <c r="A86" s="477"/>
      <c r="B86" s="475"/>
      <c r="C86" s="131" t="s">
        <v>31</v>
      </c>
      <c r="D86" s="42">
        <v>0</v>
      </c>
      <c r="E86" s="42">
        <v>0</v>
      </c>
      <c r="F86" s="43"/>
      <c r="G86" s="38">
        <v>262453</v>
      </c>
      <c r="H86" s="38"/>
      <c r="I86" s="38"/>
      <c r="J86" s="38"/>
      <c r="K86" s="4">
        <f t="shared" si="3"/>
        <v>262453</v>
      </c>
      <c r="L86" s="105">
        <v>0</v>
      </c>
      <c r="M86" s="4">
        <f t="shared" si="4"/>
        <v>262453</v>
      </c>
    </row>
    <row r="87" spans="1:13" ht="13.5" customHeight="1" x14ac:dyDescent="0.2">
      <c r="A87" s="477"/>
      <c r="B87" s="475"/>
      <c r="C87" s="131" t="s">
        <v>13</v>
      </c>
      <c r="D87" s="42">
        <v>0</v>
      </c>
      <c r="E87" s="42">
        <v>0</v>
      </c>
      <c r="F87" s="43"/>
      <c r="G87" s="38">
        <v>8077000</v>
      </c>
      <c r="H87" s="38"/>
      <c r="I87" s="38"/>
      <c r="J87" s="38"/>
      <c r="K87" s="4">
        <f t="shared" si="3"/>
        <v>8077000</v>
      </c>
      <c r="L87" s="105">
        <v>0</v>
      </c>
      <c r="M87" s="4">
        <f t="shared" si="4"/>
        <v>8077000</v>
      </c>
    </row>
    <row r="88" spans="1:13" ht="13.5" customHeight="1" x14ac:dyDescent="0.2">
      <c r="A88" s="477"/>
      <c r="B88" s="475"/>
      <c r="C88" s="131" t="s">
        <v>14</v>
      </c>
      <c r="D88" s="42">
        <v>0</v>
      </c>
      <c r="E88" s="42">
        <v>0</v>
      </c>
      <c r="F88" s="43"/>
      <c r="G88" s="38">
        <v>2251652</v>
      </c>
      <c r="H88" s="38"/>
      <c r="I88" s="38"/>
      <c r="J88" s="38"/>
      <c r="K88" s="4">
        <f t="shared" si="3"/>
        <v>2251652</v>
      </c>
      <c r="L88" s="105">
        <v>0</v>
      </c>
      <c r="M88" s="4">
        <f t="shared" si="4"/>
        <v>2251652</v>
      </c>
    </row>
    <row r="89" spans="1:13" x14ac:dyDescent="0.2">
      <c r="A89" s="477"/>
      <c r="B89" s="475"/>
      <c r="C89" s="131" t="s">
        <v>15</v>
      </c>
      <c r="D89" s="42">
        <v>0</v>
      </c>
      <c r="E89" s="42">
        <v>0</v>
      </c>
      <c r="F89" s="43"/>
      <c r="G89" s="38">
        <v>30539278</v>
      </c>
      <c r="H89" s="38"/>
      <c r="I89" s="38"/>
      <c r="J89" s="38"/>
      <c r="K89" s="4">
        <f t="shared" si="3"/>
        <v>30539278</v>
      </c>
      <c r="L89" s="105">
        <v>0</v>
      </c>
      <c r="M89" s="4">
        <f t="shared" si="4"/>
        <v>30539278</v>
      </c>
    </row>
    <row r="90" spans="1:13" x14ac:dyDescent="0.2">
      <c r="A90" s="478"/>
      <c r="B90" s="471"/>
      <c r="C90" s="131" t="s">
        <v>16</v>
      </c>
      <c r="D90" s="42">
        <v>0</v>
      </c>
      <c r="E90" s="42">
        <v>0</v>
      </c>
      <c r="F90" s="43"/>
      <c r="G90" s="38">
        <v>8245606</v>
      </c>
      <c r="H90" s="38"/>
      <c r="I90" s="38"/>
      <c r="J90" s="38"/>
      <c r="K90" s="4">
        <f t="shared" si="3"/>
        <v>8245606</v>
      </c>
      <c r="L90" s="105">
        <v>0</v>
      </c>
      <c r="M90" s="4">
        <f t="shared" si="4"/>
        <v>8245606</v>
      </c>
    </row>
    <row r="91" spans="1:13" ht="23.25" customHeight="1" x14ac:dyDescent="0.2">
      <c r="A91" s="479" t="s">
        <v>86</v>
      </c>
      <c r="B91" s="480"/>
      <c r="C91" s="481"/>
      <c r="D91" s="138">
        <f t="shared" ref="D91:M91" si="5">SUM(D31:D90)</f>
        <v>426209554</v>
      </c>
      <c r="E91" s="138">
        <f t="shared" si="5"/>
        <v>445617739</v>
      </c>
      <c r="F91" s="138">
        <f t="shared" si="5"/>
        <v>0</v>
      </c>
      <c r="G91" s="138">
        <f t="shared" si="5"/>
        <v>63215741</v>
      </c>
      <c r="H91" s="138">
        <f t="shared" si="5"/>
        <v>-1740637</v>
      </c>
      <c r="I91" s="138">
        <f t="shared" si="5"/>
        <v>12252421</v>
      </c>
      <c r="J91" s="138">
        <f t="shared" si="5"/>
        <v>50800</v>
      </c>
      <c r="K91" s="138">
        <f t="shared" si="5"/>
        <v>519396064</v>
      </c>
      <c r="L91" s="138">
        <f t="shared" si="5"/>
        <v>262336717</v>
      </c>
      <c r="M91" s="138">
        <f t="shared" si="5"/>
        <v>257059347</v>
      </c>
    </row>
    <row r="92" spans="1:13" x14ac:dyDescent="0.2">
      <c r="F92" s="2"/>
    </row>
    <row r="93" spans="1:13" x14ac:dyDescent="0.2">
      <c r="F93" s="2"/>
    </row>
    <row r="94" spans="1:13" x14ac:dyDescent="0.2">
      <c r="F94" s="2"/>
    </row>
    <row r="95" spans="1:13" ht="15.75" x14ac:dyDescent="0.25">
      <c r="A95" s="64" t="s">
        <v>140</v>
      </c>
      <c r="F95" s="2"/>
    </row>
    <row r="96" spans="1:13" x14ac:dyDescent="0.2">
      <c r="G96" s="73"/>
      <c r="H96" s="73"/>
      <c r="M96" s="55"/>
    </row>
    <row r="97" spans="1:13" s="85" customFormat="1" ht="48.75" customHeight="1" x14ac:dyDescent="0.2">
      <c r="A97" s="387" t="s">
        <v>101</v>
      </c>
      <c r="B97" s="388"/>
      <c r="C97" s="84" t="s">
        <v>44</v>
      </c>
      <c r="D97" s="86" t="s">
        <v>21</v>
      </c>
      <c r="E97" s="86" t="s">
        <v>112</v>
      </c>
      <c r="F97" s="87" t="s">
        <v>43</v>
      </c>
      <c r="G97" s="100" t="s">
        <v>126</v>
      </c>
      <c r="H97" s="100" t="s">
        <v>163</v>
      </c>
      <c r="I97" s="100" t="s">
        <v>144</v>
      </c>
      <c r="J97" s="100" t="s">
        <v>141</v>
      </c>
      <c r="K97" s="86" t="s">
        <v>142</v>
      </c>
      <c r="L97" s="106" t="s">
        <v>135</v>
      </c>
    </row>
    <row r="98" spans="1:13" x14ac:dyDescent="0.2">
      <c r="A98" s="389"/>
      <c r="B98" s="376"/>
      <c r="C98" s="63" t="s">
        <v>25</v>
      </c>
      <c r="D98" s="4">
        <f t="shared" ref="D98:L98" si="6">D29+D28+D27+D20+D15+D13+D11+D14+D9+D25</f>
        <v>393662673</v>
      </c>
      <c r="E98" s="4">
        <f t="shared" si="6"/>
        <v>412416277</v>
      </c>
      <c r="F98" s="4">
        <f t="shared" si="6"/>
        <v>0</v>
      </c>
      <c r="G98" s="4">
        <f t="shared" si="6"/>
        <v>13839752</v>
      </c>
      <c r="H98" s="4">
        <f t="shared" ref="H98" si="7">H29+H28+H27+H20+H15+H13+H11+H14+H9+H25</f>
        <v>-1740637</v>
      </c>
      <c r="I98" s="4">
        <f t="shared" si="6"/>
        <v>12252421</v>
      </c>
      <c r="J98" s="4">
        <f t="shared" si="6"/>
        <v>0</v>
      </c>
      <c r="K98" s="4">
        <f t="shared" si="6"/>
        <v>436767813</v>
      </c>
      <c r="L98" s="4">
        <f t="shared" si="6"/>
        <v>253862595</v>
      </c>
    </row>
    <row r="99" spans="1:13" x14ac:dyDescent="0.2">
      <c r="A99" s="389"/>
      <c r="B99" s="376"/>
      <c r="C99" s="63" t="s">
        <v>37</v>
      </c>
      <c r="D99" s="4">
        <f t="shared" ref="D99:L99" si="8">D21+D16+D12+D26</f>
        <v>4500000</v>
      </c>
      <c r="E99" s="4">
        <f t="shared" si="8"/>
        <v>5154581</v>
      </c>
      <c r="F99" s="4">
        <f t="shared" si="8"/>
        <v>0</v>
      </c>
      <c r="G99" s="4">
        <f t="shared" si="8"/>
        <v>49375989</v>
      </c>
      <c r="H99" s="4">
        <f t="shared" ref="H99" si="9">H21+H16+H12+H26</f>
        <v>0</v>
      </c>
      <c r="I99" s="4">
        <f t="shared" si="8"/>
        <v>0</v>
      </c>
      <c r="J99" s="4">
        <f t="shared" si="8"/>
        <v>0</v>
      </c>
      <c r="K99" s="4">
        <f t="shared" si="8"/>
        <v>54530570</v>
      </c>
      <c r="L99" s="4">
        <f t="shared" si="8"/>
        <v>54005937</v>
      </c>
    </row>
    <row r="100" spans="1:13" x14ac:dyDescent="0.2">
      <c r="A100" s="389"/>
      <c r="B100" s="376"/>
      <c r="C100" s="63" t="s">
        <v>27</v>
      </c>
      <c r="D100" s="4">
        <f t="shared" ref="D100:J101" si="10">D6</f>
        <v>0</v>
      </c>
      <c r="E100" s="4">
        <f t="shared" si="10"/>
        <v>0</v>
      </c>
      <c r="F100" s="4">
        <f t="shared" si="10"/>
        <v>0</v>
      </c>
      <c r="G100" s="4">
        <f t="shared" si="10"/>
        <v>0</v>
      </c>
      <c r="H100" s="4">
        <f t="shared" ref="H100" si="11">H6</f>
        <v>0</v>
      </c>
      <c r="I100" s="4">
        <f t="shared" si="10"/>
        <v>0</v>
      </c>
      <c r="J100" s="4">
        <f t="shared" si="10"/>
        <v>40000</v>
      </c>
      <c r="K100" s="4">
        <v>0</v>
      </c>
      <c r="L100" s="4">
        <v>0</v>
      </c>
    </row>
    <row r="101" spans="1:13" x14ac:dyDescent="0.2">
      <c r="A101" s="389"/>
      <c r="B101" s="376"/>
      <c r="C101" s="63" t="s">
        <v>139</v>
      </c>
      <c r="D101" s="4">
        <f t="shared" si="10"/>
        <v>0</v>
      </c>
      <c r="E101" s="4">
        <f t="shared" si="10"/>
        <v>0</v>
      </c>
      <c r="F101" s="4">
        <f t="shared" si="10"/>
        <v>0</v>
      </c>
      <c r="G101" s="4">
        <f t="shared" si="10"/>
        <v>0</v>
      </c>
      <c r="H101" s="4">
        <f t="shared" ref="H101" si="12">H7</f>
        <v>0</v>
      </c>
      <c r="I101" s="4">
        <f t="shared" si="10"/>
        <v>0</v>
      </c>
      <c r="J101" s="4">
        <f t="shared" si="10"/>
        <v>10800</v>
      </c>
      <c r="K101" s="4">
        <f>K7</f>
        <v>10800</v>
      </c>
      <c r="L101" s="4">
        <f>L7</f>
        <v>10800</v>
      </c>
    </row>
    <row r="102" spans="1:13" x14ac:dyDescent="0.2">
      <c r="A102" s="389"/>
      <c r="B102" s="376"/>
      <c r="C102" s="63" t="s">
        <v>40</v>
      </c>
      <c r="D102" s="4">
        <f t="shared" ref="D102:L102" si="13">D24+D18+D8</f>
        <v>2300</v>
      </c>
      <c r="E102" s="4">
        <f t="shared" si="13"/>
        <v>2200</v>
      </c>
      <c r="F102" s="4">
        <f t="shared" si="13"/>
        <v>-200</v>
      </c>
      <c r="G102" s="4">
        <f t="shared" si="13"/>
        <v>0</v>
      </c>
      <c r="H102" s="4">
        <f t="shared" ref="H102" si="14">H24+H18+H8</f>
        <v>0</v>
      </c>
      <c r="I102" s="4">
        <f t="shared" si="13"/>
        <v>0</v>
      </c>
      <c r="J102" s="4">
        <f t="shared" si="13"/>
        <v>0</v>
      </c>
      <c r="K102" s="4">
        <f t="shared" si="13"/>
        <v>2000</v>
      </c>
      <c r="L102" s="4">
        <f t="shared" si="13"/>
        <v>1181</v>
      </c>
    </row>
    <row r="103" spans="1:13" x14ac:dyDescent="0.2">
      <c r="A103" s="389"/>
      <c r="B103" s="376"/>
      <c r="C103" s="63" t="s">
        <v>41</v>
      </c>
      <c r="D103" s="4">
        <f t="shared" ref="D103:J103" si="15">D19+D23</f>
        <v>0</v>
      </c>
      <c r="E103" s="4">
        <f t="shared" si="15"/>
        <v>100</v>
      </c>
      <c r="F103" s="4">
        <f t="shared" si="15"/>
        <v>200</v>
      </c>
      <c r="G103" s="4">
        <f t="shared" si="15"/>
        <v>0</v>
      </c>
      <c r="H103" s="4">
        <f t="shared" ref="H103" si="16">H19+H23</f>
        <v>0</v>
      </c>
      <c r="I103" s="4">
        <f t="shared" si="15"/>
        <v>0</v>
      </c>
      <c r="J103" s="4">
        <f t="shared" si="15"/>
        <v>0</v>
      </c>
      <c r="K103" s="4">
        <f>K19+K23+K6</f>
        <v>40300</v>
      </c>
      <c r="L103" s="4">
        <f>L19+L23+L6</f>
        <v>40300</v>
      </c>
    </row>
    <row r="104" spans="1:13" x14ac:dyDescent="0.2">
      <c r="A104" s="389"/>
      <c r="B104" s="376"/>
      <c r="C104" s="65" t="s">
        <v>93</v>
      </c>
      <c r="D104" s="66">
        <f t="shared" ref="D104:I104" si="17">D24+D23+D19+D18+D8+D7+D6</f>
        <v>2300</v>
      </c>
      <c r="E104" s="66">
        <f t="shared" si="17"/>
        <v>2300</v>
      </c>
      <c r="F104" s="66">
        <f t="shared" si="17"/>
        <v>0</v>
      </c>
      <c r="G104" s="66">
        <f t="shared" si="17"/>
        <v>0</v>
      </c>
      <c r="H104" s="66">
        <f t="shared" si="17"/>
        <v>0</v>
      </c>
      <c r="I104" s="66">
        <f t="shared" si="17"/>
        <v>0</v>
      </c>
      <c r="J104" s="66">
        <f t="shared" ref="J104" si="18">J24+J23+J19+J18+J8+J7+J6</f>
        <v>50800</v>
      </c>
      <c r="K104" s="66">
        <f>K24+K23+K19+K18+K8+K7+K6</f>
        <v>53100</v>
      </c>
      <c r="L104" s="66">
        <f>L24+L23+L19+L18+L8+L7+L6</f>
        <v>52281</v>
      </c>
      <c r="M104" s="1"/>
    </row>
    <row r="105" spans="1:13" x14ac:dyDescent="0.2">
      <c r="A105" s="389"/>
      <c r="B105" s="376"/>
      <c r="C105" s="63" t="s">
        <v>28</v>
      </c>
      <c r="D105" s="4">
        <f t="shared" ref="D105:L105" si="19">D22+D17+D10</f>
        <v>28044581</v>
      </c>
      <c r="E105" s="4">
        <f t="shared" si="19"/>
        <v>28044581</v>
      </c>
      <c r="F105" s="4">
        <f t="shared" si="19"/>
        <v>0</v>
      </c>
      <c r="G105" s="4">
        <f t="shared" si="19"/>
        <v>0</v>
      </c>
      <c r="H105" s="4">
        <f t="shared" ref="H105" si="20">H22+H17+H10</f>
        <v>0</v>
      </c>
      <c r="I105" s="4">
        <f t="shared" si="19"/>
        <v>0</v>
      </c>
      <c r="J105" s="4">
        <f t="shared" si="19"/>
        <v>0</v>
      </c>
      <c r="K105" s="4">
        <f t="shared" si="19"/>
        <v>28044581</v>
      </c>
      <c r="L105" s="107">
        <f t="shared" si="19"/>
        <v>28044581</v>
      </c>
    </row>
    <row r="106" spans="1:13" x14ac:dyDescent="0.2">
      <c r="A106" s="389"/>
      <c r="B106" s="376"/>
      <c r="C106" s="65" t="s">
        <v>92</v>
      </c>
      <c r="D106" s="66">
        <f t="shared" ref="D106:L106" si="21">D22+D17+D10</f>
        <v>28044581</v>
      </c>
      <c r="E106" s="66">
        <f t="shared" si="21"/>
        <v>28044581</v>
      </c>
      <c r="F106" s="66">
        <f t="shared" si="21"/>
        <v>0</v>
      </c>
      <c r="G106" s="66">
        <f t="shared" si="21"/>
        <v>0</v>
      </c>
      <c r="H106" s="66">
        <f t="shared" ref="H106" si="22">H22+H17+H10</f>
        <v>0</v>
      </c>
      <c r="I106" s="66">
        <f t="shared" si="21"/>
        <v>0</v>
      </c>
      <c r="J106" s="66">
        <f t="shared" si="21"/>
        <v>0</v>
      </c>
      <c r="K106" s="66">
        <f t="shared" si="21"/>
        <v>28044581</v>
      </c>
      <c r="L106" s="109">
        <f t="shared" si="21"/>
        <v>28044581</v>
      </c>
      <c r="M106" s="1"/>
    </row>
    <row r="107" spans="1:13" x14ac:dyDescent="0.2">
      <c r="A107" s="389"/>
      <c r="B107" s="376"/>
      <c r="C107" s="65" t="s">
        <v>102</v>
      </c>
      <c r="D107" s="66">
        <f t="shared" ref="D107:L107" si="23">D30</f>
        <v>426209554</v>
      </c>
      <c r="E107" s="66">
        <f t="shared" si="23"/>
        <v>445617739</v>
      </c>
      <c r="F107" s="66">
        <f t="shared" si="23"/>
        <v>0</v>
      </c>
      <c r="G107" s="66">
        <f t="shared" si="23"/>
        <v>63215741</v>
      </c>
      <c r="H107" s="66">
        <f t="shared" ref="H107" si="24">H30</f>
        <v>-1740637</v>
      </c>
      <c r="I107" s="66">
        <f t="shared" si="23"/>
        <v>12252421</v>
      </c>
      <c r="J107" s="66">
        <f t="shared" si="23"/>
        <v>50800</v>
      </c>
      <c r="K107" s="66">
        <f t="shared" si="23"/>
        <v>519396064</v>
      </c>
      <c r="L107" s="66">
        <f t="shared" si="23"/>
        <v>335965394</v>
      </c>
      <c r="M107" s="1"/>
    </row>
    <row r="108" spans="1:13" x14ac:dyDescent="0.2">
      <c r="A108" s="389"/>
      <c r="B108" s="376"/>
      <c r="C108" s="63" t="s">
        <v>7</v>
      </c>
      <c r="D108" s="4">
        <f>D61+D48+D79</f>
        <v>970000</v>
      </c>
      <c r="E108" s="4">
        <f>E61+E48+E79</f>
        <v>970000</v>
      </c>
      <c r="F108" s="4">
        <f t="shared" ref="F108:L108" si="25">F61+F48+F79</f>
        <v>2611378</v>
      </c>
      <c r="G108" s="4">
        <f t="shared" si="25"/>
        <v>2662762</v>
      </c>
      <c r="H108" s="4">
        <f t="shared" ref="H108" si="26">H61+H48+H79</f>
        <v>0</v>
      </c>
      <c r="I108" s="4">
        <f t="shared" si="25"/>
        <v>0</v>
      </c>
      <c r="J108" s="4">
        <f t="shared" si="25"/>
        <v>0</v>
      </c>
      <c r="K108" s="4">
        <f t="shared" si="25"/>
        <v>6244140</v>
      </c>
      <c r="L108" s="120">
        <f t="shared" si="25"/>
        <v>1060000</v>
      </c>
    </row>
    <row r="109" spans="1:13" x14ac:dyDescent="0.2">
      <c r="A109" s="389"/>
      <c r="B109" s="376"/>
      <c r="C109" s="63" t="s">
        <v>88</v>
      </c>
      <c r="D109" s="4">
        <f>D62</f>
        <v>10791000</v>
      </c>
      <c r="E109" s="4">
        <f>E62</f>
        <v>10791000</v>
      </c>
      <c r="F109" s="4">
        <f t="shared" ref="F109:L109" si="27">F62</f>
        <v>0</v>
      </c>
      <c r="G109" s="4">
        <f t="shared" si="27"/>
        <v>0</v>
      </c>
      <c r="H109" s="4">
        <f t="shared" ref="H109" si="28">H62</f>
        <v>0</v>
      </c>
      <c r="I109" s="4">
        <f t="shared" si="27"/>
        <v>0</v>
      </c>
      <c r="J109" s="4">
        <f t="shared" si="27"/>
        <v>0</v>
      </c>
      <c r="K109" s="4">
        <f t="shared" si="27"/>
        <v>10791000</v>
      </c>
      <c r="L109" s="120">
        <f t="shared" si="27"/>
        <v>736000</v>
      </c>
    </row>
    <row r="110" spans="1:13" x14ac:dyDescent="0.2">
      <c r="A110" s="389"/>
      <c r="B110" s="376"/>
      <c r="C110" s="65" t="s">
        <v>94</v>
      </c>
      <c r="D110" s="66">
        <f>D62+D61+D48+D79</f>
        <v>11761000</v>
      </c>
      <c r="E110" s="66">
        <f>E62+E61+E48+E79</f>
        <v>11761000</v>
      </c>
      <c r="F110" s="66">
        <f t="shared" ref="F110:L110" si="29">F62+F61+F48+F79</f>
        <v>2611378</v>
      </c>
      <c r="G110" s="66">
        <f t="shared" si="29"/>
        <v>2662762</v>
      </c>
      <c r="H110" s="66">
        <f t="shared" ref="H110" si="30">H62+H61+H48+H79</f>
        <v>0</v>
      </c>
      <c r="I110" s="66">
        <f t="shared" si="29"/>
        <v>0</v>
      </c>
      <c r="J110" s="66">
        <f t="shared" si="29"/>
        <v>0</v>
      </c>
      <c r="K110" s="66">
        <f t="shared" si="29"/>
        <v>17035140</v>
      </c>
      <c r="L110" s="66">
        <f t="shared" si="29"/>
        <v>1796000</v>
      </c>
      <c r="M110" s="1"/>
    </row>
    <row r="111" spans="1:13" x14ac:dyDescent="0.2">
      <c r="A111" s="389"/>
      <c r="B111" s="376"/>
      <c r="C111" s="65" t="s">
        <v>9</v>
      </c>
      <c r="D111" s="66">
        <f>D63+D49+D80</f>
        <v>3112282</v>
      </c>
      <c r="E111" s="66">
        <f>E63+E49+E80</f>
        <v>3112282</v>
      </c>
      <c r="F111" s="66">
        <f t="shared" ref="F111:L111" si="31">F63+F49+F80</f>
        <v>459281</v>
      </c>
      <c r="G111" s="66">
        <f t="shared" si="31"/>
        <v>519238</v>
      </c>
      <c r="H111" s="66">
        <f t="shared" ref="H111" si="32">H63+H49+H80</f>
        <v>0</v>
      </c>
      <c r="I111" s="66">
        <f t="shared" si="31"/>
        <v>0</v>
      </c>
      <c r="J111" s="66">
        <f t="shared" si="31"/>
        <v>0</v>
      </c>
      <c r="K111" s="66">
        <f t="shared" si="31"/>
        <v>4090801</v>
      </c>
      <c r="L111" s="66">
        <f t="shared" si="31"/>
        <v>195300</v>
      </c>
      <c r="M111" s="1"/>
    </row>
    <row r="112" spans="1:13" x14ac:dyDescent="0.2">
      <c r="A112" s="389"/>
      <c r="B112" s="376"/>
      <c r="C112" s="63" t="s">
        <v>22</v>
      </c>
      <c r="D112" s="4">
        <f t="shared" ref="D112:J112" si="33">D64+D31</f>
        <v>254000</v>
      </c>
      <c r="E112" s="4">
        <f t="shared" si="33"/>
        <v>254000</v>
      </c>
      <c r="F112" s="4">
        <f t="shared" si="33"/>
        <v>0</v>
      </c>
      <c r="G112" s="4">
        <f t="shared" si="33"/>
        <v>0</v>
      </c>
      <c r="H112" s="4">
        <f t="shared" ref="H112" si="34">H64+H31</f>
        <v>0</v>
      </c>
      <c r="I112" s="4">
        <f t="shared" si="33"/>
        <v>0</v>
      </c>
      <c r="J112" s="4">
        <f t="shared" si="33"/>
        <v>0</v>
      </c>
      <c r="K112" s="4">
        <f>K64+K31+K81</f>
        <v>256756</v>
      </c>
      <c r="L112" s="4">
        <f>L64+L31+L81</f>
        <v>2756</v>
      </c>
    </row>
    <row r="113" spans="1:13" x14ac:dyDescent="0.2">
      <c r="A113" s="389"/>
      <c r="B113" s="376"/>
      <c r="C113" s="63" t="s">
        <v>33</v>
      </c>
      <c r="D113" s="4">
        <f>D65</f>
        <v>72000</v>
      </c>
      <c r="E113" s="4">
        <f>E65</f>
        <v>72000</v>
      </c>
      <c r="F113" s="4">
        <f t="shared" ref="F113:L113" si="35">F65</f>
        <v>0</v>
      </c>
      <c r="G113" s="4">
        <f t="shared" si="35"/>
        <v>0</v>
      </c>
      <c r="H113" s="4">
        <f t="shared" ref="H113" si="36">H65</f>
        <v>0</v>
      </c>
      <c r="I113" s="4">
        <f t="shared" si="35"/>
        <v>0</v>
      </c>
      <c r="J113" s="4">
        <f t="shared" si="35"/>
        <v>0</v>
      </c>
      <c r="K113" s="4">
        <f t="shared" si="35"/>
        <v>72000</v>
      </c>
      <c r="L113" s="107">
        <f t="shared" si="35"/>
        <v>0</v>
      </c>
    </row>
    <row r="114" spans="1:13" x14ac:dyDescent="0.2">
      <c r="A114" s="389"/>
      <c r="B114" s="376"/>
      <c r="C114" s="63" t="s">
        <v>89</v>
      </c>
      <c r="D114" s="4">
        <f t="shared" ref="D114:L114" si="37">D32</f>
        <v>1870</v>
      </c>
      <c r="E114" s="4">
        <f t="shared" si="37"/>
        <v>1870</v>
      </c>
      <c r="F114" s="4">
        <f t="shared" si="37"/>
        <v>0</v>
      </c>
      <c r="G114" s="4">
        <f t="shared" si="37"/>
        <v>0</v>
      </c>
      <c r="H114" s="4">
        <f t="shared" ref="H114" si="38">H32</f>
        <v>0</v>
      </c>
      <c r="I114" s="4">
        <f t="shared" si="37"/>
        <v>0</v>
      </c>
      <c r="J114" s="4">
        <f t="shared" si="37"/>
        <v>0</v>
      </c>
      <c r="K114" s="4">
        <f t="shared" si="37"/>
        <v>1870</v>
      </c>
      <c r="L114" s="107">
        <f t="shared" si="37"/>
        <v>0</v>
      </c>
    </row>
    <row r="115" spans="1:13" x14ac:dyDescent="0.2">
      <c r="A115" s="389"/>
      <c r="B115" s="376"/>
      <c r="C115" s="63" t="s">
        <v>34</v>
      </c>
      <c r="D115" s="4">
        <f>D66+D82</f>
        <v>230000</v>
      </c>
      <c r="E115" s="4">
        <f>E66+E82</f>
        <v>230000</v>
      </c>
      <c r="F115" s="4">
        <f t="shared" ref="F115:L115" si="39">F66+F82</f>
        <v>0</v>
      </c>
      <c r="G115" s="4">
        <f t="shared" si="39"/>
        <v>1248000</v>
      </c>
      <c r="H115" s="4">
        <f t="shared" ref="H115" si="40">H66+H82</f>
        <v>0</v>
      </c>
      <c r="I115" s="4">
        <f t="shared" si="39"/>
        <v>0</v>
      </c>
      <c r="J115" s="4">
        <f t="shared" si="39"/>
        <v>0</v>
      </c>
      <c r="K115" s="4">
        <f t="shared" si="39"/>
        <v>1478000</v>
      </c>
      <c r="L115" s="4">
        <f t="shared" si="39"/>
        <v>0</v>
      </c>
    </row>
    <row r="116" spans="1:13" x14ac:dyDescent="0.2">
      <c r="A116" s="389"/>
      <c r="B116" s="376"/>
      <c r="C116" s="63" t="s">
        <v>10</v>
      </c>
      <c r="D116" s="4">
        <f>D67+D50</f>
        <v>8009100</v>
      </c>
      <c r="E116" s="4">
        <f>E67+E50</f>
        <v>8009100</v>
      </c>
      <c r="F116" s="4">
        <f>F67+F50+F33</f>
        <v>50000</v>
      </c>
      <c r="G116" s="4">
        <f t="shared" ref="G116:L116" si="41">G67+G50+G33</f>
        <v>0</v>
      </c>
      <c r="H116" s="4">
        <f t="shared" ref="H116" si="42">H67+H50+H33</f>
        <v>0</v>
      </c>
      <c r="I116" s="4">
        <f t="shared" si="41"/>
        <v>0</v>
      </c>
      <c r="J116" s="4">
        <f t="shared" si="41"/>
        <v>0</v>
      </c>
      <c r="K116" s="4">
        <f t="shared" si="41"/>
        <v>8059100</v>
      </c>
      <c r="L116" s="4">
        <f t="shared" si="41"/>
        <v>800000</v>
      </c>
    </row>
    <row r="117" spans="1:13" x14ac:dyDescent="0.2">
      <c r="A117" s="389"/>
      <c r="B117" s="376"/>
      <c r="C117" s="63" t="s">
        <v>2</v>
      </c>
      <c r="D117" s="4">
        <f t="shared" ref="D117:L117" si="43">D68+D51+D34+D60+D83</f>
        <v>31883770</v>
      </c>
      <c r="E117" s="4">
        <f t="shared" si="43"/>
        <v>31674428</v>
      </c>
      <c r="F117" s="4">
        <f t="shared" si="43"/>
        <v>-3238616</v>
      </c>
      <c r="G117" s="4">
        <f t="shared" si="43"/>
        <v>9409752</v>
      </c>
      <c r="H117" s="4">
        <f t="shared" ref="H117" si="44">H68+H51+H34+H60+H83</f>
        <v>0</v>
      </c>
      <c r="I117" s="4">
        <f t="shared" si="43"/>
        <v>0</v>
      </c>
      <c r="J117" s="4">
        <f t="shared" si="43"/>
        <v>0</v>
      </c>
      <c r="K117" s="4">
        <f t="shared" si="43"/>
        <v>37845564</v>
      </c>
      <c r="L117" s="4">
        <f t="shared" si="43"/>
        <v>11067620</v>
      </c>
    </row>
    <row r="118" spans="1:13" x14ac:dyDescent="0.2">
      <c r="A118" s="389"/>
      <c r="B118" s="376"/>
      <c r="C118" s="63" t="s">
        <v>35</v>
      </c>
      <c r="D118" s="4">
        <f>D69</f>
        <v>292100</v>
      </c>
      <c r="E118" s="4">
        <f>E69</f>
        <v>292100</v>
      </c>
      <c r="F118" s="4">
        <f t="shared" ref="F118:L118" si="45">F69</f>
        <v>0</v>
      </c>
      <c r="G118" s="4">
        <f t="shared" si="45"/>
        <v>0</v>
      </c>
      <c r="H118" s="4">
        <f t="shared" ref="H118" si="46">H69</f>
        <v>0</v>
      </c>
      <c r="I118" s="4">
        <f t="shared" si="45"/>
        <v>0</v>
      </c>
      <c r="J118" s="4">
        <f t="shared" si="45"/>
        <v>0</v>
      </c>
      <c r="K118" s="4">
        <f t="shared" si="45"/>
        <v>292100</v>
      </c>
      <c r="L118" s="107">
        <f t="shared" si="45"/>
        <v>0</v>
      </c>
    </row>
    <row r="119" spans="1:13" x14ac:dyDescent="0.2">
      <c r="A119" s="389"/>
      <c r="B119" s="376"/>
      <c r="C119" s="63" t="s">
        <v>117</v>
      </c>
      <c r="D119" s="4">
        <f t="shared" ref="D119:L119" si="47">D35</f>
        <v>0</v>
      </c>
      <c r="E119" s="4">
        <f t="shared" si="47"/>
        <v>24420</v>
      </c>
      <c r="F119" s="4">
        <f t="shared" si="47"/>
        <v>48840</v>
      </c>
      <c r="G119" s="4">
        <f t="shared" si="47"/>
        <v>0</v>
      </c>
      <c r="H119" s="4">
        <f t="shared" ref="H119" si="48">H35</f>
        <v>0</v>
      </c>
      <c r="I119" s="4">
        <f t="shared" si="47"/>
        <v>0</v>
      </c>
      <c r="J119" s="4">
        <f t="shared" si="47"/>
        <v>0</v>
      </c>
      <c r="K119" s="4">
        <f t="shared" si="47"/>
        <v>73260</v>
      </c>
      <c r="L119" s="108">
        <f t="shared" si="47"/>
        <v>73260</v>
      </c>
    </row>
    <row r="120" spans="1:13" x14ac:dyDescent="0.2">
      <c r="A120" s="389"/>
      <c r="B120" s="376"/>
      <c r="C120" s="63" t="s">
        <v>11</v>
      </c>
      <c r="D120" s="4">
        <f t="shared" ref="D120:J120" si="49">D70+D52+D36</f>
        <v>5188185</v>
      </c>
      <c r="E120" s="4">
        <f t="shared" si="49"/>
        <v>5190107</v>
      </c>
      <c r="F120" s="4">
        <f t="shared" si="49"/>
        <v>21664</v>
      </c>
      <c r="G120" s="4">
        <f t="shared" si="49"/>
        <v>0</v>
      </c>
      <c r="H120" s="4">
        <f t="shared" ref="H120" si="50">H70+H52+H36</f>
        <v>0</v>
      </c>
      <c r="I120" s="4">
        <f t="shared" si="49"/>
        <v>0</v>
      </c>
      <c r="J120" s="4">
        <f t="shared" si="49"/>
        <v>10800</v>
      </c>
      <c r="K120" s="4">
        <f>K70+K52+K36+K84</f>
        <v>5226015</v>
      </c>
      <c r="L120" s="4">
        <f>L70+L52+L36+L84</f>
        <v>737454</v>
      </c>
    </row>
    <row r="121" spans="1:13" x14ac:dyDescent="0.2">
      <c r="A121" s="389"/>
      <c r="B121" s="376"/>
      <c r="C121" s="63" t="s">
        <v>91</v>
      </c>
      <c r="D121" s="4">
        <f t="shared" ref="D121:L121" si="51">D37</f>
        <v>0</v>
      </c>
      <c r="E121" s="4">
        <f t="shared" si="51"/>
        <v>83000</v>
      </c>
      <c r="F121" s="4">
        <f t="shared" si="51"/>
        <v>0</v>
      </c>
      <c r="G121" s="4">
        <f t="shared" si="51"/>
        <v>0</v>
      </c>
      <c r="H121" s="4">
        <f t="shared" ref="H121" si="52">H37</f>
        <v>0</v>
      </c>
      <c r="I121" s="4">
        <f t="shared" si="51"/>
        <v>0</v>
      </c>
      <c r="J121" s="4">
        <f t="shared" si="51"/>
        <v>0</v>
      </c>
      <c r="K121" s="4">
        <f t="shared" si="51"/>
        <v>83000</v>
      </c>
      <c r="L121" s="107">
        <f t="shared" si="51"/>
        <v>83000</v>
      </c>
    </row>
    <row r="122" spans="1:13" x14ac:dyDescent="0.2">
      <c r="A122" s="389"/>
      <c r="B122" s="376"/>
      <c r="C122" s="63" t="s">
        <v>12</v>
      </c>
      <c r="D122" s="4">
        <f t="shared" ref="D122:J122" si="53">D71+D53+D85+D38</f>
        <v>229492</v>
      </c>
      <c r="E122" s="4">
        <f t="shared" si="53"/>
        <v>329492</v>
      </c>
      <c r="F122" s="4">
        <f t="shared" si="53"/>
        <v>40000</v>
      </c>
      <c r="G122" s="4">
        <f t="shared" si="53"/>
        <v>0</v>
      </c>
      <c r="H122" s="4">
        <f t="shared" ref="H122" si="54">H71+H53+H85+H38</f>
        <v>0</v>
      </c>
      <c r="I122" s="4">
        <f t="shared" si="53"/>
        <v>0</v>
      </c>
      <c r="J122" s="4">
        <f t="shared" si="53"/>
        <v>40000</v>
      </c>
      <c r="K122" s="4">
        <f>K71+K53+K85+K38</f>
        <v>409492</v>
      </c>
      <c r="L122" s="4">
        <f>L71+L53+L85+L38</f>
        <v>141900</v>
      </c>
    </row>
    <row r="123" spans="1:13" x14ac:dyDescent="0.2">
      <c r="A123" s="389"/>
      <c r="B123" s="376"/>
      <c r="C123" s="65" t="s">
        <v>95</v>
      </c>
      <c r="D123" s="66">
        <f t="shared" ref="D123:J123" si="55">D71+D70+D69+D68+D67+D66+D65+D64+D53+D52+D51+D50+D37+D36+D34+D32+D31+D60+D35+D82+D83+D85+D84+D81+D38+D33</f>
        <v>46160517</v>
      </c>
      <c r="E123" s="66">
        <f t="shared" si="55"/>
        <v>46160517</v>
      </c>
      <c r="F123" s="66">
        <f t="shared" si="55"/>
        <v>-3071912</v>
      </c>
      <c r="G123" s="66">
        <f t="shared" si="55"/>
        <v>10657752</v>
      </c>
      <c r="H123" s="66">
        <f t="shared" ref="H123" si="56">H71+H70+H69+H68+H67+H66+H65+H64+H53+H52+H51+H50+H37+H36+H34+H32+H31+H60+H35+H82+H83+H85+H84+H81+H38+H33</f>
        <v>0</v>
      </c>
      <c r="I123" s="66">
        <f t="shared" si="55"/>
        <v>0</v>
      </c>
      <c r="J123" s="66">
        <f t="shared" si="55"/>
        <v>50800</v>
      </c>
      <c r="K123" s="66">
        <f>K71+K70+K69+K68+K67+K66+K65+K64+K53+K52+K51+K50+K37+K36+K34+K32+K31+K60+K35+K82+K83+K85+K84+K81+K38+K33</f>
        <v>53797157</v>
      </c>
      <c r="L123" s="66">
        <f>L71+L70+L69+L68+L67+L66+L65+L64+L53+L52+L51+L50+L37+L36+L34+L32+L31+L60+L35+L82+L83+L85+L84+L81+L38+L33</f>
        <v>12905990</v>
      </c>
      <c r="M123" s="1"/>
    </row>
    <row r="124" spans="1:13" x14ac:dyDescent="0.2">
      <c r="A124" s="389"/>
      <c r="B124" s="376"/>
      <c r="C124" s="63" t="s">
        <v>36</v>
      </c>
      <c r="D124" s="4">
        <f>D72</f>
        <v>0</v>
      </c>
      <c r="E124" s="4">
        <f>E72</f>
        <v>0</v>
      </c>
      <c r="F124" s="4">
        <f t="shared" ref="F124:L124" si="57">F72</f>
        <v>0</v>
      </c>
      <c r="G124" s="4">
        <f t="shared" si="57"/>
        <v>0</v>
      </c>
      <c r="H124" s="4">
        <f t="shared" ref="H124" si="58">H72</f>
        <v>0</v>
      </c>
      <c r="I124" s="4">
        <f t="shared" si="57"/>
        <v>0</v>
      </c>
      <c r="J124" s="4">
        <f t="shared" si="57"/>
        <v>0</v>
      </c>
      <c r="K124" s="4">
        <f t="shared" si="57"/>
        <v>0</v>
      </c>
      <c r="L124" s="107">
        <f t="shared" si="57"/>
        <v>0</v>
      </c>
    </row>
    <row r="125" spans="1:13" x14ac:dyDescent="0.2">
      <c r="A125" s="389"/>
      <c r="B125" s="376"/>
      <c r="C125" s="63" t="s">
        <v>23</v>
      </c>
      <c r="D125" s="4">
        <f t="shared" ref="D125:L125" si="59">D44+D42+D46+D39</f>
        <v>19744030</v>
      </c>
      <c r="E125" s="4">
        <f t="shared" si="59"/>
        <v>19744030</v>
      </c>
      <c r="F125" s="4">
        <f t="shared" si="59"/>
        <v>1253</v>
      </c>
      <c r="G125" s="4">
        <f t="shared" si="59"/>
        <v>0</v>
      </c>
      <c r="H125" s="4">
        <f t="shared" ref="H125" si="60">H44+H42+H46+H39</f>
        <v>0</v>
      </c>
      <c r="I125" s="4">
        <f t="shared" si="59"/>
        <v>0</v>
      </c>
      <c r="J125" s="4">
        <f t="shared" si="59"/>
        <v>0</v>
      </c>
      <c r="K125" s="4">
        <f t="shared" si="59"/>
        <v>19745283</v>
      </c>
      <c r="L125" s="135">
        <f t="shared" si="59"/>
        <v>8668362</v>
      </c>
    </row>
    <row r="126" spans="1:13" x14ac:dyDescent="0.2">
      <c r="A126" s="389"/>
      <c r="B126" s="376"/>
      <c r="C126" s="63" t="s">
        <v>5</v>
      </c>
      <c r="D126" s="4">
        <f t="shared" ref="D126:L126" si="61">D45+D47+D40</f>
        <v>16308950</v>
      </c>
      <c r="E126" s="4">
        <f t="shared" si="61"/>
        <v>16308950</v>
      </c>
      <c r="F126" s="4">
        <f t="shared" si="61"/>
        <v>0</v>
      </c>
      <c r="G126" s="4">
        <f t="shared" si="61"/>
        <v>0</v>
      </c>
      <c r="H126" s="4">
        <f t="shared" ref="H126" si="62">H45+H47+H40</f>
        <v>0</v>
      </c>
      <c r="I126" s="4">
        <f t="shared" si="61"/>
        <v>0</v>
      </c>
      <c r="J126" s="4">
        <f t="shared" si="61"/>
        <v>0</v>
      </c>
      <c r="K126" s="4">
        <f t="shared" si="61"/>
        <v>16308950</v>
      </c>
      <c r="L126" s="107">
        <f t="shared" si="61"/>
        <v>9534387</v>
      </c>
    </row>
    <row r="127" spans="1:13" x14ac:dyDescent="0.2">
      <c r="A127" s="389"/>
      <c r="B127" s="376"/>
      <c r="C127" s="65" t="s">
        <v>96</v>
      </c>
      <c r="D127" s="66">
        <f t="shared" ref="D127:L127" si="63">D45+D44+D42+D47+D46+D40+D39</f>
        <v>36052980</v>
      </c>
      <c r="E127" s="66">
        <f t="shared" si="63"/>
        <v>36052980</v>
      </c>
      <c r="F127" s="66">
        <f t="shared" si="63"/>
        <v>1253</v>
      </c>
      <c r="G127" s="66">
        <f t="shared" si="63"/>
        <v>0</v>
      </c>
      <c r="H127" s="66">
        <f t="shared" ref="H127" si="64">H45+H44+H42+H47+H46+H40+H39</f>
        <v>0</v>
      </c>
      <c r="I127" s="66">
        <f t="shared" si="63"/>
        <v>0</v>
      </c>
      <c r="J127" s="66">
        <f t="shared" si="63"/>
        <v>0</v>
      </c>
      <c r="K127" s="66">
        <f t="shared" si="63"/>
        <v>36054233</v>
      </c>
      <c r="L127" s="109">
        <f t="shared" si="63"/>
        <v>18202749</v>
      </c>
      <c r="M127" s="1"/>
    </row>
    <row r="128" spans="1:13" x14ac:dyDescent="0.2">
      <c r="A128" s="389"/>
      <c r="B128" s="376"/>
      <c r="C128" s="63" t="s">
        <v>31</v>
      </c>
      <c r="D128" s="4">
        <f>D73+D54+D86</f>
        <v>388897</v>
      </c>
      <c r="E128" s="4">
        <f t="shared" ref="E128:L128" si="65">E73+E54+E86</f>
        <v>704400</v>
      </c>
      <c r="F128" s="4">
        <f t="shared" si="65"/>
        <v>0</v>
      </c>
      <c r="G128" s="4">
        <f t="shared" si="65"/>
        <v>262453</v>
      </c>
      <c r="H128" s="4">
        <f t="shared" ref="H128" si="66">H73+H54+H86</f>
        <v>0</v>
      </c>
      <c r="I128" s="4">
        <f t="shared" si="65"/>
        <v>0</v>
      </c>
      <c r="J128" s="4">
        <f t="shared" si="65"/>
        <v>0</v>
      </c>
      <c r="K128" s="4">
        <f t="shared" si="65"/>
        <v>966853</v>
      </c>
      <c r="L128" s="4">
        <f t="shared" si="65"/>
        <v>704400</v>
      </c>
    </row>
    <row r="129" spans="1:13" x14ac:dyDescent="0.2">
      <c r="A129" s="389"/>
      <c r="B129" s="376"/>
      <c r="C129" s="63" t="s">
        <v>32</v>
      </c>
      <c r="D129" s="4">
        <f>D55+D74</f>
        <v>0</v>
      </c>
      <c r="E129" s="4">
        <f t="shared" ref="E129:L129" si="67">E55+E74</f>
        <v>1818096</v>
      </c>
      <c r="F129" s="4">
        <f t="shared" si="67"/>
        <v>0</v>
      </c>
      <c r="G129" s="4">
        <f t="shared" si="67"/>
        <v>0</v>
      </c>
      <c r="H129" s="4">
        <f t="shared" ref="H129" si="68">H55+H74</f>
        <v>0</v>
      </c>
      <c r="I129" s="4">
        <f t="shared" si="67"/>
        <v>0</v>
      </c>
      <c r="J129" s="4">
        <f t="shared" si="67"/>
        <v>0</v>
      </c>
      <c r="K129" s="4">
        <f t="shared" si="67"/>
        <v>1818096</v>
      </c>
      <c r="L129" s="108">
        <f t="shared" si="67"/>
        <v>1818096</v>
      </c>
    </row>
    <row r="130" spans="1:13" x14ac:dyDescent="0.2">
      <c r="A130" s="389"/>
      <c r="B130" s="376"/>
      <c r="C130" s="63" t="s">
        <v>13</v>
      </c>
      <c r="D130" s="4">
        <f t="shared" ref="D130:L131" si="69">D75+D56+D87</f>
        <v>4296741</v>
      </c>
      <c r="E130" s="4">
        <f t="shared" si="69"/>
        <v>2678560</v>
      </c>
      <c r="F130" s="4">
        <f t="shared" si="69"/>
        <v>0</v>
      </c>
      <c r="G130" s="4">
        <f t="shared" si="69"/>
        <v>8077000</v>
      </c>
      <c r="H130" s="4">
        <f t="shared" ref="H130" si="70">H75+H56+H87</f>
        <v>0</v>
      </c>
      <c r="I130" s="4">
        <f t="shared" si="69"/>
        <v>0</v>
      </c>
      <c r="J130" s="4">
        <f t="shared" si="69"/>
        <v>0</v>
      </c>
      <c r="K130" s="4">
        <f t="shared" si="69"/>
        <v>10755560</v>
      </c>
      <c r="L130" s="4">
        <f t="shared" si="69"/>
        <v>2568661</v>
      </c>
    </row>
    <row r="131" spans="1:13" x14ac:dyDescent="0.2">
      <c r="A131" s="389"/>
      <c r="B131" s="376"/>
      <c r="C131" s="63" t="s">
        <v>14</v>
      </c>
      <c r="D131" s="4">
        <f t="shared" si="69"/>
        <v>1265122</v>
      </c>
      <c r="E131" s="4">
        <f t="shared" si="69"/>
        <v>1404285</v>
      </c>
      <c r="F131" s="4">
        <f t="shared" si="69"/>
        <v>0</v>
      </c>
      <c r="G131" s="4">
        <f t="shared" si="69"/>
        <v>2251652</v>
      </c>
      <c r="H131" s="4">
        <f t="shared" ref="H131" si="71">H76+H57+H88</f>
        <v>0</v>
      </c>
      <c r="I131" s="4">
        <f t="shared" si="69"/>
        <v>0</v>
      </c>
      <c r="J131" s="4">
        <f t="shared" si="69"/>
        <v>0</v>
      </c>
      <c r="K131" s="4">
        <f t="shared" si="69"/>
        <v>3655937</v>
      </c>
      <c r="L131" s="4">
        <f t="shared" si="69"/>
        <v>1374613</v>
      </c>
    </row>
    <row r="132" spans="1:13" x14ac:dyDescent="0.2">
      <c r="A132" s="389"/>
      <c r="B132" s="376"/>
      <c r="C132" s="65" t="s">
        <v>97</v>
      </c>
      <c r="D132" s="66">
        <f>D76+D75+D73+D57+D56+D55+D54+D74+D86+D87+D88</f>
        <v>5950760</v>
      </c>
      <c r="E132" s="66">
        <f t="shared" ref="E132:L132" si="72">E76+E75+E73+E57+E56+E55+E54+E74+E86+E87+E88</f>
        <v>6605341</v>
      </c>
      <c r="F132" s="66">
        <f t="shared" si="72"/>
        <v>0</v>
      </c>
      <c r="G132" s="66">
        <f t="shared" si="72"/>
        <v>10591105</v>
      </c>
      <c r="H132" s="66">
        <f t="shared" ref="H132" si="73">H76+H75+H73+H57+H56+H55+H54+H74+H86+H87+H88</f>
        <v>0</v>
      </c>
      <c r="I132" s="66">
        <f t="shared" si="72"/>
        <v>0</v>
      </c>
      <c r="J132" s="66">
        <f t="shared" si="72"/>
        <v>0</v>
      </c>
      <c r="K132" s="66">
        <f t="shared" si="72"/>
        <v>17196446</v>
      </c>
      <c r="L132" s="66">
        <f t="shared" si="72"/>
        <v>6465770</v>
      </c>
      <c r="M132" s="1"/>
    </row>
    <row r="133" spans="1:13" x14ac:dyDescent="0.2">
      <c r="A133" s="389"/>
      <c r="B133" s="376"/>
      <c r="C133" s="63" t="s">
        <v>15</v>
      </c>
      <c r="D133" s="4">
        <f t="shared" ref="D133:L134" si="74">D77+D58+D89</f>
        <v>4121943</v>
      </c>
      <c r="E133" s="4">
        <f t="shared" si="74"/>
        <v>4121943</v>
      </c>
      <c r="F133" s="4">
        <f t="shared" si="74"/>
        <v>0</v>
      </c>
      <c r="G133" s="4">
        <f t="shared" si="74"/>
        <v>30539278</v>
      </c>
      <c r="H133" s="4">
        <f t="shared" ref="H133" si="75">H77+H58+H89</f>
        <v>0</v>
      </c>
      <c r="I133" s="4">
        <f t="shared" si="74"/>
        <v>0</v>
      </c>
      <c r="J133" s="4">
        <f t="shared" si="74"/>
        <v>0</v>
      </c>
      <c r="K133" s="4">
        <f t="shared" si="74"/>
        <v>34661221</v>
      </c>
      <c r="L133" s="4">
        <f t="shared" si="74"/>
        <v>2828729</v>
      </c>
    </row>
    <row r="134" spans="1:13" x14ac:dyDescent="0.2">
      <c r="A134" s="389"/>
      <c r="B134" s="376"/>
      <c r="C134" s="63" t="s">
        <v>16</v>
      </c>
      <c r="D134" s="4">
        <f t="shared" si="74"/>
        <v>1112924</v>
      </c>
      <c r="E134" s="4">
        <f t="shared" si="74"/>
        <v>1112924</v>
      </c>
      <c r="F134" s="4">
        <f t="shared" si="74"/>
        <v>0</v>
      </c>
      <c r="G134" s="4">
        <f t="shared" si="74"/>
        <v>8245606</v>
      </c>
      <c r="H134" s="4">
        <f t="shared" ref="H134" si="76">H78+H59+H90</f>
        <v>0</v>
      </c>
      <c r="I134" s="4">
        <f t="shared" si="74"/>
        <v>0</v>
      </c>
      <c r="J134" s="4">
        <f t="shared" si="74"/>
        <v>0</v>
      </c>
      <c r="K134" s="4">
        <f t="shared" si="74"/>
        <v>9358530</v>
      </c>
      <c r="L134" s="4">
        <f t="shared" si="74"/>
        <v>493942</v>
      </c>
    </row>
    <row r="135" spans="1:13" x14ac:dyDescent="0.2">
      <c r="A135" s="389"/>
      <c r="B135" s="376"/>
      <c r="C135" s="65" t="s">
        <v>98</v>
      </c>
      <c r="D135" s="66">
        <f>D78+D77+D59+D58+D89+D90</f>
        <v>5234867</v>
      </c>
      <c r="E135" s="66">
        <f t="shared" ref="E135:L135" si="77">E78+E77+E59+E58+E89+E90</f>
        <v>5234867</v>
      </c>
      <c r="F135" s="66">
        <f t="shared" si="77"/>
        <v>0</v>
      </c>
      <c r="G135" s="66">
        <f t="shared" si="77"/>
        <v>38784884</v>
      </c>
      <c r="H135" s="66">
        <f t="shared" ref="H135" si="78">H78+H77+H59+H58+H89+H90</f>
        <v>0</v>
      </c>
      <c r="I135" s="66">
        <f t="shared" si="77"/>
        <v>0</v>
      </c>
      <c r="J135" s="66">
        <f t="shared" si="77"/>
        <v>0</v>
      </c>
      <c r="K135" s="66">
        <f t="shared" si="77"/>
        <v>44019751</v>
      </c>
      <c r="L135" s="66">
        <f t="shared" si="77"/>
        <v>3322671</v>
      </c>
      <c r="M135" s="1"/>
    </row>
    <row r="136" spans="1:13" x14ac:dyDescent="0.2">
      <c r="A136" s="389"/>
      <c r="B136" s="376"/>
      <c r="C136" s="65" t="s">
        <v>110</v>
      </c>
      <c r="D136" s="66">
        <f>D43</f>
        <v>4500000</v>
      </c>
      <c r="E136" s="66">
        <f t="shared" ref="E136:L136" si="79">E43</f>
        <v>4500000</v>
      </c>
      <c r="F136" s="66">
        <f t="shared" si="79"/>
        <v>0</v>
      </c>
      <c r="G136" s="66">
        <f t="shared" si="79"/>
        <v>0</v>
      </c>
      <c r="H136" s="66">
        <f t="shared" ref="H136" si="80">H43</f>
        <v>0</v>
      </c>
      <c r="I136" s="66">
        <f t="shared" si="79"/>
        <v>0</v>
      </c>
      <c r="J136" s="66">
        <f t="shared" si="79"/>
        <v>0</v>
      </c>
      <c r="K136" s="66">
        <f t="shared" si="79"/>
        <v>4500000</v>
      </c>
      <c r="L136" s="110">
        <f t="shared" si="79"/>
        <v>3967790</v>
      </c>
      <c r="M136" s="1"/>
    </row>
    <row r="137" spans="1:13" x14ac:dyDescent="0.2">
      <c r="A137" s="389"/>
      <c r="B137" s="376"/>
      <c r="C137" s="63" t="s">
        <v>3</v>
      </c>
      <c r="D137" s="67">
        <f t="shared" ref="D137:L137" si="81">D41</f>
        <v>313437148</v>
      </c>
      <c r="E137" s="67">
        <f t="shared" si="81"/>
        <v>332190752</v>
      </c>
      <c r="F137" s="67">
        <f t="shared" si="81"/>
        <v>0</v>
      </c>
      <c r="G137" s="67">
        <f t="shared" si="81"/>
        <v>0</v>
      </c>
      <c r="H137" s="67">
        <f t="shared" ref="H137" si="82">H41</f>
        <v>-1740637</v>
      </c>
      <c r="I137" s="67">
        <f t="shared" si="81"/>
        <v>12252421</v>
      </c>
      <c r="J137" s="67">
        <f t="shared" si="81"/>
        <v>0</v>
      </c>
      <c r="K137" s="67">
        <f t="shared" si="81"/>
        <v>342702536</v>
      </c>
      <c r="L137" s="111">
        <f t="shared" si="81"/>
        <v>215480447</v>
      </c>
      <c r="M137" s="1"/>
    </row>
    <row r="138" spans="1:13" x14ac:dyDescent="0.2">
      <c r="A138" s="390"/>
      <c r="B138" s="391"/>
      <c r="C138" s="65" t="s">
        <v>99</v>
      </c>
      <c r="D138" s="66">
        <f>D91</f>
        <v>426209554</v>
      </c>
      <c r="E138" s="66">
        <f t="shared" ref="E138:L138" si="83">E91</f>
        <v>445617739</v>
      </c>
      <c r="F138" s="66">
        <f t="shared" si="83"/>
        <v>0</v>
      </c>
      <c r="G138" s="66">
        <f t="shared" si="83"/>
        <v>63215741</v>
      </c>
      <c r="H138" s="66">
        <f t="shared" ref="H138" si="84">H91</f>
        <v>-1740637</v>
      </c>
      <c r="I138" s="66">
        <f t="shared" si="83"/>
        <v>12252421</v>
      </c>
      <c r="J138" s="66">
        <f t="shared" si="83"/>
        <v>50800</v>
      </c>
      <c r="K138" s="66">
        <f t="shared" si="83"/>
        <v>519396064</v>
      </c>
      <c r="L138" s="66">
        <f t="shared" si="83"/>
        <v>262336717</v>
      </c>
      <c r="M138" s="1"/>
    </row>
    <row r="139" spans="1:13" x14ac:dyDescent="0.2">
      <c r="A139" s="1"/>
      <c r="B139" s="98"/>
      <c r="C139" s="1"/>
      <c r="D139" s="1"/>
      <c r="E139" s="1"/>
      <c r="F139" s="68"/>
      <c r="G139" s="1"/>
      <c r="H139" s="1"/>
      <c r="I139" s="1"/>
      <c r="J139" s="1"/>
      <c r="K139" s="1"/>
      <c r="L139" s="112"/>
      <c r="M139" s="1"/>
    </row>
    <row r="140" spans="1:13" x14ac:dyDescent="0.2">
      <c r="C140" s="5"/>
      <c r="D140" s="5"/>
      <c r="F140" s="2"/>
    </row>
    <row r="141" spans="1:13" x14ac:dyDescent="0.2">
      <c r="C141" s="5"/>
      <c r="D141" s="5"/>
      <c r="F141" s="2"/>
    </row>
    <row r="146" spans="1:6" x14ac:dyDescent="0.2">
      <c r="A146" s="16" t="s">
        <v>52</v>
      </c>
      <c r="B146" s="16"/>
      <c r="C146" s="16"/>
      <c r="D146" s="16"/>
      <c r="E146" s="16"/>
      <c r="F146" s="16"/>
    </row>
    <row r="147" spans="1:6" x14ac:dyDescent="0.2">
      <c r="A147" s="153"/>
      <c r="B147" s="153"/>
      <c r="C147" s="153"/>
      <c r="D147" s="14"/>
      <c r="E147" s="14"/>
      <c r="F147" s="15"/>
    </row>
    <row r="148" spans="1:6" x14ac:dyDescent="0.2">
      <c r="A148" s="16" t="s">
        <v>145</v>
      </c>
      <c r="B148" s="16"/>
      <c r="C148" s="16"/>
      <c r="D148" s="16"/>
      <c r="E148" s="151"/>
      <c r="F148" s="15">
        <v>0</v>
      </c>
    </row>
    <row r="149" spans="1:6" x14ac:dyDescent="0.2">
      <c r="A149" s="16" t="s">
        <v>146</v>
      </c>
      <c r="B149" s="16"/>
      <c r="C149" s="16"/>
      <c r="D149" s="16"/>
      <c r="E149" s="151"/>
      <c r="F149" s="15">
        <v>0</v>
      </c>
    </row>
    <row r="150" spans="1:6" x14ac:dyDescent="0.2">
      <c r="A150" s="16" t="s">
        <v>147</v>
      </c>
      <c r="B150" s="16"/>
      <c r="C150" s="16"/>
      <c r="D150" s="16"/>
      <c r="E150" s="151"/>
      <c r="F150" s="15">
        <f>SUM(H27,I27)</f>
        <v>10511784</v>
      </c>
    </row>
    <row r="151" spans="1:6" x14ac:dyDescent="0.2">
      <c r="A151" s="364" t="s">
        <v>159</v>
      </c>
      <c r="B151" s="364"/>
      <c r="C151" s="364"/>
      <c r="D151" s="364"/>
      <c r="E151" s="151"/>
      <c r="F151" s="15">
        <f>SUM(G25)</f>
        <v>13839752</v>
      </c>
    </row>
    <row r="152" spans="1:6" x14ac:dyDescent="0.2">
      <c r="A152" s="364" t="s">
        <v>58</v>
      </c>
      <c r="B152" s="364"/>
      <c r="C152" s="364"/>
      <c r="D152" s="364"/>
      <c r="E152" s="151"/>
      <c r="F152" s="15">
        <v>0</v>
      </c>
    </row>
    <row r="153" spans="1:6" x14ac:dyDescent="0.2">
      <c r="A153" s="16" t="s">
        <v>158</v>
      </c>
      <c r="B153" s="16"/>
      <c r="C153" s="16"/>
      <c r="D153" s="16"/>
      <c r="E153" s="151"/>
      <c r="F153" s="15">
        <f>G26</f>
        <v>49375989</v>
      </c>
    </row>
    <row r="154" spans="1:6" x14ac:dyDescent="0.2">
      <c r="A154" s="151" t="s">
        <v>61</v>
      </c>
      <c r="B154" s="151"/>
      <c r="C154" s="151"/>
      <c r="D154" s="151"/>
      <c r="E154" s="151"/>
      <c r="F154" s="15">
        <v>0</v>
      </c>
    </row>
    <row r="155" spans="1:6" x14ac:dyDescent="0.2">
      <c r="A155" s="364" t="s">
        <v>62</v>
      </c>
      <c r="B155" s="364"/>
      <c r="C155" s="364"/>
      <c r="D155" s="364"/>
      <c r="E155" s="151"/>
      <c r="F155" s="15">
        <f>SUM(J6:J7)</f>
        <v>50800</v>
      </c>
    </row>
    <row r="156" spans="1:6" x14ac:dyDescent="0.2">
      <c r="A156" s="152" t="s">
        <v>149</v>
      </c>
      <c r="B156" s="152"/>
      <c r="C156" s="152"/>
      <c r="D156" s="152"/>
      <c r="E156" s="152"/>
      <c r="F156" s="19">
        <f>SUM(I5)</f>
        <v>0</v>
      </c>
    </row>
    <row r="157" spans="1:6" x14ac:dyDescent="0.2">
      <c r="A157" s="364" t="s">
        <v>63</v>
      </c>
      <c r="B157" s="364"/>
      <c r="C157" s="364"/>
      <c r="D157" s="364"/>
      <c r="E157" s="151"/>
      <c r="F157" s="15">
        <f>SUM(F148:F156)</f>
        <v>73778325</v>
      </c>
    </row>
    <row r="158" spans="1:6" x14ac:dyDescent="0.2">
      <c r="A158" s="366"/>
      <c r="B158" s="366"/>
      <c r="C158" s="366"/>
      <c r="D158" s="366"/>
      <c r="E158" s="366"/>
      <c r="F158" s="366"/>
    </row>
    <row r="159" spans="1:6" x14ac:dyDescent="0.2">
      <c r="A159" s="366"/>
      <c r="B159" s="366"/>
      <c r="C159" s="366"/>
      <c r="D159" s="366"/>
      <c r="E159" s="366"/>
      <c r="F159" s="366"/>
    </row>
    <row r="160" spans="1:6" x14ac:dyDescent="0.2">
      <c r="A160" s="366"/>
      <c r="B160" s="366"/>
      <c r="C160" s="366"/>
      <c r="D160" s="366"/>
      <c r="E160" s="366"/>
      <c r="F160" s="366"/>
    </row>
    <row r="161" spans="1:6" x14ac:dyDescent="0.2">
      <c r="A161" s="364" t="s">
        <v>64</v>
      </c>
      <c r="B161" s="364"/>
      <c r="C161" s="364"/>
      <c r="D161" s="364"/>
      <c r="E161" s="364"/>
      <c r="F161" s="364"/>
    </row>
    <row r="162" spans="1:6" x14ac:dyDescent="0.2">
      <c r="A162" s="366"/>
      <c r="B162" s="366"/>
      <c r="C162" s="366"/>
      <c r="D162" s="366"/>
      <c r="E162" s="366"/>
      <c r="F162" s="366"/>
    </row>
    <row r="163" spans="1:6" x14ac:dyDescent="0.2">
      <c r="A163" s="364" t="s">
        <v>65</v>
      </c>
      <c r="B163" s="364"/>
      <c r="C163" s="364"/>
      <c r="D163" s="364"/>
      <c r="E163" s="151"/>
      <c r="F163" s="15">
        <f>SUM(H41:I41)</f>
        <v>10511784</v>
      </c>
    </row>
    <row r="164" spans="1:6" x14ac:dyDescent="0.2">
      <c r="A164" s="151" t="s">
        <v>150</v>
      </c>
      <c r="B164" s="151"/>
      <c r="C164" s="151"/>
      <c r="D164" s="151"/>
      <c r="E164" s="151"/>
      <c r="F164" s="15">
        <v>0</v>
      </c>
    </row>
    <row r="165" spans="1:6" x14ac:dyDescent="0.2">
      <c r="A165" s="364" t="s">
        <v>66</v>
      </c>
      <c r="B165" s="364"/>
      <c r="C165" s="364"/>
      <c r="D165" s="364"/>
      <c r="E165" s="151"/>
      <c r="F165" s="15">
        <f>SUM(G79)</f>
        <v>2662762</v>
      </c>
    </row>
    <row r="166" spans="1:6" x14ac:dyDescent="0.2">
      <c r="A166" s="364" t="s">
        <v>67</v>
      </c>
      <c r="B166" s="364"/>
      <c r="C166" s="364"/>
      <c r="D166" s="364"/>
      <c r="E166" s="151"/>
      <c r="F166" s="15">
        <f>G80</f>
        <v>519238</v>
      </c>
    </row>
    <row r="167" spans="1:6" x14ac:dyDescent="0.2">
      <c r="A167" s="364" t="s">
        <v>68</v>
      </c>
      <c r="B167" s="364"/>
      <c r="C167" s="364"/>
      <c r="D167" s="364"/>
      <c r="E167" s="151"/>
      <c r="F167" s="15">
        <f>SUM(G83,G82,J38,J36)</f>
        <v>10708552</v>
      </c>
    </row>
    <row r="168" spans="1:6" x14ac:dyDescent="0.2">
      <c r="A168" s="151" t="s">
        <v>151</v>
      </c>
      <c r="B168" s="151"/>
      <c r="C168" s="151"/>
      <c r="D168" s="151"/>
      <c r="E168" s="151"/>
      <c r="F168" s="15">
        <f>SUM(G86:G88)</f>
        <v>10591105</v>
      </c>
    </row>
    <row r="169" spans="1:6" x14ac:dyDescent="0.2">
      <c r="A169" s="154" t="s">
        <v>157</v>
      </c>
      <c r="B169" s="154"/>
      <c r="C169" s="154"/>
      <c r="D169" s="154"/>
      <c r="E169" s="154"/>
      <c r="F169" s="15">
        <f>SUM(G89:G90)</f>
        <v>38784884</v>
      </c>
    </row>
    <row r="170" spans="1:6" x14ac:dyDescent="0.2">
      <c r="A170" s="151" t="s">
        <v>69</v>
      </c>
      <c r="B170" s="151"/>
      <c r="C170" s="151"/>
      <c r="D170" s="151"/>
      <c r="E170" s="151"/>
      <c r="F170" s="15">
        <v>0</v>
      </c>
    </row>
    <row r="171" spans="1:6" x14ac:dyDescent="0.2">
      <c r="A171" s="20" t="s">
        <v>152</v>
      </c>
      <c r="B171" s="20"/>
      <c r="C171" s="20"/>
      <c r="D171" s="21"/>
      <c r="E171" s="21"/>
      <c r="F171" s="22">
        <v>0</v>
      </c>
    </row>
    <row r="172" spans="1:6" x14ac:dyDescent="0.2">
      <c r="A172" s="362" t="s">
        <v>63</v>
      </c>
      <c r="B172" s="362"/>
      <c r="C172" s="362"/>
      <c r="D172" s="362"/>
      <c r="E172" s="151"/>
      <c r="F172" s="15">
        <f>SUM(F163:F171)</f>
        <v>73778325</v>
      </c>
    </row>
    <row r="173" spans="1:6" x14ac:dyDescent="0.2">
      <c r="A173" s="151"/>
      <c r="B173" s="16"/>
      <c r="C173" s="23"/>
      <c r="D173" s="14"/>
      <c r="E173" s="14"/>
      <c r="F173" s="15"/>
    </row>
    <row r="174" spans="1:6" x14ac:dyDescent="0.2">
      <c r="A174" s="364" t="s">
        <v>70</v>
      </c>
      <c r="B174" s="364"/>
      <c r="C174" s="364"/>
      <c r="D174" s="364"/>
      <c r="E174" s="364"/>
      <c r="F174" s="364"/>
    </row>
    <row r="175" spans="1:6" x14ac:dyDescent="0.2">
      <c r="A175" s="153"/>
      <c r="B175" s="153"/>
      <c r="C175" s="153"/>
      <c r="D175" s="14"/>
      <c r="E175" s="14"/>
      <c r="F175" s="15"/>
    </row>
    <row r="176" spans="1:6" x14ac:dyDescent="0.2">
      <c r="A176" s="16" t="s">
        <v>145</v>
      </c>
      <c r="B176" s="16"/>
      <c r="C176" s="16"/>
      <c r="D176" s="16"/>
      <c r="E176" s="151"/>
      <c r="F176" s="15">
        <v>0</v>
      </c>
    </row>
    <row r="177" spans="1:6" x14ac:dyDescent="0.2">
      <c r="A177" s="364" t="s">
        <v>146</v>
      </c>
      <c r="B177" s="364"/>
      <c r="C177" s="364"/>
      <c r="D177" s="364"/>
      <c r="E177" s="151"/>
      <c r="F177" s="15">
        <v>0</v>
      </c>
    </row>
    <row r="178" spans="1:6" x14ac:dyDescent="0.2">
      <c r="A178" s="16" t="s">
        <v>147</v>
      </c>
      <c r="B178" s="151"/>
      <c r="C178" s="151"/>
      <c r="D178" s="151"/>
      <c r="E178" s="151"/>
      <c r="F178" s="15">
        <f>SUM(F9,F27)</f>
        <v>0</v>
      </c>
    </row>
    <row r="179" spans="1:6" x14ac:dyDescent="0.2">
      <c r="A179" s="364" t="s">
        <v>148</v>
      </c>
      <c r="B179" s="364"/>
      <c r="C179" s="364"/>
      <c r="D179" s="364"/>
      <c r="E179" s="151"/>
      <c r="F179" s="15">
        <v>0</v>
      </c>
    </row>
    <row r="180" spans="1:6" x14ac:dyDescent="0.2">
      <c r="A180" s="364" t="s">
        <v>153</v>
      </c>
      <c r="B180" s="364"/>
      <c r="C180" s="364"/>
      <c r="D180" s="364"/>
      <c r="E180" s="151"/>
      <c r="F180" s="15">
        <v>0</v>
      </c>
    </row>
    <row r="181" spans="1:6" x14ac:dyDescent="0.2">
      <c r="A181" s="16" t="s">
        <v>154</v>
      </c>
      <c r="B181" s="16"/>
      <c r="C181" s="16"/>
      <c r="D181" s="16"/>
      <c r="E181" s="151"/>
      <c r="F181" s="15">
        <v>0</v>
      </c>
    </row>
    <row r="182" spans="1:6" x14ac:dyDescent="0.2">
      <c r="A182" s="151" t="s">
        <v>61</v>
      </c>
      <c r="B182" s="151"/>
      <c r="C182" s="151"/>
      <c r="D182" s="151"/>
      <c r="E182" s="151"/>
      <c r="F182" s="15">
        <v>0</v>
      </c>
    </row>
    <row r="183" spans="1:6" x14ac:dyDescent="0.2">
      <c r="A183" s="365" t="s">
        <v>62</v>
      </c>
      <c r="B183" s="365"/>
      <c r="C183" s="365"/>
      <c r="D183" s="365"/>
      <c r="E183" s="152"/>
      <c r="F183" s="19">
        <f>SUM(F23:F24)</f>
        <v>0</v>
      </c>
    </row>
    <row r="184" spans="1:6" x14ac:dyDescent="0.2">
      <c r="A184" s="362" t="s">
        <v>63</v>
      </c>
      <c r="B184" s="362"/>
      <c r="C184" s="362"/>
      <c r="D184" s="362"/>
      <c r="E184" s="151"/>
      <c r="F184" s="15">
        <f>SUM(F176:F183)</f>
        <v>0</v>
      </c>
    </row>
    <row r="185" spans="1:6" x14ac:dyDescent="0.2">
      <c r="A185" s="366"/>
      <c r="B185" s="366"/>
      <c r="C185" s="366"/>
      <c r="D185" s="366"/>
      <c r="E185" s="366"/>
      <c r="F185" s="366"/>
    </row>
    <row r="186" spans="1:6" x14ac:dyDescent="0.2">
      <c r="A186" s="366"/>
      <c r="B186" s="366"/>
      <c r="C186" s="366"/>
      <c r="D186" s="366"/>
      <c r="E186" s="366"/>
      <c r="F186" s="366"/>
    </row>
    <row r="187" spans="1:6" x14ac:dyDescent="0.2">
      <c r="A187" s="366"/>
      <c r="B187" s="366"/>
      <c r="C187" s="366"/>
      <c r="D187" s="366"/>
      <c r="E187" s="366"/>
      <c r="F187" s="366"/>
    </row>
    <row r="188" spans="1:6" x14ac:dyDescent="0.2">
      <c r="A188" s="364" t="s">
        <v>71</v>
      </c>
      <c r="B188" s="364"/>
      <c r="C188" s="364"/>
      <c r="D188" s="364"/>
      <c r="E188" s="364"/>
      <c r="F188" s="364"/>
    </row>
    <row r="189" spans="1:6" x14ac:dyDescent="0.2">
      <c r="A189" s="366"/>
      <c r="B189" s="366"/>
      <c r="C189" s="366"/>
      <c r="D189" s="366"/>
      <c r="E189" s="366"/>
      <c r="F189" s="366"/>
    </row>
    <row r="190" spans="1:6" x14ac:dyDescent="0.2">
      <c r="A190" s="364" t="s">
        <v>65</v>
      </c>
      <c r="B190" s="364"/>
      <c r="C190" s="364"/>
      <c r="D190" s="364"/>
      <c r="E190" s="151"/>
      <c r="F190" s="15">
        <v>0</v>
      </c>
    </row>
    <row r="191" spans="1:6" x14ac:dyDescent="0.2">
      <c r="A191" s="151" t="s">
        <v>162</v>
      </c>
      <c r="B191" s="151"/>
      <c r="C191" s="151"/>
      <c r="D191" s="151"/>
      <c r="E191" s="151"/>
      <c r="F191" s="15">
        <f>F39</f>
        <v>1253</v>
      </c>
    </row>
    <row r="192" spans="1:6" x14ac:dyDescent="0.2">
      <c r="A192" s="364" t="s">
        <v>66</v>
      </c>
      <c r="B192" s="364"/>
      <c r="C192" s="364"/>
      <c r="D192" s="364"/>
      <c r="E192" s="151"/>
      <c r="F192" s="15">
        <f>SUM(F79)</f>
        <v>2611378</v>
      </c>
    </row>
    <row r="193" spans="1:6" x14ac:dyDescent="0.2">
      <c r="A193" s="364" t="s">
        <v>67</v>
      </c>
      <c r="B193" s="364"/>
      <c r="C193" s="364"/>
      <c r="D193" s="364"/>
      <c r="E193" s="151"/>
      <c r="F193" s="15">
        <f>SUM(F80)</f>
        <v>459281</v>
      </c>
    </row>
    <row r="194" spans="1:6" x14ac:dyDescent="0.2">
      <c r="A194" s="364" t="s">
        <v>68</v>
      </c>
      <c r="B194" s="364"/>
      <c r="C194" s="364"/>
      <c r="D194" s="364"/>
      <c r="E194" s="151"/>
      <c r="F194" s="15">
        <f>SUM(F33:F36,F81:F85)</f>
        <v>-3071912</v>
      </c>
    </row>
    <row r="195" spans="1:6" x14ac:dyDescent="0.2">
      <c r="A195" s="151" t="s">
        <v>72</v>
      </c>
      <c r="B195" s="151"/>
      <c r="C195" s="151"/>
      <c r="D195" s="151"/>
      <c r="E195" s="151"/>
      <c r="F195" s="15">
        <f>G71+G72</f>
        <v>0</v>
      </c>
    </row>
    <row r="196" spans="1:6" x14ac:dyDescent="0.2">
      <c r="A196" s="151" t="s">
        <v>73</v>
      </c>
      <c r="B196" s="151"/>
      <c r="C196" s="151"/>
      <c r="D196" s="151"/>
      <c r="E196" s="151"/>
      <c r="F196" s="15">
        <f>G74+G76</f>
        <v>0</v>
      </c>
    </row>
    <row r="197" spans="1:6" x14ac:dyDescent="0.2">
      <c r="A197" s="20" t="s">
        <v>152</v>
      </c>
      <c r="B197" s="20"/>
      <c r="C197" s="20"/>
      <c r="D197" s="21"/>
      <c r="E197" s="21"/>
      <c r="F197" s="22">
        <v>0</v>
      </c>
    </row>
    <row r="198" spans="1:6" x14ac:dyDescent="0.2">
      <c r="A198" s="362" t="s">
        <v>63</v>
      </c>
      <c r="B198" s="362"/>
      <c r="C198" s="362"/>
      <c r="D198" s="362"/>
      <c r="E198" s="151"/>
      <c r="F198" s="15">
        <f>SUM(F190:F197)</f>
        <v>0</v>
      </c>
    </row>
    <row r="199" spans="1:6" x14ac:dyDescent="0.2">
      <c r="A199" s="24"/>
      <c r="B199" s="25"/>
      <c r="C199" s="26"/>
      <c r="D199" s="27"/>
      <c r="E199" s="27"/>
      <c r="F199" s="28"/>
    </row>
    <row r="200" spans="1:6" x14ac:dyDescent="0.2">
      <c r="A200" s="24"/>
      <c r="B200" s="25"/>
      <c r="C200" s="26"/>
      <c r="D200" s="27"/>
      <c r="E200" s="27"/>
      <c r="F200" s="28"/>
    </row>
    <row r="201" spans="1:6" x14ac:dyDescent="0.2">
      <c r="A201" s="359" t="s">
        <v>74</v>
      </c>
      <c r="B201" s="359"/>
      <c r="C201" s="359"/>
      <c r="D201" s="359"/>
      <c r="E201" s="359"/>
      <c r="F201" s="359"/>
    </row>
    <row r="202" spans="1:6" x14ac:dyDescent="0.2">
      <c r="A202" s="361"/>
      <c r="B202" s="361"/>
      <c r="C202" s="361"/>
      <c r="D202" s="361"/>
      <c r="E202" s="361"/>
      <c r="F202" s="361"/>
    </row>
    <row r="203" spans="1:6" x14ac:dyDescent="0.2">
      <c r="A203" s="149"/>
      <c r="B203" s="149"/>
      <c r="C203" s="149"/>
      <c r="D203" s="30"/>
      <c r="E203" s="30"/>
      <c r="F203" s="31"/>
    </row>
    <row r="204" spans="1:6" x14ac:dyDescent="0.2">
      <c r="A204" s="148" t="s">
        <v>145</v>
      </c>
      <c r="B204" s="32"/>
      <c r="C204" s="32"/>
      <c r="D204" s="32"/>
      <c r="E204" s="32"/>
      <c r="F204" s="31">
        <f>SUM(F148,F176)</f>
        <v>0</v>
      </c>
    </row>
    <row r="205" spans="1:6" x14ac:dyDescent="0.2">
      <c r="A205" s="148" t="s">
        <v>146</v>
      </c>
      <c r="B205" s="32"/>
      <c r="C205" s="32"/>
      <c r="D205" s="32"/>
      <c r="E205" s="148"/>
      <c r="F205" s="31">
        <f>SUM(F149,F177)</f>
        <v>0</v>
      </c>
    </row>
    <row r="206" spans="1:6" x14ac:dyDescent="0.2">
      <c r="A206" s="359" t="s">
        <v>155</v>
      </c>
      <c r="B206" s="359"/>
      <c r="C206" s="359"/>
      <c r="D206" s="359"/>
      <c r="E206" s="148"/>
      <c r="F206" s="31">
        <f>SUM(F150,F178)</f>
        <v>10511784</v>
      </c>
    </row>
    <row r="207" spans="1:6" x14ac:dyDescent="0.2">
      <c r="A207" s="359" t="s">
        <v>160</v>
      </c>
      <c r="B207" s="359"/>
      <c r="C207" s="359"/>
      <c r="D207" s="359"/>
      <c r="E207" s="148"/>
      <c r="F207" s="31">
        <f>F151+F179</f>
        <v>13839752</v>
      </c>
    </row>
    <row r="208" spans="1:6" x14ac:dyDescent="0.2">
      <c r="A208" s="359" t="s">
        <v>156</v>
      </c>
      <c r="B208" s="359"/>
      <c r="C208" s="359"/>
      <c r="D208" s="359"/>
      <c r="E208" s="148"/>
      <c r="F208" s="31">
        <f>F152+F180</f>
        <v>0</v>
      </c>
    </row>
    <row r="209" spans="1:6" x14ac:dyDescent="0.2">
      <c r="A209" s="32" t="s">
        <v>161</v>
      </c>
      <c r="B209" s="32"/>
      <c r="C209" s="32"/>
      <c r="D209" s="32"/>
      <c r="E209" s="148"/>
      <c r="F209" s="31">
        <f>SUM(F181,F153)</f>
        <v>49375989</v>
      </c>
    </row>
    <row r="210" spans="1:6" x14ac:dyDescent="0.2">
      <c r="A210" s="148" t="s">
        <v>61</v>
      </c>
      <c r="B210" s="148"/>
      <c r="C210" s="148"/>
      <c r="D210" s="148"/>
      <c r="E210" s="148"/>
      <c r="F210" s="31">
        <f>F182+F154</f>
        <v>0</v>
      </c>
    </row>
    <row r="211" spans="1:6" x14ac:dyDescent="0.2">
      <c r="A211" s="359" t="s">
        <v>62</v>
      </c>
      <c r="B211" s="359"/>
      <c r="C211" s="359"/>
      <c r="D211" s="359"/>
      <c r="E211" s="148"/>
      <c r="F211" s="31">
        <f>F183+F155</f>
        <v>50800</v>
      </c>
    </row>
    <row r="212" spans="1:6" x14ac:dyDescent="0.2">
      <c r="A212" s="150" t="s">
        <v>149</v>
      </c>
      <c r="B212" s="150"/>
      <c r="C212" s="150"/>
      <c r="D212" s="150"/>
      <c r="E212" s="150"/>
      <c r="F212" s="35">
        <f>F156</f>
        <v>0</v>
      </c>
    </row>
    <row r="213" spans="1:6" x14ac:dyDescent="0.2">
      <c r="A213" s="359" t="s">
        <v>63</v>
      </c>
      <c r="B213" s="359"/>
      <c r="C213" s="359"/>
      <c r="D213" s="359"/>
      <c r="E213" s="148"/>
      <c r="F213" s="31">
        <f>SUM(F204:F212)</f>
        <v>73778325</v>
      </c>
    </row>
    <row r="214" spans="1:6" x14ac:dyDescent="0.2">
      <c r="A214" s="148"/>
      <c r="B214" s="148"/>
      <c r="C214" s="148"/>
      <c r="D214" s="148"/>
      <c r="E214" s="148"/>
      <c r="F214" s="31"/>
    </row>
    <row r="215" spans="1:6" x14ac:dyDescent="0.2">
      <c r="A215" s="148"/>
      <c r="B215" s="148"/>
      <c r="C215" s="148"/>
      <c r="D215" s="148"/>
      <c r="E215" s="148"/>
      <c r="F215" s="31"/>
    </row>
    <row r="216" spans="1:6" x14ac:dyDescent="0.2">
      <c r="A216" s="361"/>
      <c r="B216" s="361"/>
      <c r="C216" s="361"/>
      <c r="D216" s="361"/>
      <c r="E216" s="361"/>
      <c r="F216" s="361"/>
    </row>
    <row r="217" spans="1:6" x14ac:dyDescent="0.2">
      <c r="A217" s="359" t="s">
        <v>76</v>
      </c>
      <c r="B217" s="359"/>
      <c r="C217" s="359"/>
      <c r="D217" s="359"/>
      <c r="E217" s="359"/>
      <c r="F217" s="359"/>
    </row>
    <row r="218" spans="1:6" x14ac:dyDescent="0.2">
      <c r="A218" s="361"/>
      <c r="B218" s="361"/>
      <c r="C218" s="361"/>
      <c r="D218" s="361"/>
      <c r="E218" s="361"/>
      <c r="F218" s="361"/>
    </row>
    <row r="219" spans="1:6" x14ac:dyDescent="0.2">
      <c r="A219" s="359" t="s">
        <v>65</v>
      </c>
      <c r="B219" s="359"/>
      <c r="C219" s="359"/>
      <c r="D219" s="359"/>
      <c r="E219" s="148"/>
      <c r="F219" s="31">
        <f>SUM(F190,F163)</f>
        <v>10511784</v>
      </c>
    </row>
    <row r="220" spans="1:6" x14ac:dyDescent="0.2">
      <c r="A220" s="148" t="s">
        <v>162</v>
      </c>
      <c r="B220" s="148"/>
      <c r="C220" s="148"/>
      <c r="D220" s="148"/>
      <c r="E220" s="148"/>
      <c r="F220" s="31">
        <f>F191+F164</f>
        <v>1253</v>
      </c>
    </row>
    <row r="221" spans="1:6" x14ac:dyDescent="0.2">
      <c r="A221" s="359" t="s">
        <v>66</v>
      </c>
      <c r="B221" s="359"/>
      <c r="C221" s="359"/>
      <c r="D221" s="359"/>
      <c r="E221" s="148"/>
      <c r="F221" s="31">
        <f>F192+F165</f>
        <v>5274140</v>
      </c>
    </row>
    <row r="222" spans="1:6" x14ac:dyDescent="0.2">
      <c r="A222" s="359" t="s">
        <v>67</v>
      </c>
      <c r="B222" s="359"/>
      <c r="C222" s="359"/>
      <c r="D222" s="359"/>
      <c r="E222" s="148"/>
      <c r="F222" s="31">
        <f>F193+F166</f>
        <v>978519</v>
      </c>
    </row>
    <row r="223" spans="1:6" x14ac:dyDescent="0.2">
      <c r="A223" s="359" t="s">
        <v>68</v>
      </c>
      <c r="B223" s="359"/>
      <c r="C223" s="359"/>
      <c r="D223" s="359"/>
      <c r="E223" s="148"/>
      <c r="F223" s="31">
        <f>F194+F167</f>
        <v>7636640</v>
      </c>
    </row>
    <row r="224" spans="1:6" x14ac:dyDescent="0.2">
      <c r="A224" s="148" t="s">
        <v>72</v>
      </c>
      <c r="B224" s="148"/>
      <c r="C224" s="148"/>
      <c r="D224" s="148"/>
      <c r="E224" s="148"/>
      <c r="F224" s="31">
        <f>SUM(F195,F168)</f>
        <v>10591105</v>
      </c>
    </row>
    <row r="225" spans="1:6" x14ac:dyDescent="0.2">
      <c r="A225" s="148" t="s">
        <v>73</v>
      </c>
      <c r="B225" s="148"/>
      <c r="C225" s="148"/>
      <c r="D225" s="148"/>
      <c r="E225" s="148"/>
      <c r="F225" s="31">
        <f>SUM(F196,F169)</f>
        <v>38784884</v>
      </c>
    </row>
    <row r="226" spans="1:6" x14ac:dyDescent="0.2">
      <c r="A226" s="36" t="s">
        <v>152</v>
      </c>
      <c r="B226" s="36"/>
      <c r="C226" s="36"/>
      <c r="D226" s="37"/>
      <c r="E226" s="37"/>
      <c r="F226" s="155">
        <f>F197+F171</f>
        <v>0</v>
      </c>
    </row>
    <row r="227" spans="1:6" x14ac:dyDescent="0.2">
      <c r="A227" s="360" t="s">
        <v>63</v>
      </c>
      <c r="B227" s="360"/>
      <c r="C227" s="360"/>
      <c r="D227" s="360"/>
      <c r="E227" s="148"/>
      <c r="F227" s="31">
        <f>SUM(F219:F226)</f>
        <v>73778325</v>
      </c>
    </row>
  </sheetData>
  <autoFilter ref="A5:M91" xr:uid="{00000000-0009-0000-0000-000007000000}"/>
  <mergeCells count="82">
    <mergeCell ref="B25:B26"/>
    <mergeCell ref="A30:C30"/>
    <mergeCell ref="A31:A41"/>
    <mergeCell ref="B31:B38"/>
    <mergeCell ref="B39:B41"/>
    <mergeCell ref="A1:M1"/>
    <mergeCell ref="A4:A5"/>
    <mergeCell ref="B4:B5"/>
    <mergeCell ref="C4:C5"/>
    <mergeCell ref="D4:D5"/>
    <mergeCell ref="E4:E5"/>
    <mergeCell ref="F4:J4"/>
    <mergeCell ref="K4:K5"/>
    <mergeCell ref="L4:L5"/>
    <mergeCell ref="M4:M5"/>
    <mergeCell ref="A44:A45"/>
    <mergeCell ref="B44:B45"/>
    <mergeCell ref="A6:A10"/>
    <mergeCell ref="B6:B8"/>
    <mergeCell ref="B9:B10"/>
    <mergeCell ref="A15:A19"/>
    <mergeCell ref="B15:B17"/>
    <mergeCell ref="A11:A12"/>
    <mergeCell ref="B11:B12"/>
    <mergeCell ref="A42:A43"/>
    <mergeCell ref="B42:B43"/>
    <mergeCell ref="B18:B19"/>
    <mergeCell ref="A20:A24"/>
    <mergeCell ref="B20:B22"/>
    <mergeCell ref="B23:B24"/>
    <mergeCell ref="A25:A26"/>
    <mergeCell ref="A97:B138"/>
    <mergeCell ref="A46:A47"/>
    <mergeCell ref="B46:B47"/>
    <mergeCell ref="A48:A59"/>
    <mergeCell ref="B48:B59"/>
    <mergeCell ref="A60:A78"/>
    <mergeCell ref="B61:B78"/>
    <mergeCell ref="A79:A90"/>
    <mergeCell ref="B79:B90"/>
    <mergeCell ref="A91:C91"/>
    <mergeCell ref="A151:D151"/>
    <mergeCell ref="A152:D152"/>
    <mergeCell ref="A155:D155"/>
    <mergeCell ref="A157:D157"/>
    <mergeCell ref="A158:F160"/>
    <mergeCell ref="A161:F161"/>
    <mergeCell ref="A162:F162"/>
    <mergeCell ref="A163:D163"/>
    <mergeCell ref="A165:D165"/>
    <mergeCell ref="A166:D166"/>
    <mergeCell ref="A167:D167"/>
    <mergeCell ref="A172:D172"/>
    <mergeCell ref="A174:F174"/>
    <mergeCell ref="A177:D177"/>
    <mergeCell ref="A179:D179"/>
    <mergeCell ref="A180:D180"/>
    <mergeCell ref="A183:D183"/>
    <mergeCell ref="A184:D184"/>
    <mergeCell ref="A185:F187"/>
    <mergeCell ref="A188:F188"/>
    <mergeCell ref="A189:F189"/>
    <mergeCell ref="A190:D190"/>
    <mergeCell ref="A192:D192"/>
    <mergeCell ref="A193:D193"/>
    <mergeCell ref="A194:D194"/>
    <mergeCell ref="A198:D198"/>
    <mergeCell ref="A201:F201"/>
    <mergeCell ref="A202:F202"/>
    <mergeCell ref="A206:D206"/>
    <mergeCell ref="A207:D207"/>
    <mergeCell ref="A208:D208"/>
    <mergeCell ref="A211:D211"/>
    <mergeCell ref="A213:D213"/>
    <mergeCell ref="A216:F216"/>
    <mergeCell ref="A217:F217"/>
    <mergeCell ref="A227:D227"/>
    <mergeCell ref="A218:F218"/>
    <mergeCell ref="A219:D219"/>
    <mergeCell ref="A221:D221"/>
    <mergeCell ref="A222:D222"/>
    <mergeCell ref="A223:D223"/>
  </mergeCells>
  <pageMargins left="0.7" right="0.7" top="0.75" bottom="0.75" header="0.3" footer="0.3"/>
  <pageSetup paperSize="9" scale="43" orientation="portrait" r:id="rId1"/>
  <rowBreaks count="1" manualBreakCount="1"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45"/>
  <sheetViews>
    <sheetView workbookViewId="0">
      <pane xSplit="2" ySplit="5" topLeftCell="C6" activePane="bottomRight" state="frozen"/>
      <selection activeCell="Q21" sqref="Q21"/>
      <selection pane="topRight" activeCell="Q21" sqref="Q21"/>
      <selection pane="bottomLeft" activeCell="Q21" sqref="Q21"/>
      <selection pane="bottomRight" activeCell="Q21" sqref="Q21"/>
    </sheetView>
  </sheetViews>
  <sheetFormatPr defaultRowHeight="12.75" x14ac:dyDescent="0.2"/>
  <cols>
    <col min="1" max="1" width="35.85546875" customWidth="1"/>
    <col min="2" max="2" width="7.7109375" style="96" customWidth="1"/>
    <col min="3" max="3" width="8" customWidth="1"/>
    <col min="4" max="4" width="13" customWidth="1"/>
    <col min="5" max="5" width="12.7109375" customWidth="1"/>
    <col min="6" max="9" width="11.140625" customWidth="1"/>
    <col min="10" max="10" width="12.85546875" customWidth="1"/>
    <col min="11" max="11" width="13.5703125" style="101" customWidth="1"/>
    <col min="12" max="12" width="12.42578125" customWidth="1"/>
  </cols>
  <sheetData>
    <row r="1" spans="1:12" x14ac:dyDescent="0.2">
      <c r="A1" s="407" t="s">
        <v>82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</row>
    <row r="2" spans="1:12" x14ac:dyDescent="0.2">
      <c r="F2" s="2"/>
    </row>
    <row r="3" spans="1:12" x14ac:dyDescent="0.2">
      <c r="E3" s="5"/>
      <c r="F3" s="3"/>
      <c r="K3" s="102"/>
    </row>
    <row r="4" spans="1:12" x14ac:dyDescent="0.2">
      <c r="A4" s="502" t="s">
        <v>19</v>
      </c>
      <c r="B4" s="504" t="s">
        <v>0</v>
      </c>
      <c r="C4" s="502" t="s">
        <v>44</v>
      </c>
      <c r="D4" s="502" t="s">
        <v>21</v>
      </c>
      <c r="E4" s="506" t="s">
        <v>137</v>
      </c>
      <c r="F4" s="508" t="s">
        <v>164</v>
      </c>
      <c r="G4" s="509"/>
      <c r="H4" s="509"/>
      <c r="I4" s="510"/>
      <c r="J4" s="506" t="s">
        <v>142</v>
      </c>
      <c r="K4" s="511" t="s">
        <v>166</v>
      </c>
      <c r="L4" s="512" t="s">
        <v>165</v>
      </c>
    </row>
    <row r="5" spans="1:12" ht="32.25" customHeight="1" x14ac:dyDescent="0.2">
      <c r="A5" s="503"/>
      <c r="B5" s="505"/>
      <c r="C5" s="503"/>
      <c r="D5" s="503"/>
      <c r="E5" s="507"/>
      <c r="F5" s="160" t="s">
        <v>43</v>
      </c>
      <c r="G5" s="161" t="s">
        <v>144</v>
      </c>
      <c r="H5" s="161" t="s">
        <v>163</v>
      </c>
      <c r="I5" s="161" t="s">
        <v>141</v>
      </c>
      <c r="J5" s="507"/>
      <c r="K5" s="511"/>
      <c r="L5" s="512"/>
    </row>
    <row r="6" spans="1:12" x14ac:dyDescent="0.2">
      <c r="A6" s="482" t="s">
        <v>38</v>
      </c>
      <c r="B6" s="378" t="s">
        <v>1</v>
      </c>
      <c r="C6" s="41" t="s">
        <v>41</v>
      </c>
      <c r="D6" s="42">
        <v>0</v>
      </c>
      <c r="E6" s="42">
        <v>40000</v>
      </c>
      <c r="F6" s="43"/>
      <c r="G6" s="38"/>
      <c r="H6" s="38"/>
      <c r="I6" s="38"/>
      <c r="J6" s="4">
        <f t="shared" ref="J6:J30" si="0">SUM(E6:I6)</f>
        <v>40000</v>
      </c>
      <c r="K6" s="103">
        <v>40000</v>
      </c>
      <c r="L6" s="4">
        <f>J6-K6</f>
        <v>0</v>
      </c>
    </row>
    <row r="7" spans="1:12" x14ac:dyDescent="0.2">
      <c r="A7" s="482"/>
      <c r="B7" s="378"/>
      <c r="C7" s="41" t="s">
        <v>139</v>
      </c>
      <c r="D7" s="42">
        <v>0</v>
      </c>
      <c r="E7" s="42">
        <v>10800</v>
      </c>
      <c r="F7" s="43"/>
      <c r="G7" s="38"/>
      <c r="H7" s="38"/>
      <c r="I7" s="38"/>
      <c r="J7" s="4">
        <f t="shared" si="0"/>
        <v>10800</v>
      </c>
      <c r="K7" s="103">
        <v>10800</v>
      </c>
      <c r="L7" s="4">
        <f t="shared" ref="L7:L30" si="1">J7-K7</f>
        <v>0</v>
      </c>
    </row>
    <row r="8" spans="1:12" x14ac:dyDescent="0.2">
      <c r="A8" s="482"/>
      <c r="B8" s="378"/>
      <c r="C8" s="41" t="s">
        <v>40</v>
      </c>
      <c r="D8" s="42">
        <v>1500</v>
      </c>
      <c r="E8" s="42">
        <v>1500</v>
      </c>
      <c r="F8" s="43">
        <v>-1643</v>
      </c>
      <c r="G8" s="38"/>
      <c r="H8" s="38"/>
      <c r="I8" s="38">
        <v>2000</v>
      </c>
      <c r="J8" s="4">
        <f t="shared" si="0"/>
        <v>1857</v>
      </c>
      <c r="K8" s="103">
        <v>1287</v>
      </c>
      <c r="L8" s="4">
        <f t="shared" si="1"/>
        <v>570</v>
      </c>
    </row>
    <row r="9" spans="1:12" x14ac:dyDescent="0.2">
      <c r="A9" s="482"/>
      <c r="B9" s="379" t="s">
        <v>4</v>
      </c>
      <c r="C9" s="41" t="s">
        <v>25</v>
      </c>
      <c r="D9" s="42">
        <v>2468000</v>
      </c>
      <c r="E9" s="42">
        <v>2468000</v>
      </c>
      <c r="F9" s="43"/>
      <c r="G9" s="38"/>
      <c r="H9" s="38"/>
      <c r="I9" s="38"/>
      <c r="J9" s="4">
        <f t="shared" si="0"/>
        <v>2468000</v>
      </c>
      <c r="K9" s="132">
        <v>2468000</v>
      </c>
      <c r="L9" s="120">
        <f t="shared" si="1"/>
        <v>0</v>
      </c>
    </row>
    <row r="10" spans="1:12" x14ac:dyDescent="0.2">
      <c r="A10" s="482"/>
      <c r="B10" s="380"/>
      <c r="C10" s="41" t="s">
        <v>28</v>
      </c>
      <c r="D10" s="42">
        <v>10810958</v>
      </c>
      <c r="E10" s="42">
        <v>10810958</v>
      </c>
      <c r="F10" s="43"/>
      <c r="G10" s="38"/>
      <c r="H10" s="38"/>
      <c r="I10" s="38"/>
      <c r="J10" s="4">
        <f t="shared" si="0"/>
        <v>10810958</v>
      </c>
      <c r="K10" s="103">
        <v>10810958</v>
      </c>
      <c r="L10" s="4">
        <f t="shared" si="1"/>
        <v>0</v>
      </c>
    </row>
    <row r="11" spans="1:12" x14ac:dyDescent="0.2">
      <c r="A11" s="483" t="s">
        <v>50</v>
      </c>
      <c r="B11" s="341" t="s">
        <v>4</v>
      </c>
      <c r="C11" s="41" t="s">
        <v>25</v>
      </c>
      <c r="D11" s="42">
        <v>7005263</v>
      </c>
      <c r="E11" s="42">
        <v>7005263</v>
      </c>
      <c r="F11" s="43"/>
      <c r="G11" s="38"/>
      <c r="H11" s="38"/>
      <c r="I11" s="38"/>
      <c r="J11" s="4">
        <f t="shared" si="0"/>
        <v>7005263</v>
      </c>
      <c r="K11" s="103">
        <v>4534589</v>
      </c>
      <c r="L11" s="4">
        <f t="shared" si="1"/>
        <v>2470674</v>
      </c>
    </row>
    <row r="12" spans="1:12" x14ac:dyDescent="0.2">
      <c r="A12" s="484"/>
      <c r="B12" s="342"/>
      <c r="C12" s="41" t="s">
        <v>37</v>
      </c>
      <c r="D12" s="42">
        <v>4500000</v>
      </c>
      <c r="E12" s="42">
        <v>4500000</v>
      </c>
      <c r="F12" s="43"/>
      <c r="G12" s="38"/>
      <c r="H12" s="38"/>
      <c r="I12" s="38"/>
      <c r="J12" s="4">
        <f t="shared" si="0"/>
        <v>4500000</v>
      </c>
      <c r="K12" s="103">
        <v>4052373</v>
      </c>
      <c r="L12" s="4">
        <f t="shared" si="1"/>
        <v>447627</v>
      </c>
    </row>
    <row r="13" spans="1:12" x14ac:dyDescent="0.2">
      <c r="A13" s="157" t="s">
        <v>26</v>
      </c>
      <c r="B13" s="97" t="s">
        <v>4</v>
      </c>
      <c r="C13" s="41" t="s">
        <v>25</v>
      </c>
      <c r="D13" s="42">
        <v>19746500</v>
      </c>
      <c r="E13" s="42">
        <v>19746500</v>
      </c>
      <c r="F13" s="43"/>
      <c r="G13" s="38"/>
      <c r="H13" s="38"/>
      <c r="I13" s="38"/>
      <c r="J13" s="4">
        <f t="shared" si="0"/>
        <v>19746500</v>
      </c>
      <c r="K13" s="103">
        <v>12623625</v>
      </c>
      <c r="L13" s="4">
        <f t="shared" si="1"/>
        <v>7122875</v>
      </c>
    </row>
    <row r="14" spans="1:12" x14ac:dyDescent="0.2">
      <c r="A14" s="158" t="s">
        <v>45</v>
      </c>
      <c r="B14" s="97" t="s">
        <v>4</v>
      </c>
      <c r="C14" s="41" t="s">
        <v>25</v>
      </c>
      <c r="D14" s="42">
        <v>16258950</v>
      </c>
      <c r="E14" s="42">
        <v>16258950</v>
      </c>
      <c r="F14" s="43"/>
      <c r="G14" s="38"/>
      <c r="H14" s="38"/>
      <c r="I14" s="38"/>
      <c r="J14" s="4">
        <f>SUM(E14:I14)</f>
        <v>16258950</v>
      </c>
      <c r="K14" s="103">
        <v>10328397</v>
      </c>
      <c r="L14" s="4">
        <f>J14-K14</f>
        <v>5930553</v>
      </c>
    </row>
    <row r="15" spans="1:12" x14ac:dyDescent="0.2">
      <c r="A15" s="483" t="s">
        <v>46</v>
      </c>
      <c r="B15" s="381" t="s">
        <v>4</v>
      </c>
      <c r="C15" s="41" t="s">
        <v>25</v>
      </c>
      <c r="D15" s="42">
        <v>0</v>
      </c>
      <c r="E15" s="42">
        <v>0</v>
      </c>
      <c r="F15" s="43"/>
      <c r="G15" s="38"/>
      <c r="H15" s="38"/>
      <c r="I15" s="38"/>
      <c r="J15" s="4">
        <f t="shared" si="0"/>
        <v>0</v>
      </c>
      <c r="K15" s="103">
        <v>0</v>
      </c>
      <c r="L15" s="4">
        <f t="shared" si="1"/>
        <v>0</v>
      </c>
    </row>
    <row r="16" spans="1:12" x14ac:dyDescent="0.2">
      <c r="A16" s="485"/>
      <c r="B16" s="381"/>
      <c r="C16" s="41" t="s">
        <v>37</v>
      </c>
      <c r="D16" s="42">
        <v>0</v>
      </c>
      <c r="E16" s="42">
        <v>0</v>
      </c>
      <c r="F16" s="43"/>
      <c r="G16" s="38"/>
      <c r="H16" s="38"/>
      <c r="I16" s="38"/>
      <c r="J16" s="4">
        <f t="shared" si="0"/>
        <v>0</v>
      </c>
      <c r="K16" s="103">
        <v>0</v>
      </c>
      <c r="L16" s="4">
        <f t="shared" si="1"/>
        <v>0</v>
      </c>
    </row>
    <row r="17" spans="1:13" x14ac:dyDescent="0.2">
      <c r="A17" s="485"/>
      <c r="B17" s="381"/>
      <c r="C17" s="41" t="s">
        <v>28</v>
      </c>
      <c r="D17" s="42">
        <v>199713</v>
      </c>
      <c r="E17" s="42">
        <v>199713</v>
      </c>
      <c r="F17" s="43"/>
      <c r="G17" s="38"/>
      <c r="H17" s="38"/>
      <c r="I17" s="38"/>
      <c r="J17" s="4">
        <f t="shared" si="0"/>
        <v>199713</v>
      </c>
      <c r="K17" s="103">
        <v>199713</v>
      </c>
      <c r="L17" s="4">
        <f t="shared" si="1"/>
        <v>0</v>
      </c>
    </row>
    <row r="18" spans="1:13" x14ac:dyDescent="0.2">
      <c r="A18" s="485"/>
      <c r="B18" s="381" t="s">
        <v>8</v>
      </c>
      <c r="C18" s="41" t="s">
        <v>40</v>
      </c>
      <c r="D18" s="42">
        <v>0</v>
      </c>
      <c r="E18" s="42">
        <v>0</v>
      </c>
      <c r="F18" s="43"/>
      <c r="G18" s="38"/>
      <c r="H18" s="38"/>
      <c r="I18" s="38"/>
      <c r="J18" s="4">
        <f t="shared" si="0"/>
        <v>0</v>
      </c>
      <c r="K18" s="103">
        <v>0</v>
      </c>
      <c r="L18" s="4">
        <f t="shared" si="1"/>
        <v>0</v>
      </c>
    </row>
    <row r="19" spans="1:13" x14ac:dyDescent="0.2">
      <c r="A19" s="485"/>
      <c r="B19" s="381"/>
      <c r="C19" s="41" t="s">
        <v>41</v>
      </c>
      <c r="D19" s="42">
        <v>0</v>
      </c>
      <c r="E19" s="42">
        <v>0</v>
      </c>
      <c r="F19" s="43"/>
      <c r="G19" s="38"/>
      <c r="H19" s="38"/>
      <c r="I19" s="38"/>
      <c r="J19" s="4">
        <f t="shared" si="0"/>
        <v>0</v>
      </c>
      <c r="K19" s="103">
        <v>0</v>
      </c>
      <c r="L19" s="4">
        <f t="shared" si="1"/>
        <v>0</v>
      </c>
    </row>
    <row r="20" spans="1:13" x14ac:dyDescent="0.2">
      <c r="A20" s="486" t="s">
        <v>47</v>
      </c>
      <c r="B20" s="341" t="s">
        <v>4</v>
      </c>
      <c r="C20" s="41" t="s">
        <v>25</v>
      </c>
      <c r="D20" s="42">
        <v>37214812</v>
      </c>
      <c r="E20" s="42">
        <v>37214812</v>
      </c>
      <c r="F20" s="43"/>
      <c r="G20" s="38"/>
      <c r="H20" s="38"/>
      <c r="I20" s="38"/>
      <c r="J20" s="4">
        <f t="shared" si="0"/>
        <v>37214812</v>
      </c>
      <c r="K20" s="103">
        <v>2622748</v>
      </c>
      <c r="L20" s="4">
        <f t="shared" si="1"/>
        <v>34592064</v>
      </c>
    </row>
    <row r="21" spans="1:13" x14ac:dyDescent="0.2">
      <c r="A21" s="487"/>
      <c r="B21" s="382"/>
      <c r="C21" s="41" t="s">
        <v>37</v>
      </c>
      <c r="D21" s="42">
        <v>0</v>
      </c>
      <c r="E21" s="42">
        <v>654581</v>
      </c>
      <c r="F21" s="43"/>
      <c r="G21" s="38"/>
      <c r="H21" s="38"/>
      <c r="I21" s="38"/>
      <c r="J21" s="4">
        <f t="shared" si="0"/>
        <v>654581</v>
      </c>
      <c r="K21" s="103">
        <v>654581</v>
      </c>
      <c r="L21" s="4">
        <f t="shared" si="1"/>
        <v>0</v>
      </c>
    </row>
    <row r="22" spans="1:13" x14ac:dyDescent="0.2">
      <c r="A22" s="487"/>
      <c r="B22" s="342"/>
      <c r="C22" s="41" t="s">
        <v>28</v>
      </c>
      <c r="D22" s="42">
        <v>17033910</v>
      </c>
      <c r="E22" s="42">
        <v>17033910</v>
      </c>
      <c r="F22" s="43"/>
      <c r="G22" s="38"/>
      <c r="H22" s="38"/>
      <c r="I22" s="38"/>
      <c r="J22" s="4">
        <f t="shared" si="0"/>
        <v>17033910</v>
      </c>
      <c r="K22" s="103">
        <v>17033910</v>
      </c>
      <c r="L22" s="4">
        <f t="shared" si="1"/>
        <v>0</v>
      </c>
    </row>
    <row r="23" spans="1:13" x14ac:dyDescent="0.2">
      <c r="A23" s="487"/>
      <c r="B23" s="341" t="s">
        <v>17</v>
      </c>
      <c r="C23" s="41" t="s">
        <v>41</v>
      </c>
      <c r="D23" s="42">
        <v>0</v>
      </c>
      <c r="E23" s="42">
        <v>300</v>
      </c>
      <c r="F23" s="43"/>
      <c r="G23" s="38"/>
      <c r="H23" s="38"/>
      <c r="I23" s="38"/>
      <c r="J23" s="4">
        <f t="shared" si="0"/>
        <v>300</v>
      </c>
      <c r="K23" s="103">
        <v>300</v>
      </c>
      <c r="L23" s="120">
        <f t="shared" si="1"/>
        <v>0</v>
      </c>
    </row>
    <row r="24" spans="1:13" x14ac:dyDescent="0.2">
      <c r="A24" s="488"/>
      <c r="B24" s="342"/>
      <c r="C24" s="41" t="s">
        <v>40</v>
      </c>
      <c r="D24" s="42">
        <v>800</v>
      </c>
      <c r="E24" s="42">
        <v>500</v>
      </c>
      <c r="F24" s="43"/>
      <c r="G24" s="38"/>
      <c r="H24" s="38"/>
      <c r="I24" s="38"/>
      <c r="J24" s="4">
        <f t="shared" si="0"/>
        <v>500</v>
      </c>
      <c r="K24" s="103">
        <v>0</v>
      </c>
      <c r="L24" s="4">
        <f t="shared" si="1"/>
        <v>500</v>
      </c>
    </row>
    <row r="25" spans="1:13" ht="21" customHeight="1" x14ac:dyDescent="0.2">
      <c r="A25" s="393" t="s">
        <v>132</v>
      </c>
      <c r="B25" s="470" t="s">
        <v>4</v>
      </c>
      <c r="C25" s="126" t="s">
        <v>25</v>
      </c>
      <c r="D25" s="42">
        <v>0</v>
      </c>
      <c r="E25" s="42">
        <v>13839752</v>
      </c>
      <c r="F25" s="43"/>
      <c r="G25" s="38"/>
      <c r="H25" s="38"/>
      <c r="I25" s="38"/>
      <c r="J25" s="4">
        <f t="shared" si="0"/>
        <v>13839752</v>
      </c>
      <c r="K25" s="103">
        <v>13839752</v>
      </c>
      <c r="L25" s="4">
        <f t="shared" si="1"/>
        <v>0</v>
      </c>
    </row>
    <row r="26" spans="1:13" ht="21" customHeight="1" x14ac:dyDescent="0.2">
      <c r="A26" s="394"/>
      <c r="B26" s="471"/>
      <c r="C26" s="126" t="s">
        <v>37</v>
      </c>
      <c r="D26" s="42">
        <v>0</v>
      </c>
      <c r="E26" s="42">
        <v>49375989</v>
      </c>
      <c r="F26" s="43"/>
      <c r="G26" s="38"/>
      <c r="H26" s="38"/>
      <c r="I26" s="38"/>
      <c r="J26" s="4">
        <f t="shared" si="0"/>
        <v>49375989</v>
      </c>
      <c r="K26" s="103">
        <v>49375989</v>
      </c>
      <c r="L26" s="4">
        <f t="shared" si="1"/>
        <v>0</v>
      </c>
    </row>
    <row r="27" spans="1:13" ht="21" customHeight="1" x14ac:dyDescent="0.2">
      <c r="A27" s="395"/>
      <c r="B27" s="159" t="s">
        <v>128</v>
      </c>
      <c r="C27" s="126" t="s">
        <v>41</v>
      </c>
      <c r="D27" s="42">
        <v>0</v>
      </c>
      <c r="E27" s="42">
        <v>0</v>
      </c>
      <c r="F27" s="43">
        <v>1643</v>
      </c>
      <c r="G27" s="38"/>
      <c r="H27" s="38"/>
      <c r="I27" s="38"/>
      <c r="J27" s="4">
        <f t="shared" si="0"/>
        <v>1643</v>
      </c>
      <c r="K27" s="103">
        <v>1643</v>
      </c>
      <c r="L27" s="120">
        <f t="shared" si="1"/>
        <v>0</v>
      </c>
      <c r="M27" s="166"/>
    </row>
    <row r="28" spans="1:13" x14ac:dyDescent="0.2">
      <c r="A28" s="142" t="s">
        <v>29</v>
      </c>
      <c r="B28" s="97" t="s">
        <v>4</v>
      </c>
      <c r="C28" s="41" t="s">
        <v>25</v>
      </c>
      <c r="D28" s="51">
        <v>260269918</v>
      </c>
      <c r="E28" s="51">
        <v>279023522</v>
      </c>
      <c r="F28" s="43"/>
      <c r="G28" s="38">
        <v>12252421</v>
      </c>
      <c r="H28" s="38">
        <v>-1740637</v>
      </c>
      <c r="I28" s="38"/>
      <c r="J28" s="4">
        <f t="shared" si="0"/>
        <v>289535306</v>
      </c>
      <c r="K28" s="103">
        <v>205726363</v>
      </c>
      <c r="L28" s="4">
        <f t="shared" si="1"/>
        <v>83808943</v>
      </c>
    </row>
    <row r="29" spans="1:13" x14ac:dyDescent="0.2">
      <c r="A29" s="142" t="s">
        <v>87</v>
      </c>
      <c r="B29" s="97" t="s">
        <v>4</v>
      </c>
      <c r="C29" s="41" t="s">
        <v>25</v>
      </c>
      <c r="D29" s="51">
        <v>3196558</v>
      </c>
      <c r="E29" s="51">
        <v>3196558</v>
      </c>
      <c r="F29" s="43"/>
      <c r="G29" s="38"/>
      <c r="H29" s="38"/>
      <c r="I29" s="38"/>
      <c r="J29" s="4">
        <f t="shared" si="0"/>
        <v>3196558</v>
      </c>
      <c r="K29" s="103">
        <v>1567586</v>
      </c>
      <c r="L29" s="4">
        <f t="shared" si="1"/>
        <v>1628972</v>
      </c>
    </row>
    <row r="30" spans="1:13" x14ac:dyDescent="0.2">
      <c r="A30" s="143" t="s">
        <v>42</v>
      </c>
      <c r="B30" s="97" t="s">
        <v>4</v>
      </c>
      <c r="C30" s="41" t="s">
        <v>25</v>
      </c>
      <c r="D30" s="42">
        <v>47502672</v>
      </c>
      <c r="E30" s="42">
        <v>47502672</v>
      </c>
      <c r="F30" s="43"/>
      <c r="G30" s="38"/>
      <c r="H30" s="38"/>
      <c r="I30" s="38"/>
      <c r="J30" s="4">
        <f t="shared" si="0"/>
        <v>47502672</v>
      </c>
      <c r="K30" s="103">
        <v>33433549</v>
      </c>
      <c r="L30" s="4">
        <f t="shared" si="1"/>
        <v>14069123</v>
      </c>
    </row>
    <row r="31" spans="1:13" ht="34.5" customHeight="1" x14ac:dyDescent="0.2">
      <c r="A31" s="479" t="s">
        <v>85</v>
      </c>
      <c r="B31" s="480"/>
      <c r="C31" s="481"/>
      <c r="D31" s="138">
        <f t="shared" ref="D31:L31" si="2">SUM(D6:D30)</f>
        <v>426209554</v>
      </c>
      <c r="E31" s="138">
        <f t="shared" si="2"/>
        <v>508884280</v>
      </c>
      <c r="F31" s="138">
        <f t="shared" si="2"/>
        <v>0</v>
      </c>
      <c r="G31" s="138">
        <f t="shared" si="2"/>
        <v>12252421</v>
      </c>
      <c r="H31" s="138">
        <f t="shared" si="2"/>
        <v>-1740637</v>
      </c>
      <c r="I31" s="138">
        <f t="shared" si="2"/>
        <v>2000</v>
      </c>
      <c r="J31" s="138">
        <f t="shared" si="2"/>
        <v>519398064</v>
      </c>
      <c r="K31" s="139">
        <f t="shared" si="2"/>
        <v>369326163</v>
      </c>
      <c r="L31" s="138">
        <f t="shared" si="2"/>
        <v>150071901</v>
      </c>
    </row>
    <row r="32" spans="1:13" x14ac:dyDescent="0.2">
      <c r="A32" s="339" t="s">
        <v>18</v>
      </c>
      <c r="B32" s="384" t="s">
        <v>1</v>
      </c>
      <c r="C32" s="41" t="s">
        <v>22</v>
      </c>
      <c r="D32" s="44">
        <v>24000</v>
      </c>
      <c r="E32" s="44">
        <v>24000</v>
      </c>
      <c r="F32" s="45"/>
      <c r="G32" s="38"/>
      <c r="H32" s="38"/>
      <c r="I32" s="38"/>
      <c r="J32" s="4">
        <f t="shared" ref="J32:J94" si="3">SUM(E32:I32)</f>
        <v>24000</v>
      </c>
      <c r="K32" s="105">
        <v>0</v>
      </c>
      <c r="L32" s="4">
        <f t="shared" ref="L32:L94" si="4">J32-K32</f>
        <v>24000</v>
      </c>
    </row>
    <row r="33" spans="1:12" x14ac:dyDescent="0.2">
      <c r="A33" s="367"/>
      <c r="B33" s="385"/>
      <c r="C33" s="41" t="s">
        <v>89</v>
      </c>
      <c r="D33" s="38">
        <v>1870</v>
      </c>
      <c r="E33" s="38">
        <v>1870</v>
      </c>
      <c r="F33" s="40"/>
      <c r="G33" s="38"/>
      <c r="H33" s="38"/>
      <c r="I33" s="38"/>
      <c r="J33" s="4">
        <f t="shared" si="3"/>
        <v>1870</v>
      </c>
      <c r="K33" s="105">
        <v>0</v>
      </c>
      <c r="L33" s="4">
        <f t="shared" si="4"/>
        <v>1870</v>
      </c>
    </row>
    <row r="34" spans="1:12" x14ac:dyDescent="0.2">
      <c r="A34" s="367"/>
      <c r="B34" s="385"/>
      <c r="C34" s="41" t="s">
        <v>10</v>
      </c>
      <c r="D34" s="38">
        <v>0</v>
      </c>
      <c r="E34" s="38">
        <v>50000</v>
      </c>
      <c r="F34" s="40"/>
      <c r="G34" s="38"/>
      <c r="H34" s="38"/>
      <c r="I34" s="38"/>
      <c r="J34" s="4">
        <f t="shared" si="3"/>
        <v>50000</v>
      </c>
      <c r="K34" s="105">
        <v>50000</v>
      </c>
      <c r="L34" s="4">
        <f t="shared" si="4"/>
        <v>0</v>
      </c>
    </row>
    <row r="35" spans="1:12" x14ac:dyDescent="0.2">
      <c r="A35" s="367"/>
      <c r="B35" s="385"/>
      <c r="C35" s="39" t="s">
        <v>2</v>
      </c>
      <c r="D35" s="38">
        <v>17684057</v>
      </c>
      <c r="E35" s="38">
        <v>17452958</v>
      </c>
      <c r="F35" s="40">
        <v>-40000</v>
      </c>
      <c r="G35" s="38"/>
      <c r="H35" s="38"/>
      <c r="I35" s="38">
        <v>2000</v>
      </c>
      <c r="J35" s="4">
        <f t="shared" si="3"/>
        <v>17414958</v>
      </c>
      <c r="K35" s="105">
        <v>6045718</v>
      </c>
      <c r="L35" s="4">
        <f t="shared" si="4"/>
        <v>11369240</v>
      </c>
    </row>
    <row r="36" spans="1:12" x14ac:dyDescent="0.2">
      <c r="A36" s="367"/>
      <c r="B36" s="385"/>
      <c r="C36" s="39" t="s">
        <v>117</v>
      </c>
      <c r="D36" s="38">
        <v>0</v>
      </c>
      <c r="E36" s="38">
        <v>73260</v>
      </c>
      <c r="F36" s="40"/>
      <c r="G36" s="38"/>
      <c r="H36" s="38"/>
      <c r="I36" s="38"/>
      <c r="J36" s="4">
        <f t="shared" si="3"/>
        <v>73260</v>
      </c>
      <c r="K36" s="105">
        <v>73260</v>
      </c>
      <c r="L36" s="4">
        <f t="shared" si="4"/>
        <v>0</v>
      </c>
    </row>
    <row r="37" spans="1:12" x14ac:dyDescent="0.2">
      <c r="A37" s="367"/>
      <c r="B37" s="385"/>
      <c r="C37" s="41" t="s">
        <v>11</v>
      </c>
      <c r="D37" s="38">
        <v>60264</v>
      </c>
      <c r="E37" s="38">
        <v>94650</v>
      </c>
      <c r="F37" s="40"/>
      <c r="G37" s="38"/>
      <c r="H37" s="38"/>
      <c r="I37" s="38"/>
      <c r="J37" s="4">
        <f t="shared" si="3"/>
        <v>94650</v>
      </c>
      <c r="K37" s="105">
        <v>75953</v>
      </c>
      <c r="L37" s="4">
        <f t="shared" si="4"/>
        <v>18697</v>
      </c>
    </row>
    <row r="38" spans="1:12" x14ac:dyDescent="0.2">
      <c r="A38" s="367"/>
      <c r="B38" s="385"/>
      <c r="C38" s="41" t="s">
        <v>91</v>
      </c>
      <c r="D38" s="38">
        <v>0</v>
      </c>
      <c r="E38" s="38">
        <v>83000</v>
      </c>
      <c r="F38" s="40"/>
      <c r="G38" s="38"/>
      <c r="H38" s="38"/>
      <c r="I38" s="38"/>
      <c r="J38" s="4">
        <f t="shared" si="3"/>
        <v>83000</v>
      </c>
      <c r="K38" s="105">
        <v>83000</v>
      </c>
      <c r="L38" s="4">
        <f t="shared" si="4"/>
        <v>0</v>
      </c>
    </row>
    <row r="39" spans="1:12" x14ac:dyDescent="0.2">
      <c r="A39" s="367"/>
      <c r="B39" s="386"/>
      <c r="C39" s="41" t="s">
        <v>12</v>
      </c>
      <c r="D39" s="38">
        <v>0</v>
      </c>
      <c r="E39" s="38">
        <v>40000</v>
      </c>
      <c r="F39" s="40">
        <v>40000</v>
      </c>
      <c r="G39" s="38"/>
      <c r="H39" s="38"/>
      <c r="I39" s="38"/>
      <c r="J39" s="4">
        <f t="shared" si="3"/>
        <v>80000</v>
      </c>
      <c r="K39" s="105">
        <v>80000</v>
      </c>
      <c r="L39" s="120">
        <f t="shared" si="4"/>
        <v>0</v>
      </c>
    </row>
    <row r="40" spans="1:12" x14ac:dyDescent="0.2">
      <c r="A40" s="367"/>
      <c r="B40" s="341" t="s">
        <v>4</v>
      </c>
      <c r="C40" s="41" t="s">
        <v>23</v>
      </c>
      <c r="D40" s="38">
        <v>2267</v>
      </c>
      <c r="E40" s="38">
        <v>3520</v>
      </c>
      <c r="F40" s="40"/>
      <c r="G40" s="38"/>
      <c r="H40" s="38"/>
      <c r="I40" s="38"/>
      <c r="J40" s="4">
        <f t="shared" si="3"/>
        <v>3520</v>
      </c>
      <c r="K40" s="133">
        <v>3520</v>
      </c>
      <c r="L40" s="120">
        <f t="shared" si="4"/>
        <v>0</v>
      </c>
    </row>
    <row r="41" spans="1:12" x14ac:dyDescent="0.2">
      <c r="A41" s="367"/>
      <c r="B41" s="383"/>
      <c r="C41" s="41" t="s">
        <v>5</v>
      </c>
      <c r="D41" s="42">
        <v>0</v>
      </c>
      <c r="E41" s="42">
        <v>0</v>
      </c>
      <c r="F41" s="45"/>
      <c r="G41" s="38"/>
      <c r="H41" s="38"/>
      <c r="I41" s="38"/>
      <c r="J41" s="4">
        <f t="shared" si="3"/>
        <v>0</v>
      </c>
      <c r="K41" s="105">
        <v>0</v>
      </c>
      <c r="L41" s="4">
        <f t="shared" si="4"/>
        <v>0</v>
      </c>
    </row>
    <row r="42" spans="1:12" x14ac:dyDescent="0.2">
      <c r="A42" s="367"/>
      <c r="B42" s="383"/>
      <c r="C42" s="39" t="s">
        <v>3</v>
      </c>
      <c r="D42" s="38">
        <v>313437148</v>
      </c>
      <c r="E42" s="38">
        <v>332190752</v>
      </c>
      <c r="F42" s="43"/>
      <c r="G42" s="38">
        <v>12252421</v>
      </c>
      <c r="H42" s="38">
        <v>-1740637</v>
      </c>
      <c r="I42" s="38"/>
      <c r="J42" s="4">
        <f t="shared" si="3"/>
        <v>342702536</v>
      </c>
      <c r="K42" s="105">
        <v>243194245</v>
      </c>
      <c r="L42" s="4">
        <f t="shared" si="4"/>
        <v>99508291</v>
      </c>
    </row>
    <row r="43" spans="1:12" x14ac:dyDescent="0.2">
      <c r="A43" s="339" t="s">
        <v>24</v>
      </c>
      <c r="B43" s="341" t="s">
        <v>4</v>
      </c>
      <c r="C43" s="41" t="s">
        <v>23</v>
      </c>
      <c r="D43" s="38">
        <v>7005263</v>
      </c>
      <c r="E43" s="38">
        <v>7005263</v>
      </c>
      <c r="F43" s="40"/>
      <c r="G43" s="38"/>
      <c r="H43" s="38"/>
      <c r="I43" s="38"/>
      <c r="J43" s="4">
        <f t="shared" si="3"/>
        <v>7005263</v>
      </c>
      <c r="K43" s="105">
        <v>3579633</v>
      </c>
      <c r="L43" s="4">
        <f t="shared" si="4"/>
        <v>3425630</v>
      </c>
    </row>
    <row r="44" spans="1:12" x14ac:dyDescent="0.2">
      <c r="A44" s="340"/>
      <c r="B44" s="342"/>
      <c r="C44" s="41" t="s">
        <v>90</v>
      </c>
      <c r="D44" s="38">
        <v>4500000</v>
      </c>
      <c r="E44" s="38">
        <v>4500000</v>
      </c>
      <c r="F44" s="40"/>
      <c r="G44" s="38"/>
      <c r="H44" s="38"/>
      <c r="I44" s="38"/>
      <c r="J44" s="4">
        <f t="shared" si="3"/>
        <v>4500000</v>
      </c>
      <c r="K44" s="105">
        <v>3967790</v>
      </c>
      <c r="L44" s="4">
        <f t="shared" si="4"/>
        <v>532210</v>
      </c>
    </row>
    <row r="45" spans="1:12" x14ac:dyDescent="0.2">
      <c r="A45" s="339" t="s">
        <v>30</v>
      </c>
      <c r="B45" s="341" t="s">
        <v>4</v>
      </c>
      <c r="C45" s="41" t="s">
        <v>23</v>
      </c>
      <c r="D45" s="38">
        <v>12736500</v>
      </c>
      <c r="E45" s="38">
        <v>12736500</v>
      </c>
      <c r="F45" s="40"/>
      <c r="G45" s="38"/>
      <c r="H45" s="38"/>
      <c r="I45" s="38"/>
      <c r="J45" s="4">
        <f t="shared" si="3"/>
        <v>12736500</v>
      </c>
      <c r="K45" s="105">
        <v>8895209</v>
      </c>
      <c r="L45" s="4">
        <f t="shared" si="4"/>
        <v>3841291</v>
      </c>
    </row>
    <row r="46" spans="1:12" x14ac:dyDescent="0.2">
      <c r="A46" s="340"/>
      <c r="B46" s="342"/>
      <c r="C46" s="41" t="s">
        <v>5</v>
      </c>
      <c r="D46" s="38">
        <v>50000</v>
      </c>
      <c r="E46" s="38">
        <v>50000</v>
      </c>
      <c r="F46" s="40"/>
      <c r="G46" s="38"/>
      <c r="H46" s="38"/>
      <c r="I46" s="38"/>
      <c r="J46" s="4">
        <f t="shared" si="3"/>
        <v>50000</v>
      </c>
      <c r="K46" s="105">
        <v>50000</v>
      </c>
      <c r="L46" s="4">
        <f t="shared" si="4"/>
        <v>0</v>
      </c>
    </row>
    <row r="47" spans="1:12" x14ac:dyDescent="0.2">
      <c r="A47" s="339" t="s">
        <v>138</v>
      </c>
      <c r="B47" s="368" t="s">
        <v>6</v>
      </c>
      <c r="C47" s="41" t="s">
        <v>23</v>
      </c>
      <c r="D47" s="42">
        <v>0</v>
      </c>
      <c r="E47" s="42">
        <v>0</v>
      </c>
      <c r="F47" s="45"/>
      <c r="G47" s="38"/>
      <c r="H47" s="38"/>
      <c r="I47" s="38"/>
      <c r="J47" s="4">
        <f>SUM(E47:I47)</f>
        <v>0</v>
      </c>
      <c r="K47" s="105">
        <v>0</v>
      </c>
      <c r="L47" s="4">
        <f>J47-K47</f>
        <v>0</v>
      </c>
    </row>
    <row r="48" spans="1:12" x14ac:dyDescent="0.2">
      <c r="A48" s="358"/>
      <c r="B48" s="369"/>
      <c r="C48" s="39" t="s">
        <v>5</v>
      </c>
      <c r="D48" s="38">
        <v>16258950</v>
      </c>
      <c r="E48" s="38">
        <v>16258950</v>
      </c>
      <c r="F48" s="43"/>
      <c r="G48" s="38"/>
      <c r="H48" s="38"/>
      <c r="I48" s="38"/>
      <c r="J48" s="4">
        <f>SUM(E48:I48)</f>
        <v>16258950</v>
      </c>
      <c r="K48" s="105">
        <v>10839300</v>
      </c>
      <c r="L48" s="4">
        <f>J48-K48</f>
        <v>5419650</v>
      </c>
    </row>
    <row r="49" spans="1:12" x14ac:dyDescent="0.2">
      <c r="A49" s="339" t="s">
        <v>48</v>
      </c>
      <c r="B49" s="368" t="s">
        <v>8</v>
      </c>
      <c r="C49" s="39" t="s">
        <v>7</v>
      </c>
      <c r="D49" s="38">
        <v>0</v>
      </c>
      <c r="E49" s="38">
        <v>0</v>
      </c>
      <c r="F49" s="43"/>
      <c r="G49" s="38"/>
      <c r="H49" s="38"/>
      <c r="I49" s="38"/>
      <c r="J49" s="4">
        <f t="shared" si="3"/>
        <v>0</v>
      </c>
      <c r="K49" s="105">
        <v>0</v>
      </c>
      <c r="L49" s="4">
        <f t="shared" si="4"/>
        <v>0</v>
      </c>
    </row>
    <row r="50" spans="1:12" x14ac:dyDescent="0.2">
      <c r="A50" s="367"/>
      <c r="B50" s="369"/>
      <c r="C50" s="39" t="s">
        <v>9</v>
      </c>
      <c r="D50" s="38">
        <v>0</v>
      </c>
      <c r="E50" s="38">
        <v>0</v>
      </c>
      <c r="F50" s="43"/>
      <c r="G50" s="38"/>
      <c r="H50" s="38"/>
      <c r="I50" s="38"/>
      <c r="J50" s="4">
        <f t="shared" si="3"/>
        <v>0</v>
      </c>
      <c r="K50" s="105">
        <v>0</v>
      </c>
      <c r="L50" s="4">
        <f t="shared" si="4"/>
        <v>0</v>
      </c>
    </row>
    <row r="51" spans="1:12" x14ac:dyDescent="0.2">
      <c r="A51" s="367"/>
      <c r="B51" s="369"/>
      <c r="C51" s="39" t="s">
        <v>10</v>
      </c>
      <c r="D51" s="38">
        <v>0</v>
      </c>
      <c r="E51" s="38">
        <v>0</v>
      </c>
      <c r="F51" s="40"/>
      <c r="G51" s="38"/>
      <c r="H51" s="38"/>
      <c r="I51" s="38"/>
      <c r="J51" s="4">
        <f t="shared" si="3"/>
        <v>0</v>
      </c>
      <c r="K51" s="105">
        <v>0</v>
      </c>
      <c r="L51" s="4">
        <f t="shared" si="4"/>
        <v>0</v>
      </c>
    </row>
    <row r="52" spans="1:12" x14ac:dyDescent="0.2">
      <c r="A52" s="367"/>
      <c r="B52" s="369"/>
      <c r="C52" s="39" t="s">
        <v>2</v>
      </c>
      <c r="D52" s="38">
        <v>199713</v>
      </c>
      <c r="E52" s="38">
        <v>99713</v>
      </c>
      <c r="F52" s="43"/>
      <c r="G52" s="38"/>
      <c r="H52" s="38"/>
      <c r="I52" s="38"/>
      <c r="J52" s="4">
        <f t="shared" si="3"/>
        <v>99713</v>
      </c>
      <c r="K52" s="105">
        <v>500</v>
      </c>
      <c r="L52" s="4">
        <f t="shared" si="4"/>
        <v>99213</v>
      </c>
    </row>
    <row r="53" spans="1:12" x14ac:dyDescent="0.2">
      <c r="A53" s="367"/>
      <c r="B53" s="369"/>
      <c r="C53" s="39" t="s">
        <v>11</v>
      </c>
      <c r="D53" s="38">
        <v>0</v>
      </c>
      <c r="E53" s="38">
        <v>0</v>
      </c>
      <c r="F53" s="40"/>
      <c r="G53" s="38"/>
      <c r="H53" s="38"/>
      <c r="I53" s="38"/>
      <c r="J53" s="4">
        <f t="shared" si="3"/>
        <v>0</v>
      </c>
      <c r="K53" s="105">
        <v>0</v>
      </c>
      <c r="L53" s="4">
        <f t="shared" si="4"/>
        <v>0</v>
      </c>
    </row>
    <row r="54" spans="1:12" x14ac:dyDescent="0.2">
      <c r="A54" s="367"/>
      <c r="B54" s="369"/>
      <c r="C54" s="39" t="s">
        <v>12</v>
      </c>
      <c r="D54" s="38">
        <v>0</v>
      </c>
      <c r="E54" s="38">
        <v>100000</v>
      </c>
      <c r="F54" s="43"/>
      <c r="G54" s="38"/>
      <c r="H54" s="38"/>
      <c r="I54" s="38"/>
      <c r="J54" s="4">
        <f t="shared" si="3"/>
        <v>100000</v>
      </c>
      <c r="K54" s="105">
        <v>100000</v>
      </c>
      <c r="L54" s="4">
        <f t="shared" si="4"/>
        <v>0</v>
      </c>
    </row>
    <row r="55" spans="1:12" x14ac:dyDescent="0.2">
      <c r="A55" s="367"/>
      <c r="B55" s="369"/>
      <c r="C55" s="41" t="s">
        <v>31</v>
      </c>
      <c r="D55" s="38">
        <v>0</v>
      </c>
      <c r="E55" s="38">
        <v>0</v>
      </c>
      <c r="F55" s="43"/>
      <c r="G55" s="38"/>
      <c r="H55" s="38"/>
      <c r="I55" s="38"/>
      <c r="J55" s="4">
        <f t="shared" si="3"/>
        <v>0</v>
      </c>
      <c r="K55" s="105">
        <v>0</v>
      </c>
      <c r="L55" s="4">
        <f t="shared" si="4"/>
        <v>0</v>
      </c>
    </row>
    <row r="56" spans="1:12" x14ac:dyDescent="0.2">
      <c r="A56" s="367"/>
      <c r="B56" s="369"/>
      <c r="C56" s="41" t="s">
        <v>32</v>
      </c>
      <c r="D56" s="38">
        <v>0</v>
      </c>
      <c r="E56" s="38">
        <v>0</v>
      </c>
      <c r="F56" s="43"/>
      <c r="G56" s="38"/>
      <c r="H56" s="38"/>
      <c r="I56" s="38"/>
      <c r="J56" s="4">
        <f t="shared" si="3"/>
        <v>0</v>
      </c>
      <c r="K56" s="105">
        <v>0</v>
      </c>
      <c r="L56" s="4">
        <f t="shared" si="4"/>
        <v>0</v>
      </c>
    </row>
    <row r="57" spans="1:12" x14ac:dyDescent="0.2">
      <c r="A57" s="367"/>
      <c r="B57" s="369"/>
      <c r="C57" s="39" t="s">
        <v>13</v>
      </c>
      <c r="D57" s="38">
        <v>0</v>
      </c>
      <c r="E57" s="38">
        <v>0</v>
      </c>
      <c r="F57" s="43"/>
      <c r="G57" s="38"/>
      <c r="H57" s="38"/>
      <c r="I57" s="38"/>
      <c r="J57" s="4">
        <f t="shared" si="3"/>
        <v>0</v>
      </c>
      <c r="K57" s="105">
        <v>0</v>
      </c>
      <c r="L57" s="4">
        <f t="shared" si="4"/>
        <v>0</v>
      </c>
    </row>
    <row r="58" spans="1:12" x14ac:dyDescent="0.2">
      <c r="A58" s="367"/>
      <c r="B58" s="369"/>
      <c r="C58" s="39" t="s">
        <v>14</v>
      </c>
      <c r="D58" s="38">
        <v>0</v>
      </c>
      <c r="E58" s="38">
        <v>0</v>
      </c>
      <c r="F58" s="43"/>
      <c r="G58" s="38"/>
      <c r="H58" s="38"/>
      <c r="I58" s="38"/>
      <c r="J58" s="4">
        <f t="shared" si="3"/>
        <v>0</v>
      </c>
      <c r="K58" s="105">
        <v>0</v>
      </c>
      <c r="L58" s="4">
        <f t="shared" si="4"/>
        <v>0</v>
      </c>
    </row>
    <row r="59" spans="1:12" x14ac:dyDescent="0.2">
      <c r="A59" s="367"/>
      <c r="B59" s="369"/>
      <c r="C59" s="39" t="s">
        <v>15</v>
      </c>
      <c r="D59" s="38">
        <v>0</v>
      </c>
      <c r="E59" s="38">
        <v>0</v>
      </c>
      <c r="F59" s="43"/>
      <c r="G59" s="38"/>
      <c r="H59" s="38"/>
      <c r="I59" s="38"/>
      <c r="J59" s="4">
        <f t="shared" si="3"/>
        <v>0</v>
      </c>
      <c r="K59" s="105">
        <v>0</v>
      </c>
      <c r="L59" s="4">
        <f t="shared" si="4"/>
        <v>0</v>
      </c>
    </row>
    <row r="60" spans="1:12" x14ac:dyDescent="0.2">
      <c r="A60" s="367"/>
      <c r="B60" s="369"/>
      <c r="C60" s="39" t="s">
        <v>16</v>
      </c>
      <c r="D60" s="38">
        <v>0</v>
      </c>
      <c r="E60" s="38">
        <v>0</v>
      </c>
      <c r="F60" s="43"/>
      <c r="G60" s="38"/>
      <c r="H60" s="38"/>
      <c r="I60" s="38"/>
      <c r="J60" s="4">
        <f t="shared" si="3"/>
        <v>0</v>
      </c>
      <c r="K60" s="105">
        <v>0</v>
      </c>
      <c r="L60" s="4">
        <f t="shared" si="4"/>
        <v>0</v>
      </c>
    </row>
    <row r="61" spans="1:12" x14ac:dyDescent="0.2">
      <c r="A61" s="339" t="s">
        <v>49</v>
      </c>
      <c r="B61" s="156" t="s">
        <v>1</v>
      </c>
      <c r="C61" s="39" t="s">
        <v>2</v>
      </c>
      <c r="D61" s="39">
        <v>0</v>
      </c>
      <c r="E61" s="38">
        <v>8</v>
      </c>
      <c r="F61" s="43"/>
      <c r="G61" s="38"/>
      <c r="H61" s="38"/>
      <c r="I61" s="38"/>
      <c r="J61" s="4">
        <f t="shared" si="3"/>
        <v>8</v>
      </c>
      <c r="K61" s="105">
        <v>8</v>
      </c>
      <c r="L61" s="4">
        <f t="shared" si="4"/>
        <v>0</v>
      </c>
    </row>
    <row r="62" spans="1:12" ht="12.75" customHeight="1" x14ac:dyDescent="0.2">
      <c r="A62" s="367"/>
      <c r="B62" s="392" t="s">
        <v>17</v>
      </c>
      <c r="C62" s="39" t="s">
        <v>7</v>
      </c>
      <c r="D62" s="38">
        <v>970000</v>
      </c>
      <c r="E62" s="38">
        <v>970000</v>
      </c>
      <c r="F62" s="40"/>
      <c r="G62" s="38"/>
      <c r="H62" s="38"/>
      <c r="I62" s="38"/>
      <c r="J62" s="4">
        <f t="shared" si="3"/>
        <v>970000</v>
      </c>
      <c r="K62" s="105">
        <v>630000</v>
      </c>
      <c r="L62" s="4">
        <f t="shared" si="4"/>
        <v>340000</v>
      </c>
    </row>
    <row r="63" spans="1:12" x14ac:dyDescent="0.2">
      <c r="A63" s="367"/>
      <c r="B63" s="392"/>
      <c r="C63" s="41" t="s">
        <v>88</v>
      </c>
      <c r="D63" s="38">
        <v>10791000</v>
      </c>
      <c r="E63" s="38">
        <v>10791000</v>
      </c>
      <c r="F63" s="40"/>
      <c r="G63" s="38"/>
      <c r="H63" s="38"/>
      <c r="I63" s="38"/>
      <c r="J63" s="4">
        <f t="shared" si="3"/>
        <v>10791000</v>
      </c>
      <c r="K63" s="105">
        <v>736000</v>
      </c>
      <c r="L63" s="4">
        <f t="shared" si="4"/>
        <v>10055000</v>
      </c>
    </row>
    <row r="64" spans="1:12" x14ac:dyDescent="0.2">
      <c r="A64" s="367"/>
      <c r="B64" s="392"/>
      <c r="C64" s="39" t="s">
        <v>9</v>
      </c>
      <c r="D64" s="38">
        <v>3112282</v>
      </c>
      <c r="E64" s="38">
        <v>3112282</v>
      </c>
      <c r="F64" s="40"/>
      <c r="G64" s="38"/>
      <c r="H64" s="38"/>
      <c r="I64" s="38"/>
      <c r="J64" s="4">
        <f t="shared" si="3"/>
        <v>3112282</v>
      </c>
      <c r="K64" s="105">
        <v>120050</v>
      </c>
      <c r="L64" s="4">
        <f t="shared" si="4"/>
        <v>2992232</v>
      </c>
    </row>
    <row r="65" spans="1:12" x14ac:dyDescent="0.2">
      <c r="A65" s="367"/>
      <c r="B65" s="392"/>
      <c r="C65" s="41" t="s">
        <v>22</v>
      </c>
      <c r="D65" s="38">
        <v>230000</v>
      </c>
      <c r="E65" s="38">
        <v>230000</v>
      </c>
      <c r="F65" s="40"/>
      <c r="G65" s="38"/>
      <c r="H65" s="38"/>
      <c r="I65" s="38"/>
      <c r="J65" s="4">
        <f t="shared" si="3"/>
        <v>230000</v>
      </c>
      <c r="K65" s="105">
        <v>0</v>
      </c>
      <c r="L65" s="4">
        <f t="shared" si="4"/>
        <v>230000</v>
      </c>
    </row>
    <row r="66" spans="1:12" x14ac:dyDescent="0.2">
      <c r="A66" s="367"/>
      <c r="B66" s="392"/>
      <c r="C66" s="41" t="s">
        <v>33</v>
      </c>
      <c r="D66" s="38">
        <v>72000</v>
      </c>
      <c r="E66" s="38">
        <v>72000</v>
      </c>
      <c r="F66" s="40"/>
      <c r="G66" s="38"/>
      <c r="H66" s="38"/>
      <c r="I66" s="38"/>
      <c r="J66" s="4">
        <f t="shared" si="3"/>
        <v>72000</v>
      </c>
      <c r="K66" s="105">
        <v>0</v>
      </c>
      <c r="L66" s="4">
        <f t="shared" si="4"/>
        <v>72000</v>
      </c>
    </row>
    <row r="67" spans="1:12" x14ac:dyDescent="0.2">
      <c r="A67" s="367"/>
      <c r="B67" s="392"/>
      <c r="C67" s="41" t="s">
        <v>34</v>
      </c>
      <c r="D67" s="38">
        <v>230000</v>
      </c>
      <c r="E67" s="38">
        <v>230000</v>
      </c>
      <c r="F67" s="40"/>
      <c r="G67" s="38"/>
      <c r="H67" s="38"/>
      <c r="I67" s="38"/>
      <c r="J67" s="4">
        <f t="shared" si="3"/>
        <v>230000</v>
      </c>
      <c r="K67" s="105">
        <v>0</v>
      </c>
      <c r="L67" s="4">
        <f t="shared" si="4"/>
        <v>230000</v>
      </c>
    </row>
    <row r="68" spans="1:12" x14ac:dyDescent="0.2">
      <c r="A68" s="367"/>
      <c r="B68" s="392"/>
      <c r="C68" s="41" t="s">
        <v>10</v>
      </c>
      <c r="D68" s="38">
        <v>8009100</v>
      </c>
      <c r="E68" s="38">
        <v>8009100</v>
      </c>
      <c r="F68" s="40"/>
      <c r="G68" s="38"/>
      <c r="H68" s="38"/>
      <c r="I68" s="38"/>
      <c r="J68" s="4">
        <f t="shared" si="3"/>
        <v>8009100</v>
      </c>
      <c r="K68" s="105">
        <v>750000</v>
      </c>
      <c r="L68" s="4">
        <f t="shared" si="4"/>
        <v>7259100</v>
      </c>
    </row>
    <row r="69" spans="1:12" x14ac:dyDescent="0.2">
      <c r="A69" s="367"/>
      <c r="B69" s="392"/>
      <c r="C69" s="41" t="s">
        <v>2</v>
      </c>
      <c r="D69" s="38">
        <v>14000000</v>
      </c>
      <c r="E69" s="38">
        <v>13999992</v>
      </c>
      <c r="F69" s="40"/>
      <c r="G69" s="38"/>
      <c r="H69" s="38"/>
      <c r="I69" s="38"/>
      <c r="J69" s="4">
        <f t="shared" si="3"/>
        <v>13999992</v>
      </c>
      <c r="K69" s="105">
        <v>2436000</v>
      </c>
      <c r="L69" s="4">
        <f t="shared" si="4"/>
        <v>11563992</v>
      </c>
    </row>
    <row r="70" spans="1:12" x14ac:dyDescent="0.2">
      <c r="A70" s="367"/>
      <c r="B70" s="392"/>
      <c r="C70" s="41" t="s">
        <v>35</v>
      </c>
      <c r="D70" s="38">
        <v>292100</v>
      </c>
      <c r="E70" s="38">
        <v>292100</v>
      </c>
      <c r="F70" s="40"/>
      <c r="G70" s="38"/>
      <c r="H70" s="38"/>
      <c r="I70" s="38"/>
      <c r="J70" s="4">
        <f t="shared" si="3"/>
        <v>292100</v>
      </c>
      <c r="K70" s="105">
        <v>0</v>
      </c>
      <c r="L70" s="4">
        <f t="shared" si="4"/>
        <v>292100</v>
      </c>
    </row>
    <row r="71" spans="1:12" x14ac:dyDescent="0.2">
      <c r="A71" s="367"/>
      <c r="B71" s="392"/>
      <c r="C71" s="41" t="s">
        <v>11</v>
      </c>
      <c r="D71" s="38">
        <v>5127921</v>
      </c>
      <c r="E71" s="38">
        <v>5127921</v>
      </c>
      <c r="F71" s="40"/>
      <c r="G71" s="38"/>
      <c r="H71" s="38"/>
      <c r="I71" s="38"/>
      <c r="J71" s="4">
        <f t="shared" si="3"/>
        <v>5127921</v>
      </c>
      <c r="K71" s="105">
        <v>657720</v>
      </c>
      <c r="L71" s="4">
        <f t="shared" si="4"/>
        <v>4470201</v>
      </c>
    </row>
    <row r="72" spans="1:12" x14ac:dyDescent="0.2">
      <c r="A72" s="367"/>
      <c r="B72" s="392"/>
      <c r="C72" s="41" t="s">
        <v>12</v>
      </c>
      <c r="D72" s="38">
        <v>229492</v>
      </c>
      <c r="E72" s="38">
        <v>229492</v>
      </c>
      <c r="F72" s="40"/>
      <c r="G72" s="38"/>
      <c r="H72" s="38"/>
      <c r="I72" s="38"/>
      <c r="J72" s="4">
        <f t="shared" si="3"/>
        <v>229492</v>
      </c>
      <c r="K72" s="105">
        <v>1900</v>
      </c>
      <c r="L72" s="4">
        <f t="shared" si="4"/>
        <v>227592</v>
      </c>
    </row>
    <row r="73" spans="1:12" x14ac:dyDescent="0.2">
      <c r="A73" s="367"/>
      <c r="B73" s="392"/>
      <c r="C73" s="41" t="s">
        <v>36</v>
      </c>
      <c r="D73" s="38">
        <v>0</v>
      </c>
      <c r="E73" s="38">
        <v>0</v>
      </c>
      <c r="F73" s="40"/>
      <c r="G73" s="38"/>
      <c r="H73" s="38"/>
      <c r="I73" s="38"/>
      <c r="J73" s="4">
        <f t="shared" si="3"/>
        <v>0</v>
      </c>
      <c r="K73" s="105">
        <v>0</v>
      </c>
      <c r="L73" s="4">
        <f t="shared" si="4"/>
        <v>0</v>
      </c>
    </row>
    <row r="74" spans="1:12" x14ac:dyDescent="0.2">
      <c r="A74" s="367"/>
      <c r="B74" s="392"/>
      <c r="C74" s="41" t="s">
        <v>31</v>
      </c>
      <c r="D74" s="38">
        <v>388897</v>
      </c>
      <c r="E74" s="38">
        <v>704400</v>
      </c>
      <c r="F74" s="40"/>
      <c r="G74" s="38"/>
      <c r="H74" s="38"/>
      <c r="I74" s="38"/>
      <c r="J74" s="4">
        <f t="shared" si="3"/>
        <v>704400</v>
      </c>
      <c r="K74" s="105">
        <v>704400</v>
      </c>
      <c r="L74" s="4">
        <f t="shared" si="4"/>
        <v>0</v>
      </c>
    </row>
    <row r="75" spans="1:12" x14ac:dyDescent="0.2">
      <c r="A75" s="367"/>
      <c r="B75" s="392"/>
      <c r="C75" s="41" t="s">
        <v>32</v>
      </c>
      <c r="D75" s="38">
        <v>0</v>
      </c>
      <c r="E75" s="38">
        <v>1818096</v>
      </c>
      <c r="F75" s="40"/>
      <c r="G75" s="38"/>
      <c r="H75" s="38"/>
      <c r="I75" s="38"/>
      <c r="J75" s="4">
        <f t="shared" si="3"/>
        <v>1818096</v>
      </c>
      <c r="K75" s="105">
        <v>1818096</v>
      </c>
      <c r="L75" s="4">
        <f t="shared" si="4"/>
        <v>0</v>
      </c>
    </row>
    <row r="76" spans="1:12" x14ac:dyDescent="0.2">
      <c r="A76" s="367"/>
      <c r="B76" s="392"/>
      <c r="C76" s="41" t="s">
        <v>13</v>
      </c>
      <c r="D76" s="38">
        <v>4296741</v>
      </c>
      <c r="E76" s="38">
        <v>2678560</v>
      </c>
      <c r="F76" s="40"/>
      <c r="G76" s="38"/>
      <c r="H76" s="38"/>
      <c r="I76" s="38"/>
      <c r="J76" s="4">
        <f t="shared" si="3"/>
        <v>2678560</v>
      </c>
      <c r="K76" s="105">
        <v>2568661</v>
      </c>
      <c r="L76" s="4">
        <f t="shared" si="4"/>
        <v>109899</v>
      </c>
    </row>
    <row r="77" spans="1:12" x14ac:dyDescent="0.2">
      <c r="A77" s="367"/>
      <c r="B77" s="392"/>
      <c r="C77" s="41" t="s">
        <v>14</v>
      </c>
      <c r="D77" s="38">
        <v>1265122</v>
      </c>
      <c r="E77" s="38">
        <v>1404285</v>
      </c>
      <c r="F77" s="40"/>
      <c r="G77" s="38"/>
      <c r="H77" s="38"/>
      <c r="I77" s="38"/>
      <c r="J77" s="4">
        <f t="shared" si="3"/>
        <v>1404285</v>
      </c>
      <c r="K77" s="105">
        <v>1374613</v>
      </c>
      <c r="L77" s="4">
        <f t="shared" si="4"/>
        <v>29672</v>
      </c>
    </row>
    <row r="78" spans="1:12" x14ac:dyDescent="0.2">
      <c r="A78" s="367"/>
      <c r="B78" s="392"/>
      <c r="C78" s="41" t="s">
        <v>15</v>
      </c>
      <c r="D78" s="38">
        <v>4121943</v>
      </c>
      <c r="E78" s="38">
        <v>4121943</v>
      </c>
      <c r="F78" s="40"/>
      <c r="G78" s="38"/>
      <c r="H78" s="38"/>
      <c r="I78" s="38"/>
      <c r="J78" s="4">
        <f t="shared" si="3"/>
        <v>4121943</v>
      </c>
      <c r="K78" s="105">
        <v>2828729</v>
      </c>
      <c r="L78" s="4">
        <f t="shared" si="4"/>
        <v>1293214</v>
      </c>
    </row>
    <row r="79" spans="1:12" x14ac:dyDescent="0.2">
      <c r="A79" s="340"/>
      <c r="B79" s="392"/>
      <c r="C79" s="41" t="s">
        <v>16</v>
      </c>
      <c r="D79" s="38">
        <v>1112924</v>
      </c>
      <c r="E79" s="38">
        <v>1112924</v>
      </c>
      <c r="F79" s="40"/>
      <c r="G79" s="38"/>
      <c r="H79" s="38"/>
      <c r="I79" s="38"/>
      <c r="J79" s="4">
        <f t="shared" si="3"/>
        <v>1112924</v>
      </c>
      <c r="K79" s="105">
        <v>493942</v>
      </c>
      <c r="L79" s="4">
        <f t="shared" si="4"/>
        <v>618982</v>
      </c>
    </row>
    <row r="80" spans="1:12" ht="16.5" customHeight="1" x14ac:dyDescent="0.2">
      <c r="A80" s="476" t="s">
        <v>127</v>
      </c>
      <c r="B80" s="470" t="s">
        <v>128</v>
      </c>
      <c r="C80" s="131" t="s">
        <v>7</v>
      </c>
      <c r="D80" s="42">
        <v>0</v>
      </c>
      <c r="E80" s="42">
        <v>5274140</v>
      </c>
      <c r="F80" s="43">
        <v>-2109656</v>
      </c>
      <c r="G80" s="38"/>
      <c r="H80" s="38"/>
      <c r="I80" s="38"/>
      <c r="J80" s="4">
        <f t="shared" si="3"/>
        <v>3164484</v>
      </c>
      <c r="K80" s="105">
        <v>1582242</v>
      </c>
      <c r="L80" s="4">
        <f t="shared" si="4"/>
        <v>1582242</v>
      </c>
    </row>
    <row r="81" spans="1:13" x14ac:dyDescent="0.2">
      <c r="A81" s="477"/>
      <c r="B81" s="475"/>
      <c r="C81" s="131" t="s">
        <v>9</v>
      </c>
      <c r="D81" s="42">
        <v>0</v>
      </c>
      <c r="E81" s="42">
        <v>978519</v>
      </c>
      <c r="F81" s="43">
        <v>-424736</v>
      </c>
      <c r="G81" s="38"/>
      <c r="H81" s="38"/>
      <c r="I81" s="38"/>
      <c r="J81" s="4">
        <f t="shared" si="3"/>
        <v>553783</v>
      </c>
      <c r="K81" s="105">
        <v>276891</v>
      </c>
      <c r="L81" s="4">
        <f t="shared" si="4"/>
        <v>276892</v>
      </c>
    </row>
    <row r="82" spans="1:13" x14ac:dyDescent="0.2">
      <c r="A82" s="477"/>
      <c r="B82" s="475"/>
      <c r="C82" s="131" t="s">
        <v>22</v>
      </c>
      <c r="D82" s="42">
        <v>0</v>
      </c>
      <c r="E82" s="42">
        <v>2756</v>
      </c>
      <c r="F82" s="43">
        <v>2403710</v>
      </c>
      <c r="G82" s="38"/>
      <c r="H82" s="38"/>
      <c r="I82" s="38"/>
      <c r="J82" s="4">
        <f t="shared" si="3"/>
        <v>2406466</v>
      </c>
      <c r="K82" s="105">
        <v>2756</v>
      </c>
      <c r="L82" s="4">
        <f t="shared" si="4"/>
        <v>2403710</v>
      </c>
      <c r="M82" s="166"/>
    </row>
    <row r="83" spans="1:13" x14ac:dyDescent="0.2">
      <c r="A83" s="477"/>
      <c r="B83" s="475"/>
      <c r="C83" s="131" t="s">
        <v>34</v>
      </c>
      <c r="D83" s="42">
        <v>0</v>
      </c>
      <c r="E83" s="42">
        <v>1248000</v>
      </c>
      <c r="F83" s="43">
        <f>-1620473+912630</f>
        <v>-707843</v>
      </c>
      <c r="G83" s="38"/>
      <c r="H83" s="38"/>
      <c r="I83" s="38"/>
      <c r="J83" s="4">
        <f t="shared" si="3"/>
        <v>540157</v>
      </c>
      <c r="K83" s="105">
        <v>0</v>
      </c>
      <c r="L83" s="4">
        <f t="shared" si="4"/>
        <v>540157</v>
      </c>
      <c r="M83" s="166"/>
    </row>
    <row r="84" spans="1:13" x14ac:dyDescent="0.2">
      <c r="A84" s="477"/>
      <c r="B84" s="475"/>
      <c r="C84" s="131" t="s">
        <v>10</v>
      </c>
      <c r="D84" s="42">
        <v>0</v>
      </c>
      <c r="E84" s="42">
        <v>0</v>
      </c>
      <c r="F84" s="43">
        <v>846181</v>
      </c>
      <c r="G84" s="38"/>
      <c r="H84" s="38"/>
      <c r="I84" s="38"/>
      <c r="J84" s="4">
        <f t="shared" si="3"/>
        <v>846181</v>
      </c>
      <c r="K84" s="105">
        <v>0</v>
      </c>
      <c r="L84" s="4">
        <f t="shared" si="4"/>
        <v>846181</v>
      </c>
      <c r="M84" s="166"/>
    </row>
    <row r="85" spans="1:13" x14ac:dyDescent="0.2">
      <c r="A85" s="477"/>
      <c r="B85" s="475"/>
      <c r="C85" s="131" t="s">
        <v>2</v>
      </c>
      <c r="D85" s="42">
        <v>0</v>
      </c>
      <c r="E85" s="42">
        <v>6292893</v>
      </c>
      <c r="F85" s="43">
        <f>-994711-800000-354000-140142+1995584-1918260</f>
        <v>-2211529</v>
      </c>
      <c r="G85" s="38"/>
      <c r="H85" s="38"/>
      <c r="I85" s="38"/>
      <c r="J85" s="4">
        <f t="shared" si="3"/>
        <v>4081364</v>
      </c>
      <c r="K85" s="105">
        <v>3275748</v>
      </c>
      <c r="L85" s="4">
        <f t="shared" si="4"/>
        <v>805616</v>
      </c>
      <c r="M85" s="166"/>
    </row>
    <row r="86" spans="1:13" x14ac:dyDescent="0.2">
      <c r="A86" s="477"/>
      <c r="B86" s="475"/>
      <c r="C86" s="131" t="s">
        <v>117</v>
      </c>
      <c r="D86" s="42">
        <v>0</v>
      </c>
      <c r="E86" s="42">
        <v>0</v>
      </c>
      <c r="F86" s="43">
        <v>354000</v>
      </c>
      <c r="G86" s="38"/>
      <c r="H86" s="38"/>
      <c r="I86" s="38"/>
      <c r="J86" s="4">
        <f t="shared" si="3"/>
        <v>354000</v>
      </c>
      <c r="K86" s="105">
        <v>0</v>
      </c>
      <c r="L86" s="4">
        <f t="shared" si="4"/>
        <v>354000</v>
      </c>
      <c r="M86" s="166"/>
    </row>
    <row r="87" spans="1:13" x14ac:dyDescent="0.2">
      <c r="A87" s="477"/>
      <c r="B87" s="475"/>
      <c r="C87" s="131" t="s">
        <v>11</v>
      </c>
      <c r="D87" s="42">
        <v>0</v>
      </c>
      <c r="E87" s="42">
        <v>3444</v>
      </c>
      <c r="F87" s="43">
        <f>211474+140142+538808+159449</f>
        <v>1049873</v>
      </c>
      <c r="G87" s="38"/>
      <c r="H87" s="38"/>
      <c r="I87" s="38"/>
      <c r="J87" s="4">
        <f t="shared" si="3"/>
        <v>1053317</v>
      </c>
      <c r="K87" s="105">
        <v>7696</v>
      </c>
      <c r="L87" s="120">
        <f t="shared" si="4"/>
        <v>1045621</v>
      </c>
      <c r="M87" s="166"/>
    </row>
    <row r="88" spans="1:13" x14ac:dyDescent="0.2">
      <c r="A88" s="477"/>
      <c r="B88" s="475"/>
      <c r="C88" s="131" t="s">
        <v>12</v>
      </c>
      <c r="D88" s="42">
        <v>0</v>
      </c>
      <c r="E88" s="42">
        <v>40000</v>
      </c>
      <c r="F88" s="43">
        <v>800000</v>
      </c>
      <c r="G88" s="38"/>
      <c r="H88" s="38"/>
      <c r="I88" s="38"/>
      <c r="J88" s="4">
        <f t="shared" si="3"/>
        <v>840000</v>
      </c>
      <c r="K88" s="105">
        <v>0</v>
      </c>
      <c r="L88" s="4">
        <f t="shared" si="4"/>
        <v>840000</v>
      </c>
      <c r="M88" s="166"/>
    </row>
    <row r="89" spans="1:13" x14ac:dyDescent="0.2">
      <c r="A89" s="477"/>
      <c r="B89" s="475"/>
      <c r="C89" s="131" t="s">
        <v>31</v>
      </c>
      <c r="D89" s="42">
        <v>0</v>
      </c>
      <c r="E89" s="42">
        <v>262453</v>
      </c>
      <c r="F89" s="43"/>
      <c r="G89" s="38"/>
      <c r="H89" s="38"/>
      <c r="I89" s="38"/>
      <c r="J89" s="4">
        <f t="shared" si="3"/>
        <v>262453</v>
      </c>
      <c r="K89" s="105">
        <v>0</v>
      </c>
      <c r="L89" s="4">
        <f t="shared" si="4"/>
        <v>262453</v>
      </c>
      <c r="M89" s="166"/>
    </row>
    <row r="90" spans="1:13" x14ac:dyDescent="0.2">
      <c r="A90" s="477"/>
      <c r="B90" s="475"/>
      <c r="C90" s="131" t="s">
        <v>32</v>
      </c>
      <c r="D90" s="42">
        <v>0</v>
      </c>
      <c r="E90" s="42">
        <v>0</v>
      </c>
      <c r="F90" s="43">
        <v>376800</v>
      </c>
      <c r="G90" s="38"/>
      <c r="H90" s="38"/>
      <c r="I90" s="38"/>
      <c r="J90" s="4">
        <f t="shared" si="3"/>
        <v>376800</v>
      </c>
      <c r="K90" s="105">
        <v>0</v>
      </c>
      <c r="L90" s="4">
        <f t="shared" si="4"/>
        <v>376800</v>
      </c>
      <c r="M90" s="166"/>
    </row>
    <row r="91" spans="1:13" ht="13.5" customHeight="1" x14ac:dyDescent="0.2">
      <c r="A91" s="477"/>
      <c r="B91" s="475"/>
      <c r="C91" s="131" t="s">
        <v>13</v>
      </c>
      <c r="D91" s="42">
        <v>0</v>
      </c>
      <c r="E91" s="42">
        <v>8077000</v>
      </c>
      <c r="F91" s="43">
        <v>-376800</v>
      </c>
      <c r="G91" s="38"/>
      <c r="H91" s="38"/>
      <c r="I91" s="38"/>
      <c r="J91" s="4">
        <f t="shared" si="3"/>
        <v>7700200</v>
      </c>
      <c r="K91" s="105">
        <v>0</v>
      </c>
      <c r="L91" s="4">
        <f t="shared" si="4"/>
        <v>7700200</v>
      </c>
    </row>
    <row r="92" spans="1:13" ht="13.5" customHeight="1" x14ac:dyDescent="0.2">
      <c r="A92" s="477"/>
      <c r="B92" s="475"/>
      <c r="C92" s="131" t="s">
        <v>14</v>
      </c>
      <c r="D92" s="42">
        <v>0</v>
      </c>
      <c r="E92" s="42">
        <v>2251652</v>
      </c>
      <c r="F92" s="43"/>
      <c r="G92" s="38"/>
      <c r="H92" s="38"/>
      <c r="I92" s="38"/>
      <c r="J92" s="4">
        <f t="shared" si="3"/>
        <v>2251652</v>
      </c>
      <c r="K92" s="105">
        <v>0</v>
      </c>
      <c r="L92" s="4">
        <f t="shared" si="4"/>
        <v>2251652</v>
      </c>
    </row>
    <row r="93" spans="1:13" x14ac:dyDescent="0.2">
      <c r="A93" s="477"/>
      <c r="B93" s="475"/>
      <c r="C93" s="131" t="s">
        <v>15</v>
      </c>
      <c r="D93" s="42">
        <v>0</v>
      </c>
      <c r="E93" s="42">
        <v>30539278</v>
      </c>
      <c r="F93" s="43"/>
      <c r="G93" s="38"/>
      <c r="H93" s="38"/>
      <c r="I93" s="38"/>
      <c r="J93" s="4">
        <f t="shared" si="3"/>
        <v>30539278</v>
      </c>
      <c r="K93" s="105">
        <v>0</v>
      </c>
      <c r="L93" s="4">
        <f t="shared" si="4"/>
        <v>30539278</v>
      </c>
    </row>
    <row r="94" spans="1:13" x14ac:dyDescent="0.2">
      <c r="A94" s="478"/>
      <c r="B94" s="471"/>
      <c r="C94" s="131" t="s">
        <v>16</v>
      </c>
      <c r="D94" s="42">
        <v>0</v>
      </c>
      <c r="E94" s="42">
        <v>8245606</v>
      </c>
      <c r="F94" s="43"/>
      <c r="G94" s="38"/>
      <c r="H94" s="38"/>
      <c r="I94" s="38"/>
      <c r="J94" s="4">
        <f t="shared" si="3"/>
        <v>8245606</v>
      </c>
      <c r="K94" s="105">
        <v>0</v>
      </c>
      <c r="L94" s="4">
        <f t="shared" si="4"/>
        <v>8245606</v>
      </c>
    </row>
    <row r="95" spans="1:13" ht="23.25" customHeight="1" x14ac:dyDescent="0.2">
      <c r="A95" s="479" t="s">
        <v>86</v>
      </c>
      <c r="B95" s="480"/>
      <c r="C95" s="481"/>
      <c r="D95" s="138">
        <f t="shared" ref="D95:L95" si="5">SUM(D32:D94)</f>
        <v>426209554</v>
      </c>
      <c r="E95" s="138">
        <f t="shared" si="5"/>
        <v>508884280</v>
      </c>
      <c r="F95" s="138">
        <f t="shared" si="5"/>
        <v>0</v>
      </c>
      <c r="G95" s="138">
        <f t="shared" si="5"/>
        <v>12252421</v>
      </c>
      <c r="H95" s="138">
        <f t="shared" si="5"/>
        <v>-1740637</v>
      </c>
      <c r="I95" s="138">
        <f t="shared" si="5"/>
        <v>2000</v>
      </c>
      <c r="J95" s="138">
        <f t="shared" si="5"/>
        <v>519398064</v>
      </c>
      <c r="K95" s="138">
        <f t="shared" si="5"/>
        <v>297303580</v>
      </c>
      <c r="L95" s="138">
        <f t="shared" si="5"/>
        <v>222094484</v>
      </c>
    </row>
    <row r="96" spans="1:13" x14ac:dyDescent="0.2">
      <c r="F96" s="2"/>
    </row>
    <row r="97" spans="1:12" x14ac:dyDescent="0.2">
      <c r="F97" s="2"/>
    </row>
    <row r="98" spans="1:12" x14ac:dyDescent="0.2">
      <c r="F98" s="2"/>
    </row>
    <row r="99" spans="1:12" ht="15.75" x14ac:dyDescent="0.25">
      <c r="A99" s="64" t="s">
        <v>140</v>
      </c>
      <c r="F99" s="2"/>
    </row>
    <row r="100" spans="1:12" x14ac:dyDescent="0.2">
      <c r="G100" s="73">
        <v>43738</v>
      </c>
      <c r="L100" s="55"/>
    </row>
    <row r="101" spans="1:12" s="85" customFormat="1" ht="33.75" x14ac:dyDescent="0.2">
      <c r="A101" s="387" t="s">
        <v>101</v>
      </c>
      <c r="B101" s="388"/>
      <c r="C101" s="84" t="s">
        <v>44</v>
      </c>
      <c r="D101" s="86" t="s">
        <v>21</v>
      </c>
      <c r="E101" s="86" t="s">
        <v>129</v>
      </c>
      <c r="F101" s="87" t="s">
        <v>43</v>
      </c>
      <c r="G101" s="100" t="s">
        <v>126</v>
      </c>
      <c r="H101" s="100" t="s">
        <v>83</v>
      </c>
      <c r="I101" s="100" t="s">
        <v>141</v>
      </c>
      <c r="J101" s="86" t="s">
        <v>137</v>
      </c>
      <c r="K101" s="106" t="s">
        <v>135</v>
      </c>
    </row>
    <row r="102" spans="1:12" x14ac:dyDescent="0.2">
      <c r="A102" s="389"/>
      <c r="B102" s="376"/>
      <c r="C102" s="63" t="s">
        <v>25</v>
      </c>
      <c r="D102" s="4">
        <f t="shared" ref="D102:K102" si="6">D30+D29+D28+D20+D15+D13+D11+D14+D9+D25</f>
        <v>393662673</v>
      </c>
      <c r="E102" s="4">
        <f t="shared" si="6"/>
        <v>426256029</v>
      </c>
      <c r="F102" s="4">
        <f t="shared" si="6"/>
        <v>0</v>
      </c>
      <c r="G102" s="4">
        <f t="shared" si="6"/>
        <v>12252421</v>
      </c>
      <c r="H102" s="4">
        <f t="shared" si="6"/>
        <v>-1740637</v>
      </c>
      <c r="I102" s="4">
        <f t="shared" si="6"/>
        <v>0</v>
      </c>
      <c r="J102" s="4">
        <f t="shared" si="6"/>
        <v>436767813</v>
      </c>
      <c r="K102" s="4">
        <f t="shared" si="6"/>
        <v>287144609</v>
      </c>
    </row>
    <row r="103" spans="1:12" x14ac:dyDescent="0.2">
      <c r="A103" s="389"/>
      <c r="B103" s="376"/>
      <c r="C103" s="63" t="s">
        <v>37</v>
      </c>
      <c r="D103" s="4">
        <f t="shared" ref="D103:K103" si="7">D21+D16+D12+D26</f>
        <v>4500000</v>
      </c>
      <c r="E103" s="4">
        <f t="shared" si="7"/>
        <v>54530570</v>
      </c>
      <c r="F103" s="4">
        <f t="shared" si="7"/>
        <v>0</v>
      </c>
      <c r="G103" s="4">
        <f t="shared" si="7"/>
        <v>0</v>
      </c>
      <c r="H103" s="4">
        <f t="shared" si="7"/>
        <v>0</v>
      </c>
      <c r="I103" s="4">
        <f t="shared" si="7"/>
        <v>0</v>
      </c>
      <c r="J103" s="4">
        <f t="shared" si="7"/>
        <v>54530570</v>
      </c>
      <c r="K103" s="4">
        <f t="shared" si="7"/>
        <v>54082943</v>
      </c>
    </row>
    <row r="104" spans="1:12" x14ac:dyDescent="0.2">
      <c r="A104" s="389"/>
      <c r="B104" s="376"/>
      <c r="C104" s="63" t="s">
        <v>27</v>
      </c>
      <c r="D104" s="4">
        <f t="shared" ref="D104:I105" si="8">D6</f>
        <v>0</v>
      </c>
      <c r="E104" s="4">
        <f t="shared" si="8"/>
        <v>40000</v>
      </c>
      <c r="F104" s="4">
        <f t="shared" si="8"/>
        <v>0</v>
      </c>
      <c r="G104" s="4">
        <f t="shared" si="8"/>
        <v>0</v>
      </c>
      <c r="H104" s="4">
        <f t="shared" si="8"/>
        <v>0</v>
      </c>
      <c r="I104" s="4">
        <f t="shared" si="8"/>
        <v>0</v>
      </c>
      <c r="J104" s="4">
        <v>0</v>
      </c>
      <c r="K104" s="4">
        <v>0</v>
      </c>
    </row>
    <row r="105" spans="1:12" x14ac:dyDescent="0.2">
      <c r="A105" s="389"/>
      <c r="B105" s="376"/>
      <c r="C105" s="63" t="s">
        <v>139</v>
      </c>
      <c r="D105" s="4">
        <f t="shared" si="8"/>
        <v>0</v>
      </c>
      <c r="E105" s="4">
        <f t="shared" si="8"/>
        <v>10800</v>
      </c>
      <c r="F105" s="4">
        <f t="shared" si="8"/>
        <v>0</v>
      </c>
      <c r="G105" s="4">
        <f t="shared" si="8"/>
        <v>0</v>
      </c>
      <c r="H105" s="4">
        <f t="shared" si="8"/>
        <v>0</v>
      </c>
      <c r="I105" s="4">
        <f t="shared" si="8"/>
        <v>0</v>
      </c>
      <c r="J105" s="4">
        <f>J7</f>
        <v>10800</v>
      </c>
      <c r="K105" s="4">
        <f>K7</f>
        <v>10800</v>
      </c>
    </row>
    <row r="106" spans="1:12" x14ac:dyDescent="0.2">
      <c r="A106" s="389"/>
      <c r="B106" s="376"/>
      <c r="C106" s="63" t="s">
        <v>40</v>
      </c>
      <c r="D106" s="4">
        <f t="shared" ref="D106:K106" si="9">D24+D18+D8</f>
        <v>2300</v>
      </c>
      <c r="E106" s="4">
        <f t="shared" si="9"/>
        <v>2000</v>
      </c>
      <c r="F106" s="4">
        <f t="shared" si="9"/>
        <v>-1643</v>
      </c>
      <c r="G106" s="4">
        <f t="shared" si="9"/>
        <v>0</v>
      </c>
      <c r="H106" s="4">
        <f t="shared" si="9"/>
        <v>0</v>
      </c>
      <c r="I106" s="4">
        <f t="shared" si="9"/>
        <v>2000</v>
      </c>
      <c r="J106" s="4">
        <f t="shared" si="9"/>
        <v>2357</v>
      </c>
      <c r="K106" s="4">
        <f t="shared" si="9"/>
        <v>1287</v>
      </c>
    </row>
    <row r="107" spans="1:12" x14ac:dyDescent="0.2">
      <c r="A107" s="389"/>
      <c r="B107" s="376"/>
      <c r="C107" s="63" t="s">
        <v>41</v>
      </c>
      <c r="D107" s="4">
        <f t="shared" ref="D107:J107" si="10">D19+D23+D6+D27</f>
        <v>0</v>
      </c>
      <c r="E107" s="4">
        <f t="shared" si="10"/>
        <v>40300</v>
      </c>
      <c r="F107" s="4">
        <f t="shared" si="10"/>
        <v>1643</v>
      </c>
      <c r="G107" s="4">
        <f t="shared" si="10"/>
        <v>0</v>
      </c>
      <c r="H107" s="4">
        <f t="shared" si="10"/>
        <v>0</v>
      </c>
      <c r="I107" s="4">
        <f t="shared" si="10"/>
        <v>0</v>
      </c>
      <c r="J107" s="4">
        <f t="shared" si="10"/>
        <v>41943</v>
      </c>
      <c r="K107" s="4">
        <f>K19+K23+K6+K27</f>
        <v>41943</v>
      </c>
    </row>
    <row r="108" spans="1:12" x14ac:dyDescent="0.2">
      <c r="A108" s="389"/>
      <c r="B108" s="376"/>
      <c r="C108" s="65" t="s">
        <v>93</v>
      </c>
      <c r="D108" s="66">
        <f t="shared" ref="D108:J108" si="11">D24+D23+D19+D18+D8+D7+D6+D27</f>
        <v>2300</v>
      </c>
      <c r="E108" s="66">
        <f t="shared" si="11"/>
        <v>53100</v>
      </c>
      <c r="F108" s="66">
        <f t="shared" si="11"/>
        <v>0</v>
      </c>
      <c r="G108" s="66">
        <f t="shared" si="11"/>
        <v>0</v>
      </c>
      <c r="H108" s="66">
        <f t="shared" si="11"/>
        <v>0</v>
      </c>
      <c r="I108" s="66">
        <f t="shared" si="11"/>
        <v>2000</v>
      </c>
      <c r="J108" s="66">
        <f t="shared" si="11"/>
        <v>55100</v>
      </c>
      <c r="K108" s="66">
        <f>K24+K23+K19+K18+K8+K7+K6+K27</f>
        <v>54030</v>
      </c>
      <c r="L108" s="1"/>
    </row>
    <row r="109" spans="1:12" x14ac:dyDescent="0.2">
      <c r="A109" s="389"/>
      <c r="B109" s="376"/>
      <c r="C109" s="63" t="s">
        <v>28</v>
      </c>
      <c r="D109" s="4">
        <f t="shared" ref="D109:K109" si="12">D22+D17+D10</f>
        <v>28044581</v>
      </c>
      <c r="E109" s="4">
        <f t="shared" si="12"/>
        <v>28044581</v>
      </c>
      <c r="F109" s="4">
        <f t="shared" si="12"/>
        <v>0</v>
      </c>
      <c r="G109" s="4">
        <f t="shared" si="12"/>
        <v>0</v>
      </c>
      <c r="H109" s="4">
        <f t="shared" si="12"/>
        <v>0</v>
      </c>
      <c r="I109" s="4">
        <f t="shared" si="12"/>
        <v>0</v>
      </c>
      <c r="J109" s="4">
        <f t="shared" si="12"/>
        <v>28044581</v>
      </c>
      <c r="K109" s="107">
        <f t="shared" si="12"/>
        <v>28044581</v>
      </c>
    </row>
    <row r="110" spans="1:12" x14ac:dyDescent="0.2">
      <c r="A110" s="389"/>
      <c r="B110" s="376"/>
      <c r="C110" s="65" t="s">
        <v>92</v>
      </c>
      <c r="D110" s="66">
        <f t="shared" ref="D110:K110" si="13">D22+D17+D10</f>
        <v>28044581</v>
      </c>
      <c r="E110" s="66">
        <f t="shared" si="13"/>
        <v>28044581</v>
      </c>
      <c r="F110" s="66">
        <f t="shared" si="13"/>
        <v>0</v>
      </c>
      <c r="G110" s="66">
        <f t="shared" si="13"/>
        <v>0</v>
      </c>
      <c r="H110" s="66">
        <f t="shared" si="13"/>
        <v>0</v>
      </c>
      <c r="I110" s="66">
        <f t="shared" si="13"/>
        <v>0</v>
      </c>
      <c r="J110" s="66">
        <f t="shared" si="13"/>
        <v>28044581</v>
      </c>
      <c r="K110" s="109">
        <f t="shared" si="13"/>
        <v>28044581</v>
      </c>
      <c r="L110" s="1"/>
    </row>
    <row r="111" spans="1:12" x14ac:dyDescent="0.2">
      <c r="A111" s="389"/>
      <c r="B111" s="376"/>
      <c r="C111" s="65" t="s">
        <v>102</v>
      </c>
      <c r="D111" s="66">
        <f t="shared" ref="D111:K111" si="14">D31</f>
        <v>426209554</v>
      </c>
      <c r="E111" s="66">
        <f t="shared" si="14"/>
        <v>508884280</v>
      </c>
      <c r="F111" s="66">
        <f t="shared" si="14"/>
        <v>0</v>
      </c>
      <c r="G111" s="66">
        <f t="shared" si="14"/>
        <v>12252421</v>
      </c>
      <c r="H111" s="66">
        <f t="shared" si="14"/>
        <v>-1740637</v>
      </c>
      <c r="I111" s="66">
        <f t="shared" si="14"/>
        <v>2000</v>
      </c>
      <c r="J111" s="66">
        <f t="shared" si="14"/>
        <v>519398064</v>
      </c>
      <c r="K111" s="66">
        <f t="shared" si="14"/>
        <v>369326163</v>
      </c>
      <c r="L111" s="1"/>
    </row>
    <row r="112" spans="1:12" x14ac:dyDescent="0.2">
      <c r="A112" s="389"/>
      <c r="B112" s="376"/>
      <c r="C112" s="63" t="s">
        <v>7</v>
      </c>
      <c r="D112" s="4">
        <f>D62+D49+D80</f>
        <v>970000</v>
      </c>
      <c r="E112" s="4">
        <f>E62+E49+E80</f>
        <v>6244140</v>
      </c>
      <c r="F112" s="4">
        <f t="shared" ref="F112:K112" si="15">F62+F49+F80</f>
        <v>-2109656</v>
      </c>
      <c r="G112" s="4">
        <f t="shared" si="15"/>
        <v>0</v>
      </c>
      <c r="H112" s="4">
        <f t="shared" si="15"/>
        <v>0</v>
      </c>
      <c r="I112" s="4">
        <f t="shared" si="15"/>
        <v>0</v>
      </c>
      <c r="J112" s="4">
        <f t="shared" si="15"/>
        <v>4134484</v>
      </c>
      <c r="K112" s="120">
        <f t="shared" si="15"/>
        <v>2212242</v>
      </c>
    </row>
    <row r="113" spans="1:12" x14ac:dyDescent="0.2">
      <c r="A113" s="389"/>
      <c r="B113" s="376"/>
      <c r="C113" s="63" t="s">
        <v>88</v>
      </c>
      <c r="D113" s="4">
        <f>D63</f>
        <v>10791000</v>
      </c>
      <c r="E113" s="4">
        <f>E63</f>
        <v>10791000</v>
      </c>
      <c r="F113" s="4">
        <f t="shared" ref="F113:K113" si="16">F63</f>
        <v>0</v>
      </c>
      <c r="G113" s="4">
        <f t="shared" si="16"/>
        <v>0</v>
      </c>
      <c r="H113" s="4">
        <f t="shared" si="16"/>
        <v>0</v>
      </c>
      <c r="I113" s="4">
        <f t="shared" si="16"/>
        <v>0</v>
      </c>
      <c r="J113" s="4">
        <f t="shared" si="16"/>
        <v>10791000</v>
      </c>
      <c r="K113" s="120">
        <f t="shared" si="16"/>
        <v>736000</v>
      </c>
    </row>
    <row r="114" spans="1:12" x14ac:dyDescent="0.2">
      <c r="A114" s="389"/>
      <c r="B114" s="376"/>
      <c r="C114" s="65" t="s">
        <v>94</v>
      </c>
      <c r="D114" s="66">
        <f>D63+D62+D49+D80</f>
        <v>11761000</v>
      </c>
      <c r="E114" s="66">
        <f>E63+E62+E49+E80</f>
        <v>17035140</v>
      </c>
      <c r="F114" s="66">
        <f t="shared" ref="F114:K114" si="17">F63+F62+F49+F80</f>
        <v>-2109656</v>
      </c>
      <c r="G114" s="66">
        <f t="shared" si="17"/>
        <v>0</v>
      </c>
      <c r="H114" s="66">
        <f t="shared" si="17"/>
        <v>0</v>
      </c>
      <c r="I114" s="66">
        <f t="shared" si="17"/>
        <v>0</v>
      </c>
      <c r="J114" s="66">
        <f t="shared" si="17"/>
        <v>14925484</v>
      </c>
      <c r="K114" s="66">
        <f t="shared" si="17"/>
        <v>2948242</v>
      </c>
      <c r="L114" s="1"/>
    </row>
    <row r="115" spans="1:12" x14ac:dyDescent="0.2">
      <c r="A115" s="389"/>
      <c r="B115" s="376"/>
      <c r="C115" s="65" t="s">
        <v>9</v>
      </c>
      <c r="D115" s="66">
        <f>D64+D50+D81</f>
        <v>3112282</v>
      </c>
      <c r="E115" s="66">
        <f>E64+E50+E81</f>
        <v>4090801</v>
      </c>
      <c r="F115" s="66">
        <f t="shared" ref="F115:K115" si="18">F64+F50+F81</f>
        <v>-424736</v>
      </c>
      <c r="G115" s="66">
        <f t="shared" si="18"/>
        <v>0</v>
      </c>
      <c r="H115" s="66">
        <f t="shared" si="18"/>
        <v>0</v>
      </c>
      <c r="I115" s="66">
        <f t="shared" si="18"/>
        <v>0</v>
      </c>
      <c r="J115" s="66">
        <f t="shared" si="18"/>
        <v>3666065</v>
      </c>
      <c r="K115" s="66">
        <f t="shared" si="18"/>
        <v>396941</v>
      </c>
      <c r="L115" s="1"/>
    </row>
    <row r="116" spans="1:12" x14ac:dyDescent="0.2">
      <c r="A116" s="389"/>
      <c r="B116" s="376"/>
      <c r="C116" s="63" t="s">
        <v>22</v>
      </c>
      <c r="D116" s="4">
        <f t="shared" ref="D116:I116" si="19">D65+D32</f>
        <v>254000</v>
      </c>
      <c r="E116" s="4">
        <f t="shared" si="19"/>
        <v>254000</v>
      </c>
      <c r="F116" s="4">
        <f t="shared" si="19"/>
        <v>0</v>
      </c>
      <c r="G116" s="4">
        <f t="shared" si="19"/>
        <v>0</v>
      </c>
      <c r="H116" s="4">
        <f t="shared" si="19"/>
        <v>0</v>
      </c>
      <c r="I116" s="4">
        <f t="shared" si="19"/>
        <v>0</v>
      </c>
      <c r="J116" s="4">
        <f>J65+J32+J82</f>
        <v>2660466</v>
      </c>
      <c r="K116" s="4">
        <f>K65+K32+K82</f>
        <v>2756</v>
      </c>
    </row>
    <row r="117" spans="1:12" x14ac:dyDescent="0.2">
      <c r="A117" s="389"/>
      <c r="B117" s="376"/>
      <c r="C117" s="63" t="s">
        <v>33</v>
      </c>
      <c r="D117" s="4">
        <f>D66</f>
        <v>72000</v>
      </c>
      <c r="E117" s="4">
        <f>E66</f>
        <v>72000</v>
      </c>
      <c r="F117" s="4">
        <f t="shared" ref="F117:K117" si="20">F66</f>
        <v>0</v>
      </c>
      <c r="G117" s="4">
        <f t="shared" si="20"/>
        <v>0</v>
      </c>
      <c r="H117" s="4">
        <f t="shared" si="20"/>
        <v>0</v>
      </c>
      <c r="I117" s="4">
        <f t="shared" si="20"/>
        <v>0</v>
      </c>
      <c r="J117" s="4">
        <f t="shared" si="20"/>
        <v>72000</v>
      </c>
      <c r="K117" s="107">
        <f t="shared" si="20"/>
        <v>0</v>
      </c>
    </row>
    <row r="118" spans="1:12" x14ac:dyDescent="0.2">
      <c r="A118" s="389"/>
      <c r="B118" s="376"/>
      <c r="C118" s="63" t="s">
        <v>89</v>
      </c>
      <c r="D118" s="4">
        <f t="shared" ref="D118:K118" si="21">D33</f>
        <v>1870</v>
      </c>
      <c r="E118" s="4">
        <f t="shared" si="21"/>
        <v>1870</v>
      </c>
      <c r="F118" s="4">
        <f t="shared" si="21"/>
        <v>0</v>
      </c>
      <c r="G118" s="4">
        <f t="shared" si="21"/>
        <v>0</v>
      </c>
      <c r="H118" s="4">
        <f t="shared" si="21"/>
        <v>0</v>
      </c>
      <c r="I118" s="4">
        <f t="shared" si="21"/>
        <v>0</v>
      </c>
      <c r="J118" s="4">
        <f t="shared" si="21"/>
        <v>1870</v>
      </c>
      <c r="K118" s="107">
        <f t="shared" si="21"/>
        <v>0</v>
      </c>
    </row>
    <row r="119" spans="1:12" x14ac:dyDescent="0.2">
      <c r="A119" s="389"/>
      <c r="B119" s="376"/>
      <c r="C119" s="63" t="s">
        <v>34</v>
      </c>
      <c r="D119" s="4">
        <f>D67+D83</f>
        <v>230000</v>
      </c>
      <c r="E119" s="4">
        <f>E67+E83</f>
        <v>1478000</v>
      </c>
      <c r="F119" s="4">
        <f t="shared" ref="F119:K119" si="22">F67+F83</f>
        <v>-707843</v>
      </c>
      <c r="G119" s="4">
        <f t="shared" si="22"/>
        <v>0</v>
      </c>
      <c r="H119" s="4">
        <f t="shared" si="22"/>
        <v>0</v>
      </c>
      <c r="I119" s="4">
        <f t="shared" si="22"/>
        <v>0</v>
      </c>
      <c r="J119" s="4">
        <f t="shared" si="22"/>
        <v>770157</v>
      </c>
      <c r="K119" s="4">
        <f t="shared" si="22"/>
        <v>0</v>
      </c>
    </row>
    <row r="120" spans="1:12" x14ac:dyDescent="0.2">
      <c r="A120" s="389"/>
      <c r="B120" s="376"/>
      <c r="C120" s="63" t="s">
        <v>10</v>
      </c>
      <c r="D120" s="4">
        <f t="shared" ref="D120:J120" si="23">D68+D51+D34+D84</f>
        <v>8009100</v>
      </c>
      <c r="E120" s="4">
        <f t="shared" si="23"/>
        <v>8059100</v>
      </c>
      <c r="F120" s="4">
        <f t="shared" si="23"/>
        <v>846181</v>
      </c>
      <c r="G120" s="4">
        <f t="shared" si="23"/>
        <v>0</v>
      </c>
      <c r="H120" s="4">
        <f t="shared" si="23"/>
        <v>0</v>
      </c>
      <c r="I120" s="4">
        <f t="shared" si="23"/>
        <v>0</v>
      </c>
      <c r="J120" s="4">
        <f t="shared" si="23"/>
        <v>8905281</v>
      </c>
      <c r="K120" s="4">
        <f>K68+K51+K34+K84</f>
        <v>800000</v>
      </c>
    </row>
    <row r="121" spans="1:12" x14ac:dyDescent="0.2">
      <c r="A121" s="389"/>
      <c r="B121" s="376"/>
      <c r="C121" s="63" t="s">
        <v>2</v>
      </c>
      <c r="D121" s="4">
        <f t="shared" ref="D121:K121" si="24">D69+D52+D35+D61+D85</f>
        <v>31883770</v>
      </c>
      <c r="E121" s="4">
        <f t="shared" si="24"/>
        <v>37845564</v>
      </c>
      <c r="F121" s="4">
        <f t="shared" si="24"/>
        <v>-2251529</v>
      </c>
      <c r="G121" s="4">
        <f t="shared" si="24"/>
        <v>0</v>
      </c>
      <c r="H121" s="4">
        <f t="shared" si="24"/>
        <v>0</v>
      </c>
      <c r="I121" s="4">
        <f t="shared" si="24"/>
        <v>2000</v>
      </c>
      <c r="J121" s="4">
        <f t="shared" si="24"/>
        <v>35596035</v>
      </c>
      <c r="K121" s="4">
        <f t="shared" si="24"/>
        <v>11757974</v>
      </c>
    </row>
    <row r="122" spans="1:12" x14ac:dyDescent="0.2">
      <c r="A122" s="389"/>
      <c r="B122" s="376"/>
      <c r="C122" s="63" t="s">
        <v>35</v>
      </c>
      <c r="D122" s="4">
        <f>D70</f>
        <v>292100</v>
      </c>
      <c r="E122" s="4">
        <f>E70</f>
        <v>292100</v>
      </c>
      <c r="F122" s="4">
        <f t="shared" ref="F122:K122" si="25">F70</f>
        <v>0</v>
      </c>
      <c r="G122" s="4">
        <f t="shared" si="25"/>
        <v>0</v>
      </c>
      <c r="H122" s="4">
        <f t="shared" si="25"/>
        <v>0</v>
      </c>
      <c r="I122" s="4">
        <f t="shared" si="25"/>
        <v>0</v>
      </c>
      <c r="J122" s="4">
        <f t="shared" si="25"/>
        <v>292100</v>
      </c>
      <c r="K122" s="107">
        <f t="shared" si="25"/>
        <v>0</v>
      </c>
    </row>
    <row r="123" spans="1:12" x14ac:dyDescent="0.2">
      <c r="A123" s="389"/>
      <c r="B123" s="376"/>
      <c r="C123" s="63" t="s">
        <v>117</v>
      </c>
      <c r="D123" s="108">
        <f t="shared" ref="D123:J123" si="26">D36+D86</f>
        <v>0</v>
      </c>
      <c r="E123" s="108">
        <f t="shared" si="26"/>
        <v>73260</v>
      </c>
      <c r="F123" s="108">
        <f t="shared" si="26"/>
        <v>354000</v>
      </c>
      <c r="G123" s="108">
        <f t="shared" si="26"/>
        <v>0</v>
      </c>
      <c r="H123" s="108">
        <f t="shared" si="26"/>
        <v>0</v>
      </c>
      <c r="I123" s="108">
        <f t="shared" si="26"/>
        <v>0</v>
      </c>
      <c r="J123" s="108">
        <f t="shared" si="26"/>
        <v>427260</v>
      </c>
      <c r="K123" s="108">
        <f>K36+K86</f>
        <v>73260</v>
      </c>
    </row>
    <row r="124" spans="1:12" x14ac:dyDescent="0.2">
      <c r="A124" s="389"/>
      <c r="B124" s="376"/>
      <c r="C124" s="63" t="s">
        <v>11</v>
      </c>
      <c r="D124" s="4">
        <f t="shared" ref="D124:I124" si="27">D71+D53+D37</f>
        <v>5188185</v>
      </c>
      <c r="E124" s="4">
        <f t="shared" si="27"/>
        <v>5222571</v>
      </c>
      <c r="F124" s="4">
        <f t="shared" si="27"/>
        <v>0</v>
      </c>
      <c r="G124" s="4">
        <f t="shared" si="27"/>
        <v>0</v>
      </c>
      <c r="H124" s="4">
        <f t="shared" si="27"/>
        <v>0</v>
      </c>
      <c r="I124" s="4">
        <f t="shared" si="27"/>
        <v>0</v>
      </c>
      <c r="J124" s="4">
        <f>J71+J53+J37+J87</f>
        <v>6275888</v>
      </c>
      <c r="K124" s="4">
        <f>K71+K53+K37+K87</f>
        <v>741369</v>
      </c>
    </row>
    <row r="125" spans="1:12" x14ac:dyDescent="0.2">
      <c r="A125" s="389"/>
      <c r="B125" s="376"/>
      <c r="C125" s="63" t="s">
        <v>91</v>
      </c>
      <c r="D125" s="4">
        <f t="shared" ref="D125:K125" si="28">D38</f>
        <v>0</v>
      </c>
      <c r="E125" s="4">
        <f t="shared" si="28"/>
        <v>83000</v>
      </c>
      <c r="F125" s="4">
        <f t="shared" si="28"/>
        <v>0</v>
      </c>
      <c r="G125" s="4">
        <f t="shared" si="28"/>
        <v>0</v>
      </c>
      <c r="H125" s="4">
        <f t="shared" si="28"/>
        <v>0</v>
      </c>
      <c r="I125" s="4">
        <f t="shared" si="28"/>
        <v>0</v>
      </c>
      <c r="J125" s="4">
        <f t="shared" si="28"/>
        <v>83000</v>
      </c>
      <c r="K125" s="107">
        <f t="shared" si="28"/>
        <v>83000</v>
      </c>
    </row>
    <row r="126" spans="1:12" x14ac:dyDescent="0.2">
      <c r="A126" s="389"/>
      <c r="B126" s="376"/>
      <c r="C126" s="63" t="s">
        <v>12</v>
      </c>
      <c r="D126" s="4">
        <f t="shared" ref="D126:I126" si="29">D72+D54+D88+D39</f>
        <v>229492</v>
      </c>
      <c r="E126" s="4">
        <f t="shared" si="29"/>
        <v>409492</v>
      </c>
      <c r="F126" s="4">
        <f t="shared" si="29"/>
        <v>840000</v>
      </c>
      <c r="G126" s="4">
        <f t="shared" si="29"/>
        <v>0</v>
      </c>
      <c r="H126" s="4">
        <f t="shared" si="29"/>
        <v>0</v>
      </c>
      <c r="I126" s="4">
        <f t="shared" si="29"/>
        <v>0</v>
      </c>
      <c r="J126" s="4">
        <f>J72+J54+J88+J39</f>
        <v>1249492</v>
      </c>
      <c r="K126" s="4">
        <f>K72+K54+K88+K39</f>
        <v>181900</v>
      </c>
    </row>
    <row r="127" spans="1:12" x14ac:dyDescent="0.2">
      <c r="A127" s="389"/>
      <c r="B127" s="376"/>
      <c r="C127" s="65" t="s">
        <v>95</v>
      </c>
      <c r="D127" s="66">
        <f t="shared" ref="D127:I127" si="30">D72+D71+D70+D69+D68+D67+D66+D65+D54+D53+D52+D51+D38+D37+D35+D33+D32+D61+D36+D83+D85+D88+D87+D82+D39+D34+D84+D86</f>
        <v>46160517</v>
      </c>
      <c r="E127" s="66">
        <f t="shared" si="30"/>
        <v>53797157</v>
      </c>
      <c r="F127" s="66">
        <f t="shared" si="30"/>
        <v>2534392</v>
      </c>
      <c r="G127" s="66">
        <f t="shared" si="30"/>
        <v>0</v>
      </c>
      <c r="H127" s="66">
        <f t="shared" si="30"/>
        <v>0</v>
      </c>
      <c r="I127" s="66">
        <f t="shared" si="30"/>
        <v>2000</v>
      </c>
      <c r="J127" s="66">
        <f>J72+J71+J70+J69+J68+J67+J66+J65+J54+J53+J52+J51+J38+J37+J35+J33+J32+J61+J36+J83+J85+J88+J87+J82+J39+J34+J84+J86</f>
        <v>56333549</v>
      </c>
      <c r="K127" s="66">
        <f>K72+K71+K70+K69+K68+K67+K66+K65+K54+K53+K52+K51+K38+K37+K35+K33+K32+K61+K36+K83+K85+K88+K87+K82+K39+K34+K84+K86</f>
        <v>13640259</v>
      </c>
      <c r="L127" s="1"/>
    </row>
    <row r="128" spans="1:12" x14ac:dyDescent="0.2">
      <c r="A128" s="389"/>
      <c r="B128" s="376"/>
      <c r="C128" s="63" t="s">
        <v>36</v>
      </c>
      <c r="D128" s="4">
        <f>D73</f>
        <v>0</v>
      </c>
      <c r="E128" s="4">
        <f>E73</f>
        <v>0</v>
      </c>
      <c r="F128" s="4">
        <f t="shared" ref="F128:K128" si="31">F73</f>
        <v>0</v>
      </c>
      <c r="G128" s="4">
        <f t="shared" si="31"/>
        <v>0</v>
      </c>
      <c r="H128" s="4">
        <f t="shared" si="31"/>
        <v>0</v>
      </c>
      <c r="I128" s="4">
        <f t="shared" si="31"/>
        <v>0</v>
      </c>
      <c r="J128" s="4">
        <f t="shared" si="31"/>
        <v>0</v>
      </c>
      <c r="K128" s="107">
        <f t="shared" si="31"/>
        <v>0</v>
      </c>
    </row>
    <row r="129" spans="1:12" x14ac:dyDescent="0.2">
      <c r="A129" s="389"/>
      <c r="B129" s="376"/>
      <c r="C129" s="63" t="s">
        <v>23</v>
      </c>
      <c r="D129" s="4">
        <f t="shared" ref="D129:K129" si="32">D45+D43+D47+D40</f>
        <v>19744030</v>
      </c>
      <c r="E129" s="4">
        <f t="shared" si="32"/>
        <v>19745283</v>
      </c>
      <c r="F129" s="4">
        <f t="shared" si="32"/>
        <v>0</v>
      </c>
      <c r="G129" s="4">
        <f t="shared" si="32"/>
        <v>0</v>
      </c>
      <c r="H129" s="4">
        <f t="shared" si="32"/>
        <v>0</v>
      </c>
      <c r="I129" s="4">
        <f t="shared" si="32"/>
        <v>0</v>
      </c>
      <c r="J129" s="4">
        <f t="shared" si="32"/>
        <v>19745283</v>
      </c>
      <c r="K129" s="135">
        <f t="shared" si="32"/>
        <v>12478362</v>
      </c>
    </row>
    <row r="130" spans="1:12" x14ac:dyDescent="0.2">
      <c r="A130" s="389"/>
      <c r="B130" s="376"/>
      <c r="C130" s="63" t="s">
        <v>5</v>
      </c>
      <c r="D130" s="4">
        <f t="shared" ref="D130:K130" si="33">D46+D48+D41</f>
        <v>16308950</v>
      </c>
      <c r="E130" s="4">
        <f t="shared" si="33"/>
        <v>16308950</v>
      </c>
      <c r="F130" s="4">
        <f t="shared" si="33"/>
        <v>0</v>
      </c>
      <c r="G130" s="4">
        <f t="shared" si="33"/>
        <v>0</v>
      </c>
      <c r="H130" s="4">
        <f t="shared" si="33"/>
        <v>0</v>
      </c>
      <c r="I130" s="4">
        <f t="shared" si="33"/>
        <v>0</v>
      </c>
      <c r="J130" s="4">
        <f t="shared" si="33"/>
        <v>16308950</v>
      </c>
      <c r="K130" s="107">
        <f t="shared" si="33"/>
        <v>10889300</v>
      </c>
    </row>
    <row r="131" spans="1:12" x14ac:dyDescent="0.2">
      <c r="A131" s="389"/>
      <c r="B131" s="376"/>
      <c r="C131" s="65" t="s">
        <v>96</v>
      </c>
      <c r="D131" s="66">
        <f t="shared" ref="D131:K131" si="34">D46+D45+D43+D48+D47+D41+D40</f>
        <v>36052980</v>
      </c>
      <c r="E131" s="66">
        <f t="shared" si="34"/>
        <v>36054233</v>
      </c>
      <c r="F131" s="66">
        <f t="shared" si="34"/>
        <v>0</v>
      </c>
      <c r="G131" s="66">
        <f t="shared" si="34"/>
        <v>0</v>
      </c>
      <c r="H131" s="66">
        <f t="shared" si="34"/>
        <v>0</v>
      </c>
      <c r="I131" s="66">
        <f t="shared" si="34"/>
        <v>0</v>
      </c>
      <c r="J131" s="66">
        <f t="shared" si="34"/>
        <v>36054233</v>
      </c>
      <c r="K131" s="109">
        <f t="shared" si="34"/>
        <v>23367662</v>
      </c>
      <c r="L131" s="1"/>
    </row>
    <row r="132" spans="1:12" x14ac:dyDescent="0.2">
      <c r="A132" s="389"/>
      <c r="B132" s="376"/>
      <c r="C132" s="63" t="s">
        <v>31</v>
      </c>
      <c r="D132" s="4">
        <f>D74+D55+D89</f>
        <v>388897</v>
      </c>
      <c r="E132" s="4">
        <f t="shared" ref="E132:K132" si="35">E74+E55+E89</f>
        <v>966853</v>
      </c>
      <c r="F132" s="4">
        <f t="shared" si="35"/>
        <v>0</v>
      </c>
      <c r="G132" s="4">
        <f t="shared" si="35"/>
        <v>0</v>
      </c>
      <c r="H132" s="4">
        <f t="shared" si="35"/>
        <v>0</v>
      </c>
      <c r="I132" s="4">
        <f t="shared" si="35"/>
        <v>0</v>
      </c>
      <c r="J132" s="4">
        <f t="shared" si="35"/>
        <v>966853</v>
      </c>
      <c r="K132" s="4">
        <f t="shared" si="35"/>
        <v>704400</v>
      </c>
    </row>
    <row r="133" spans="1:12" x14ac:dyDescent="0.2">
      <c r="A133" s="389"/>
      <c r="B133" s="376"/>
      <c r="C133" s="63" t="s">
        <v>32</v>
      </c>
      <c r="D133" s="4">
        <f t="shared" ref="D133:I133" si="36">D56+D75+D90</f>
        <v>0</v>
      </c>
      <c r="E133" s="4">
        <f t="shared" si="36"/>
        <v>1818096</v>
      </c>
      <c r="F133" s="4">
        <f t="shared" si="36"/>
        <v>376800</v>
      </c>
      <c r="G133" s="4">
        <f t="shared" si="36"/>
        <v>0</v>
      </c>
      <c r="H133" s="4">
        <f t="shared" si="36"/>
        <v>0</v>
      </c>
      <c r="I133" s="4">
        <f t="shared" si="36"/>
        <v>0</v>
      </c>
      <c r="J133" s="4">
        <f>J56+J75+J90</f>
        <v>2194896</v>
      </c>
      <c r="K133" s="4">
        <f>K56+K75+K90</f>
        <v>1818096</v>
      </c>
    </row>
    <row r="134" spans="1:12" x14ac:dyDescent="0.2">
      <c r="A134" s="389"/>
      <c r="B134" s="376"/>
      <c r="C134" s="63" t="s">
        <v>13</v>
      </c>
      <c r="D134" s="4">
        <f t="shared" ref="D134:K135" si="37">D76+D57+D91</f>
        <v>4296741</v>
      </c>
      <c r="E134" s="4">
        <f t="shared" si="37"/>
        <v>10755560</v>
      </c>
      <c r="F134" s="4">
        <f t="shared" si="37"/>
        <v>-376800</v>
      </c>
      <c r="G134" s="4">
        <f t="shared" si="37"/>
        <v>0</v>
      </c>
      <c r="H134" s="4">
        <f t="shared" si="37"/>
        <v>0</v>
      </c>
      <c r="I134" s="4">
        <f t="shared" si="37"/>
        <v>0</v>
      </c>
      <c r="J134" s="4">
        <f t="shared" si="37"/>
        <v>10378760</v>
      </c>
      <c r="K134" s="4">
        <f t="shared" si="37"/>
        <v>2568661</v>
      </c>
    </row>
    <row r="135" spans="1:12" x14ac:dyDescent="0.2">
      <c r="A135" s="389"/>
      <c r="B135" s="376"/>
      <c r="C135" s="63" t="s">
        <v>14</v>
      </c>
      <c r="D135" s="4">
        <f t="shared" si="37"/>
        <v>1265122</v>
      </c>
      <c r="E135" s="4">
        <f t="shared" si="37"/>
        <v>3655937</v>
      </c>
      <c r="F135" s="4">
        <f t="shared" si="37"/>
        <v>0</v>
      </c>
      <c r="G135" s="4">
        <f t="shared" si="37"/>
        <v>0</v>
      </c>
      <c r="H135" s="4">
        <f t="shared" si="37"/>
        <v>0</v>
      </c>
      <c r="I135" s="4">
        <f t="shared" si="37"/>
        <v>0</v>
      </c>
      <c r="J135" s="4">
        <f t="shared" si="37"/>
        <v>3655937</v>
      </c>
      <c r="K135" s="4">
        <f t="shared" si="37"/>
        <v>1374613</v>
      </c>
    </row>
    <row r="136" spans="1:12" x14ac:dyDescent="0.2">
      <c r="A136" s="389"/>
      <c r="B136" s="376"/>
      <c r="C136" s="65" t="s">
        <v>97</v>
      </c>
      <c r="D136" s="66">
        <f t="shared" ref="D136:I136" si="38">D77+D76+D74+D58+D57+D56+D55+D75+D89+D91+D92+D90</f>
        <v>5950760</v>
      </c>
      <c r="E136" s="66">
        <f t="shared" si="38"/>
        <v>17196446</v>
      </c>
      <c r="F136" s="66">
        <f t="shared" si="38"/>
        <v>0</v>
      </c>
      <c r="G136" s="66">
        <f t="shared" si="38"/>
        <v>0</v>
      </c>
      <c r="H136" s="66">
        <f t="shared" si="38"/>
        <v>0</v>
      </c>
      <c r="I136" s="66">
        <f t="shared" si="38"/>
        <v>0</v>
      </c>
      <c r="J136" s="66">
        <f>J77+J76+J74+J58+J57+J56+J55+J75+J89+J91+J92+J90</f>
        <v>17196446</v>
      </c>
      <c r="K136" s="66">
        <f>K77+K76+K74+K58+K57+K56+K55+K75+K89+K91+K92+K90</f>
        <v>6465770</v>
      </c>
      <c r="L136" s="1"/>
    </row>
    <row r="137" spans="1:12" x14ac:dyDescent="0.2">
      <c r="A137" s="389"/>
      <c r="B137" s="376"/>
      <c r="C137" s="63" t="s">
        <v>15</v>
      </c>
      <c r="D137" s="4">
        <f t="shared" ref="D137:K138" si="39">D78+D59+D93</f>
        <v>4121943</v>
      </c>
      <c r="E137" s="4">
        <f t="shared" si="39"/>
        <v>34661221</v>
      </c>
      <c r="F137" s="4">
        <f t="shared" si="39"/>
        <v>0</v>
      </c>
      <c r="G137" s="4">
        <f t="shared" si="39"/>
        <v>0</v>
      </c>
      <c r="H137" s="4">
        <f t="shared" si="39"/>
        <v>0</v>
      </c>
      <c r="I137" s="4">
        <f t="shared" si="39"/>
        <v>0</v>
      </c>
      <c r="J137" s="4">
        <f t="shared" si="39"/>
        <v>34661221</v>
      </c>
      <c r="K137" s="4">
        <f t="shared" si="39"/>
        <v>2828729</v>
      </c>
    </row>
    <row r="138" spans="1:12" x14ac:dyDescent="0.2">
      <c r="A138" s="389"/>
      <c r="B138" s="376"/>
      <c r="C138" s="63" t="s">
        <v>16</v>
      </c>
      <c r="D138" s="4">
        <f t="shared" si="39"/>
        <v>1112924</v>
      </c>
      <c r="E138" s="4">
        <f t="shared" si="39"/>
        <v>9358530</v>
      </c>
      <c r="F138" s="4">
        <f t="shared" si="39"/>
        <v>0</v>
      </c>
      <c r="G138" s="4">
        <f t="shared" si="39"/>
        <v>0</v>
      </c>
      <c r="H138" s="4">
        <f t="shared" si="39"/>
        <v>0</v>
      </c>
      <c r="I138" s="4">
        <f t="shared" si="39"/>
        <v>0</v>
      </c>
      <c r="J138" s="4">
        <f t="shared" si="39"/>
        <v>9358530</v>
      </c>
      <c r="K138" s="4">
        <f t="shared" si="39"/>
        <v>493942</v>
      </c>
    </row>
    <row r="139" spans="1:12" x14ac:dyDescent="0.2">
      <c r="A139" s="389"/>
      <c r="B139" s="376"/>
      <c r="C139" s="65" t="s">
        <v>98</v>
      </c>
      <c r="D139" s="66">
        <f>D79+D78+D60+D59+D93+D94</f>
        <v>5234867</v>
      </c>
      <c r="E139" s="66">
        <f t="shared" ref="E139:K139" si="40">E79+E78+E60+E59+E93+E94</f>
        <v>44019751</v>
      </c>
      <c r="F139" s="66">
        <f t="shared" si="40"/>
        <v>0</v>
      </c>
      <c r="G139" s="66">
        <f t="shared" si="40"/>
        <v>0</v>
      </c>
      <c r="H139" s="66">
        <f t="shared" si="40"/>
        <v>0</v>
      </c>
      <c r="I139" s="66">
        <f t="shared" si="40"/>
        <v>0</v>
      </c>
      <c r="J139" s="66">
        <f t="shared" si="40"/>
        <v>44019751</v>
      </c>
      <c r="K139" s="66">
        <f t="shared" si="40"/>
        <v>3322671</v>
      </c>
      <c r="L139" s="1"/>
    </row>
    <row r="140" spans="1:12" x14ac:dyDescent="0.2">
      <c r="A140" s="389"/>
      <c r="B140" s="376"/>
      <c r="C140" s="65" t="s">
        <v>110</v>
      </c>
      <c r="D140" s="66">
        <f>D44</f>
        <v>4500000</v>
      </c>
      <c r="E140" s="66">
        <f t="shared" ref="E140:K140" si="41">E44</f>
        <v>4500000</v>
      </c>
      <c r="F140" s="66">
        <f t="shared" si="41"/>
        <v>0</v>
      </c>
      <c r="G140" s="66">
        <f t="shared" si="41"/>
        <v>0</v>
      </c>
      <c r="H140" s="66">
        <f t="shared" si="41"/>
        <v>0</v>
      </c>
      <c r="I140" s="66">
        <f t="shared" si="41"/>
        <v>0</v>
      </c>
      <c r="J140" s="66">
        <f t="shared" si="41"/>
        <v>4500000</v>
      </c>
      <c r="K140" s="110">
        <f t="shared" si="41"/>
        <v>3967790</v>
      </c>
      <c r="L140" s="1"/>
    </row>
    <row r="141" spans="1:12" x14ac:dyDescent="0.2">
      <c r="A141" s="389"/>
      <c r="B141" s="376"/>
      <c r="C141" s="63" t="s">
        <v>3</v>
      </c>
      <c r="D141" s="67">
        <f t="shared" ref="D141:K141" si="42">D42</f>
        <v>313437148</v>
      </c>
      <c r="E141" s="67">
        <f t="shared" si="42"/>
        <v>332190752</v>
      </c>
      <c r="F141" s="67">
        <f t="shared" si="42"/>
        <v>0</v>
      </c>
      <c r="G141" s="67">
        <f t="shared" si="42"/>
        <v>12252421</v>
      </c>
      <c r="H141" s="67">
        <f t="shared" si="42"/>
        <v>-1740637</v>
      </c>
      <c r="I141" s="67">
        <f t="shared" si="42"/>
        <v>0</v>
      </c>
      <c r="J141" s="67">
        <f t="shared" si="42"/>
        <v>342702536</v>
      </c>
      <c r="K141" s="111">
        <f t="shared" si="42"/>
        <v>243194245</v>
      </c>
      <c r="L141" s="1"/>
    </row>
    <row r="142" spans="1:12" x14ac:dyDescent="0.2">
      <c r="A142" s="390"/>
      <c r="B142" s="391"/>
      <c r="C142" s="65" t="s">
        <v>99</v>
      </c>
      <c r="D142" s="66">
        <f>D95</f>
        <v>426209554</v>
      </c>
      <c r="E142" s="66">
        <f t="shared" ref="E142:K142" si="43">E95</f>
        <v>508884280</v>
      </c>
      <c r="F142" s="66">
        <f t="shared" si="43"/>
        <v>0</v>
      </c>
      <c r="G142" s="66">
        <f t="shared" si="43"/>
        <v>12252421</v>
      </c>
      <c r="H142" s="66">
        <f t="shared" si="43"/>
        <v>-1740637</v>
      </c>
      <c r="I142" s="66">
        <f t="shared" si="43"/>
        <v>2000</v>
      </c>
      <c r="J142" s="66">
        <f t="shared" si="43"/>
        <v>519398064</v>
      </c>
      <c r="K142" s="66">
        <f t="shared" si="43"/>
        <v>297303580</v>
      </c>
      <c r="L142" s="1"/>
    </row>
    <row r="143" spans="1:12" x14ac:dyDescent="0.2">
      <c r="A143" s="1"/>
      <c r="B143" s="98"/>
      <c r="C143" s="1"/>
      <c r="D143" s="1"/>
      <c r="E143" s="1"/>
      <c r="F143" s="68"/>
      <c r="G143" s="1"/>
      <c r="H143" s="1"/>
      <c r="I143" s="1"/>
      <c r="J143" s="1"/>
      <c r="K143" s="112"/>
      <c r="L143" s="1"/>
    </row>
    <row r="144" spans="1:12" x14ac:dyDescent="0.2">
      <c r="C144" s="5"/>
      <c r="D144" s="5"/>
      <c r="F144" s="2"/>
    </row>
    <row r="145" spans="3:6" x14ac:dyDescent="0.2">
      <c r="C145" s="5"/>
      <c r="D145" s="5"/>
      <c r="F145" s="2"/>
    </row>
  </sheetData>
  <mergeCells count="41">
    <mergeCell ref="A101:B142"/>
    <mergeCell ref="A47:A48"/>
    <mergeCell ref="B47:B48"/>
    <mergeCell ref="A49:A60"/>
    <mergeCell ref="B49:B60"/>
    <mergeCell ref="A61:A79"/>
    <mergeCell ref="B62:B79"/>
    <mergeCell ref="A80:A94"/>
    <mergeCell ref="B80:B94"/>
    <mergeCell ref="A95:C95"/>
    <mergeCell ref="A45:A46"/>
    <mergeCell ref="B45:B46"/>
    <mergeCell ref="A6:A10"/>
    <mergeCell ref="B6:B8"/>
    <mergeCell ref="B9:B10"/>
    <mergeCell ref="A15:A19"/>
    <mergeCell ref="B15:B17"/>
    <mergeCell ref="A11:A12"/>
    <mergeCell ref="B11:B12"/>
    <mergeCell ref="A43:A44"/>
    <mergeCell ref="B43:B44"/>
    <mergeCell ref="B18:B19"/>
    <mergeCell ref="A20:A24"/>
    <mergeCell ref="B20:B22"/>
    <mergeCell ref="B23:B24"/>
    <mergeCell ref="B25:B26"/>
    <mergeCell ref="A1:L1"/>
    <mergeCell ref="A4:A5"/>
    <mergeCell ref="B4:B5"/>
    <mergeCell ref="C4:C5"/>
    <mergeCell ref="D4:D5"/>
    <mergeCell ref="E4:E5"/>
    <mergeCell ref="F4:I4"/>
    <mergeCell ref="J4:J5"/>
    <mergeCell ref="K4:K5"/>
    <mergeCell ref="L4:L5"/>
    <mergeCell ref="A31:C31"/>
    <mergeCell ref="A25:A27"/>
    <mergeCell ref="A32:A42"/>
    <mergeCell ref="B32:B39"/>
    <mergeCell ref="B40:B42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rowBreaks count="1" manualBreakCount="1">
    <brk id="9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14</vt:i4>
      </vt:variant>
      <vt:variant>
        <vt:lpstr>Névvel ellátott tartományok</vt:lpstr>
      </vt:variant>
      <vt:variant>
        <vt:i4>10</vt:i4>
      </vt:variant>
    </vt:vector>
  </HeadingPairs>
  <TitlesOfParts>
    <vt:vector size="24" baseType="lpstr">
      <vt:lpstr>2019.03.31.</vt:lpstr>
      <vt:lpstr>2019.04.30</vt:lpstr>
      <vt:lpstr>2019.05.31</vt:lpstr>
      <vt:lpstr>Előterjesztés 06.20.</vt:lpstr>
      <vt:lpstr>2019.06.30</vt:lpstr>
      <vt:lpstr>2019.07.31.</vt:lpstr>
      <vt:lpstr>2019.08.31.</vt:lpstr>
      <vt:lpstr>Előterjesztés 2019.09.26.</vt:lpstr>
      <vt:lpstr>2019.09.30.</vt:lpstr>
      <vt:lpstr>2019.10.31.</vt:lpstr>
      <vt:lpstr>Előterjesztés 12.12.</vt:lpstr>
      <vt:lpstr>2019.11.30.</vt:lpstr>
      <vt:lpstr>2019.12.31.</vt:lpstr>
      <vt:lpstr>2021</vt:lpstr>
      <vt:lpstr>'2019.04.30'!Nyomtatási_cím</vt:lpstr>
      <vt:lpstr>'2019.07.31.'!Nyomtatási_terület</vt:lpstr>
      <vt:lpstr>'2019.08.31.'!Nyomtatási_terület</vt:lpstr>
      <vt:lpstr>'2019.09.30.'!Nyomtatási_terület</vt:lpstr>
      <vt:lpstr>'2019.10.31.'!Nyomtatási_terület</vt:lpstr>
      <vt:lpstr>'2019.11.30.'!Nyomtatási_terület</vt:lpstr>
      <vt:lpstr>'2019.12.31.'!Nyomtatási_terület</vt:lpstr>
      <vt:lpstr>'2021'!Nyomtatási_terület</vt:lpstr>
      <vt:lpstr>'Előterjesztés 06.20.'!Nyomtatási_terület</vt:lpstr>
      <vt:lpstr>'Előterjesztés 12.12.'!Nyomtatási_terület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5.023) programmal</dc:title>
  <dc:creator>Unknown Creator</dc:creator>
  <cp:lastModifiedBy>User</cp:lastModifiedBy>
  <cp:lastPrinted>2021-09-06T09:59:41Z</cp:lastPrinted>
  <dcterms:created xsi:type="dcterms:W3CDTF">2018-05-09T11:44:34Z</dcterms:created>
  <dcterms:modified xsi:type="dcterms:W3CDTF">2021-09-06T10:37:14Z</dcterms:modified>
</cp:coreProperties>
</file>